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6a3d2e4dc0e3f2/Documents/Investing/Stocks/ALLY/"/>
    </mc:Choice>
  </mc:AlternateContent>
  <xr:revisionPtr revIDLastSave="93" documentId="8_{F6AAC0A2-2F69-49AE-A13D-1272CB21C7A6}" xr6:coauthVersionLast="47" xr6:coauthVersionMax="47" xr10:uidLastSave="{0CDE03F8-B643-4E8D-90C4-9B8C975BFDFA}"/>
  <bookViews>
    <workbookView xWindow="-28920" yWindow="-120" windowWidth="29040" windowHeight="15720" xr2:uid="{1984E617-1E65-4423-8329-86F49BDEDB1E}"/>
  </bookViews>
  <sheets>
    <sheet name="Valuation" sheetId="3" r:id="rId1"/>
    <sheet name="Model" sheetId="2" r:id="rId2"/>
    <sheet name="Historical Detailed" sheetId="1" r:id="rId3"/>
    <sheet name="ROE Illustration" sheetId="5" r:id="rId4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"07/27/2022 18:40:21"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5" l="1"/>
  <c r="G9" i="5"/>
  <c r="J9" i="5"/>
  <c r="M9" i="5"/>
  <c r="C10" i="5"/>
  <c r="D10" i="5"/>
  <c r="F10" i="5"/>
  <c r="G10" i="5" s="1"/>
  <c r="G13" i="5" s="1"/>
  <c r="I10" i="5"/>
  <c r="J10" i="5" s="1"/>
  <c r="J13" i="5" s="1"/>
  <c r="J14" i="5" s="1"/>
  <c r="L10" i="5"/>
  <c r="M10" i="5" s="1"/>
  <c r="M13" i="5" s="1"/>
  <c r="M14" i="5" s="1"/>
  <c r="D12" i="5"/>
  <c r="G12" i="5"/>
  <c r="J12" i="5"/>
  <c r="M12" i="5"/>
  <c r="D13" i="5"/>
  <c r="D14" i="5"/>
  <c r="I14" i="5"/>
  <c r="D16" i="5"/>
  <c r="G16" i="5"/>
  <c r="J16" i="5"/>
  <c r="M16" i="5"/>
  <c r="D17" i="5"/>
  <c r="G17" i="5"/>
  <c r="J17" i="5"/>
  <c r="M17" i="5"/>
  <c r="D18" i="5"/>
  <c r="C18" i="5" s="1"/>
  <c r="I18" i="5"/>
  <c r="J18" i="5"/>
  <c r="M18" i="5"/>
  <c r="L18" i="5" s="1"/>
  <c r="D3" i="1"/>
  <c r="E3" i="1" s="1"/>
  <c r="D26" i="1"/>
  <c r="E26" i="1"/>
  <c r="F26" i="1"/>
  <c r="G26" i="1"/>
  <c r="H26" i="1"/>
  <c r="I26" i="1"/>
  <c r="L26" i="1"/>
  <c r="L27" i="1" s="1"/>
  <c r="O26" i="1"/>
  <c r="O27" i="1" s="1"/>
  <c r="O30" i="1" s="1"/>
  <c r="O36" i="1" s="1"/>
  <c r="D27" i="1"/>
  <c r="D30" i="1" s="1"/>
  <c r="E27" i="1"/>
  <c r="E30" i="1" s="1"/>
  <c r="F27" i="1"/>
  <c r="F30" i="1" s="1"/>
  <c r="G27" i="1"/>
  <c r="G30" i="1" s="1"/>
  <c r="H27" i="1"/>
  <c r="H30" i="1" s="1"/>
  <c r="I27" i="1"/>
  <c r="I30" i="1" s="1"/>
  <c r="J27" i="1"/>
  <c r="J30" i="1" s="1"/>
  <c r="K27" i="1"/>
  <c r="K30" i="1" s="1"/>
  <c r="K36" i="1" s="1"/>
  <c r="M27" i="1"/>
  <c r="M30" i="1" s="1"/>
  <c r="M36" i="1" s="1"/>
  <c r="N27" i="1"/>
  <c r="N30" i="1" s="1"/>
  <c r="P27" i="1"/>
  <c r="Q27" i="1"/>
  <c r="R27" i="1"/>
  <c r="R30" i="1" s="1"/>
  <c r="R36" i="1" s="1"/>
  <c r="D35" i="1"/>
  <c r="E35" i="1"/>
  <c r="F35" i="1"/>
  <c r="G35" i="1"/>
  <c r="H35" i="1"/>
  <c r="I35" i="1"/>
  <c r="J35" i="1"/>
  <c r="N36" i="1"/>
  <c r="N6" i="1" s="1"/>
  <c r="E40" i="1"/>
  <c r="K47" i="1"/>
  <c r="J47" i="1" s="1"/>
  <c r="L49" i="1"/>
  <c r="M49" i="1"/>
  <c r="N49" i="1"/>
  <c r="O49" i="1"/>
  <c r="P49" i="1"/>
  <c r="Q49" i="1"/>
  <c r="R49" i="1"/>
  <c r="L59" i="1"/>
  <c r="M59" i="1"/>
  <c r="N59" i="1"/>
  <c r="O59" i="1"/>
  <c r="P59" i="1"/>
  <c r="Q59" i="1"/>
  <c r="R59" i="1"/>
  <c r="L60" i="1"/>
  <c r="M60" i="1"/>
  <c r="N60" i="1"/>
  <c r="O60" i="1"/>
  <c r="P60" i="1"/>
  <c r="Q60" i="1"/>
  <c r="R60" i="1"/>
  <c r="L61" i="1"/>
  <c r="M61" i="1"/>
  <c r="N61" i="1"/>
  <c r="O61" i="1"/>
  <c r="P61" i="1"/>
  <c r="Q61" i="1"/>
  <c r="R61" i="1"/>
  <c r="H64" i="1"/>
  <c r="L64" i="1"/>
  <c r="N64" i="1"/>
  <c r="N65" i="1" s="1"/>
  <c r="O65" i="1"/>
  <c r="P65" i="1"/>
  <c r="Q65" i="1"/>
  <c r="R65" i="1"/>
  <c r="N67" i="1"/>
  <c r="G70" i="1"/>
  <c r="G74" i="1" s="1"/>
  <c r="H70" i="1"/>
  <c r="H74" i="1" s="1"/>
  <c r="I70" i="1"/>
  <c r="J70" i="1"/>
  <c r="J74" i="1" s="1"/>
  <c r="K70" i="1"/>
  <c r="K74" i="1" s="1"/>
  <c r="L70" i="1"/>
  <c r="L74" i="1" s="1"/>
  <c r="M70" i="1"/>
  <c r="M74" i="1" s="1"/>
  <c r="N70" i="1"/>
  <c r="N74" i="1" s="1"/>
  <c r="O70" i="1"/>
  <c r="O74" i="1" s="1"/>
  <c r="P70" i="1"/>
  <c r="P74" i="1" s="1"/>
  <c r="Q70" i="1"/>
  <c r="R70" i="1"/>
  <c r="I73" i="1"/>
  <c r="Q73" i="1"/>
  <c r="R73" i="1"/>
  <c r="Q194" i="2" s="1"/>
  <c r="E77" i="1"/>
  <c r="F77" i="1"/>
  <c r="F76" i="1" s="1"/>
  <c r="G77" i="1"/>
  <c r="G76" i="1" s="1"/>
  <c r="H77" i="1"/>
  <c r="H76" i="1" s="1"/>
  <c r="I77" i="1"/>
  <c r="I76" i="1" s="1"/>
  <c r="J77" i="1"/>
  <c r="J76" i="1" s="1"/>
  <c r="K77" i="1"/>
  <c r="K76" i="1" s="1"/>
  <c r="L77" i="1"/>
  <c r="L76" i="1" s="1"/>
  <c r="M77" i="1"/>
  <c r="M76" i="1" s="1"/>
  <c r="N77" i="1"/>
  <c r="N76" i="1" s="1"/>
  <c r="O77" i="1"/>
  <c r="O76" i="1" s="1"/>
  <c r="P77" i="1"/>
  <c r="P76" i="1" s="1"/>
  <c r="Q77" i="1"/>
  <c r="Q76" i="1" s="1"/>
  <c r="R77" i="1"/>
  <c r="R76" i="1" s="1"/>
  <c r="L79" i="1"/>
  <c r="M79" i="1"/>
  <c r="N79" i="1"/>
  <c r="O79" i="1"/>
  <c r="P79" i="1"/>
  <c r="Q79" i="1"/>
  <c r="R79" i="1"/>
  <c r="L80" i="1"/>
  <c r="M80" i="1"/>
  <c r="N80" i="1"/>
  <c r="O80" i="1"/>
  <c r="P80" i="1"/>
  <c r="Q80" i="1"/>
  <c r="R80" i="1"/>
  <c r="L84" i="1"/>
  <c r="M84" i="1"/>
  <c r="N84" i="1"/>
  <c r="O84" i="1"/>
  <c r="P84" i="1"/>
  <c r="G86" i="1"/>
  <c r="G89" i="1" s="1"/>
  <c r="H86" i="1"/>
  <c r="H89" i="1" s="1"/>
  <c r="I86" i="1"/>
  <c r="I89" i="1" s="1"/>
  <c r="J86" i="1"/>
  <c r="J89" i="1" s="1"/>
  <c r="K86" i="1"/>
  <c r="K89" i="1" s="1"/>
  <c r="L86" i="1"/>
  <c r="L89" i="1" s="1"/>
  <c r="M86" i="1"/>
  <c r="M89" i="1" s="1"/>
  <c r="N86" i="1"/>
  <c r="N89" i="1" s="1"/>
  <c r="O86" i="1"/>
  <c r="O89" i="1" s="1"/>
  <c r="P86" i="1"/>
  <c r="P89" i="1" s="1"/>
  <c r="Q86" i="1"/>
  <c r="R86" i="1"/>
  <c r="Q88" i="1"/>
  <c r="P217" i="2" s="1"/>
  <c r="R88" i="1"/>
  <c r="Q217" i="2" s="1"/>
  <c r="G96" i="1"/>
  <c r="G100" i="1" s="1"/>
  <c r="H96" i="1"/>
  <c r="I96" i="1"/>
  <c r="J96" i="1"/>
  <c r="K96" i="1"/>
  <c r="K100" i="1" s="1"/>
  <c r="L96" i="1"/>
  <c r="M96" i="1"/>
  <c r="N96" i="1"/>
  <c r="O96" i="1"/>
  <c r="O100" i="1" s="1"/>
  <c r="P96" i="1"/>
  <c r="Q96" i="1"/>
  <c r="R96" i="1"/>
  <c r="G97" i="1"/>
  <c r="L98" i="1"/>
  <c r="M98" i="1"/>
  <c r="N98" i="1"/>
  <c r="O98" i="1"/>
  <c r="P98" i="1"/>
  <c r="Q98" i="1"/>
  <c r="R98" i="1"/>
  <c r="F100" i="1"/>
  <c r="H100" i="1"/>
  <c r="F105" i="1"/>
  <c r="F108" i="1" s="1"/>
  <c r="F114" i="1" s="1"/>
  <c r="G105" i="1"/>
  <c r="H105" i="1"/>
  <c r="H108" i="1" s="1"/>
  <c r="H114" i="1" s="1"/>
  <c r="I105" i="1"/>
  <c r="I108" i="1" s="1"/>
  <c r="I114" i="1" s="1"/>
  <c r="J105" i="1"/>
  <c r="J108" i="1" s="1"/>
  <c r="J114" i="1" s="1"/>
  <c r="K105" i="1"/>
  <c r="K108" i="1" s="1"/>
  <c r="K114" i="1" s="1"/>
  <c r="L105" i="1"/>
  <c r="L108" i="1" s="1"/>
  <c r="M105" i="1"/>
  <c r="M108" i="1" s="1"/>
  <c r="M114" i="1" s="1"/>
  <c r="N105" i="1"/>
  <c r="O105" i="1"/>
  <c r="O108" i="1" s="1"/>
  <c r="O114" i="1" s="1"/>
  <c r="P105" i="1"/>
  <c r="P108" i="1" s="1"/>
  <c r="P114" i="1" s="1"/>
  <c r="Q105" i="1"/>
  <c r="Q108" i="1" s="1"/>
  <c r="Q114" i="1" s="1"/>
  <c r="R105" i="1"/>
  <c r="G108" i="1"/>
  <c r="G114" i="1" s="1"/>
  <c r="L114" i="1"/>
  <c r="F116" i="1"/>
  <c r="G116" i="1"/>
  <c r="G249" i="1" s="1"/>
  <c r="F252" i="2" s="1"/>
  <c r="H116" i="1"/>
  <c r="H249" i="1" s="1"/>
  <c r="G252" i="2" s="1"/>
  <c r="I116" i="1"/>
  <c r="J116" i="1"/>
  <c r="J249" i="1" s="1"/>
  <c r="I252" i="2" s="1"/>
  <c r="K116" i="1"/>
  <c r="K249" i="1" s="1"/>
  <c r="J252" i="2" s="1"/>
  <c r="L116" i="1"/>
  <c r="L249" i="1" s="1"/>
  <c r="K252" i="2" s="1"/>
  <c r="M116" i="1"/>
  <c r="N116" i="1"/>
  <c r="O116" i="1"/>
  <c r="O249" i="1" s="1"/>
  <c r="N252" i="2" s="1"/>
  <c r="P116" i="1"/>
  <c r="P249" i="1" s="1"/>
  <c r="O252" i="2" s="1"/>
  <c r="Q116" i="1"/>
  <c r="R116" i="1"/>
  <c r="F119" i="1"/>
  <c r="G119" i="1"/>
  <c r="H119" i="1"/>
  <c r="I119" i="1"/>
  <c r="J119" i="1"/>
  <c r="K119" i="1"/>
  <c r="L119" i="1"/>
  <c r="M119" i="1"/>
  <c r="M252" i="1" s="1"/>
  <c r="L255" i="2" s="1"/>
  <c r="N119" i="1"/>
  <c r="N252" i="1" s="1"/>
  <c r="M255" i="2" s="1"/>
  <c r="P119" i="1"/>
  <c r="P252" i="1" s="1"/>
  <c r="O255" i="2" s="1"/>
  <c r="Q119" i="1"/>
  <c r="R119" i="1"/>
  <c r="R252" i="1" s="1"/>
  <c r="Q255" i="2" s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F133" i="1"/>
  <c r="F139" i="1" s="1"/>
  <c r="G133" i="1"/>
  <c r="H133" i="1"/>
  <c r="H136" i="1" s="1"/>
  <c r="I133" i="1"/>
  <c r="I140" i="1" s="1"/>
  <c r="J133" i="1"/>
  <c r="K133" i="1"/>
  <c r="L133" i="1"/>
  <c r="K235" i="2" s="1"/>
  <c r="M133" i="1"/>
  <c r="M140" i="1" s="1"/>
  <c r="N133" i="1"/>
  <c r="O133" i="1"/>
  <c r="P133" i="1"/>
  <c r="P136" i="1" s="1"/>
  <c r="Q133" i="1"/>
  <c r="Q140" i="1" s="1"/>
  <c r="R133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F144" i="1"/>
  <c r="F145" i="1" s="1"/>
  <c r="F148" i="1" s="1"/>
  <c r="F154" i="1" s="1"/>
  <c r="G144" i="1"/>
  <c r="H144" i="1"/>
  <c r="H145" i="1" s="1"/>
  <c r="H148" i="1" s="1"/>
  <c r="H154" i="1" s="1"/>
  <c r="I144" i="1"/>
  <c r="I145" i="1" s="1"/>
  <c r="I148" i="1" s="1"/>
  <c r="I154" i="1" s="1"/>
  <c r="J144" i="1"/>
  <c r="J145" i="1" s="1"/>
  <c r="J148" i="1" s="1"/>
  <c r="J154" i="1" s="1"/>
  <c r="J8" i="1" s="1"/>
  <c r="G145" i="1"/>
  <c r="G148" i="1" s="1"/>
  <c r="G154" i="1" s="1"/>
  <c r="K145" i="1"/>
  <c r="K148" i="1" s="1"/>
  <c r="K154" i="1" s="1"/>
  <c r="L145" i="1"/>
  <c r="L148" i="1" s="1"/>
  <c r="L171" i="1" s="1"/>
  <c r="M145" i="1"/>
  <c r="M148" i="1" s="1"/>
  <c r="M171" i="1" s="1"/>
  <c r="N145" i="1"/>
  <c r="N148" i="1" s="1"/>
  <c r="O145" i="1"/>
  <c r="P145" i="1"/>
  <c r="P148" i="1" s="1"/>
  <c r="P171" i="1" s="1"/>
  <c r="Q145" i="1"/>
  <c r="Q148" i="1" s="1"/>
  <c r="Q171" i="1" s="1"/>
  <c r="R145" i="1"/>
  <c r="R148" i="1" s="1"/>
  <c r="F159" i="1"/>
  <c r="G159" i="1"/>
  <c r="I159" i="1"/>
  <c r="J159" i="1"/>
  <c r="K159" i="1"/>
  <c r="L159" i="1"/>
  <c r="D162" i="1"/>
  <c r="E162" i="1"/>
  <c r="F162" i="1"/>
  <c r="G162" i="1"/>
  <c r="H162" i="1"/>
  <c r="I162" i="1"/>
  <c r="J162" i="1"/>
  <c r="K162" i="1"/>
  <c r="L162" i="1"/>
  <c r="M162" i="1"/>
  <c r="N162" i="1"/>
  <c r="O162" i="1"/>
  <c r="P162" i="1"/>
  <c r="Q162" i="1"/>
  <c r="R162" i="1"/>
  <c r="L165" i="1"/>
  <c r="M165" i="1"/>
  <c r="N165" i="1"/>
  <c r="O165" i="1"/>
  <c r="P165" i="1"/>
  <c r="Q165" i="1"/>
  <c r="R165" i="1"/>
  <c r="O174" i="1"/>
  <c r="P174" i="1"/>
  <c r="Q174" i="1"/>
  <c r="R174" i="1"/>
  <c r="M176" i="1"/>
  <c r="N176" i="1"/>
  <c r="O176" i="1"/>
  <c r="P176" i="1"/>
  <c r="Q176" i="1"/>
  <c r="R176" i="1"/>
  <c r="M177" i="1"/>
  <c r="M178" i="1" s="1"/>
  <c r="N177" i="1"/>
  <c r="N178" i="1" s="1"/>
  <c r="O177" i="1"/>
  <c r="O178" i="1" s="1"/>
  <c r="P177" i="1"/>
  <c r="P178" i="1" s="1"/>
  <c r="Q177" i="1"/>
  <c r="R177" i="1"/>
  <c r="R178" i="1" s="1"/>
  <c r="M180" i="1"/>
  <c r="N180" i="1"/>
  <c r="O180" i="1"/>
  <c r="P180" i="1"/>
  <c r="Q180" i="1"/>
  <c r="R180" i="1"/>
  <c r="M183" i="1"/>
  <c r="M174" i="1" s="1"/>
  <c r="N183" i="1"/>
  <c r="N174" i="1" s="1"/>
  <c r="K185" i="1"/>
  <c r="L185" i="1"/>
  <c r="O185" i="1"/>
  <c r="P185" i="1"/>
  <c r="Q185" i="1"/>
  <c r="R185" i="1"/>
  <c r="F192" i="1"/>
  <c r="F195" i="1" s="1"/>
  <c r="F201" i="1" s="1"/>
  <c r="F207" i="1" s="1"/>
  <c r="G192" i="1"/>
  <c r="G195" i="1" s="1"/>
  <c r="G201" i="1" s="1"/>
  <c r="H192" i="1"/>
  <c r="H195" i="1" s="1"/>
  <c r="H201" i="1" s="1"/>
  <c r="I192" i="1"/>
  <c r="I195" i="1" s="1"/>
  <c r="I201" i="1" s="1"/>
  <c r="J192" i="1"/>
  <c r="J195" i="1" s="1"/>
  <c r="J201" i="1" s="1"/>
  <c r="J9" i="1" s="1"/>
  <c r="K192" i="1"/>
  <c r="K195" i="1" s="1"/>
  <c r="K201" i="1" s="1"/>
  <c r="L192" i="1"/>
  <c r="L195" i="1" s="1"/>
  <c r="L201" i="1" s="1"/>
  <c r="L9" i="1" s="1"/>
  <c r="M192" i="1"/>
  <c r="M195" i="1" s="1"/>
  <c r="M201" i="1" s="1"/>
  <c r="N192" i="1"/>
  <c r="N195" i="1" s="1"/>
  <c r="N201" i="1" s="1"/>
  <c r="O192" i="1"/>
  <c r="O195" i="1" s="1"/>
  <c r="O201" i="1" s="1"/>
  <c r="P192" i="1"/>
  <c r="P195" i="1" s="1"/>
  <c r="P201" i="1" s="1"/>
  <c r="Q192" i="1"/>
  <c r="Q195" i="1" s="1"/>
  <c r="Q201" i="1" s="1"/>
  <c r="R192" i="1"/>
  <c r="R195" i="1" s="1"/>
  <c r="R201" i="1" s="1"/>
  <c r="R9" i="1" s="1"/>
  <c r="L210" i="1"/>
  <c r="M210" i="1"/>
  <c r="N210" i="1"/>
  <c r="O210" i="1"/>
  <c r="P210" i="1"/>
  <c r="Q210" i="1"/>
  <c r="R210" i="1"/>
  <c r="K211" i="1"/>
  <c r="M220" i="1"/>
  <c r="N220" i="1"/>
  <c r="O220" i="1"/>
  <c r="O223" i="1" s="1"/>
  <c r="O229" i="1" s="1"/>
  <c r="P220" i="1"/>
  <c r="Q220" i="1"/>
  <c r="R220" i="1"/>
  <c r="F221" i="1"/>
  <c r="G221" i="1"/>
  <c r="H221" i="1"/>
  <c r="I221" i="1"/>
  <c r="J221" i="1"/>
  <c r="K221" i="1"/>
  <c r="L221" i="1"/>
  <c r="M221" i="1"/>
  <c r="M239" i="1" s="1"/>
  <c r="L158" i="2" s="1"/>
  <c r="L159" i="2" s="1"/>
  <c r="N221" i="1"/>
  <c r="N239" i="1" s="1"/>
  <c r="M158" i="2" s="1"/>
  <c r="M159" i="2" s="1"/>
  <c r="P221" i="1"/>
  <c r="P239" i="1" s="1"/>
  <c r="O158" i="2" s="1"/>
  <c r="O159" i="2" s="1"/>
  <c r="O164" i="2" s="1"/>
  <c r="Q221" i="1"/>
  <c r="R221" i="1"/>
  <c r="F223" i="1"/>
  <c r="F229" i="1" s="1"/>
  <c r="F235" i="1" s="1"/>
  <c r="G223" i="1"/>
  <c r="H223" i="1"/>
  <c r="I223" i="1"/>
  <c r="J223" i="1"/>
  <c r="K223" i="1"/>
  <c r="L223" i="1"/>
  <c r="G228" i="1"/>
  <c r="H228" i="1"/>
  <c r="I228" i="1"/>
  <c r="J228" i="1"/>
  <c r="K228" i="1"/>
  <c r="L228" i="1"/>
  <c r="Q234" i="1"/>
  <c r="O239" i="1"/>
  <c r="N158" i="2" s="1"/>
  <c r="N159" i="2" s="1"/>
  <c r="R239" i="1"/>
  <c r="Q158" i="2" s="1"/>
  <c r="Q159" i="2" s="1"/>
  <c r="H240" i="1"/>
  <c r="H241" i="1" s="1"/>
  <c r="I240" i="1"/>
  <c r="I241" i="1" s="1"/>
  <c r="J240" i="1"/>
  <c r="K240" i="1"/>
  <c r="K241" i="1" s="1"/>
  <c r="L240" i="1"/>
  <c r="L241" i="1" s="1"/>
  <c r="M240" i="1"/>
  <c r="N240" i="1"/>
  <c r="O240" i="1"/>
  <c r="P240" i="1"/>
  <c r="Q240" i="1"/>
  <c r="R240" i="1"/>
  <c r="D241" i="1"/>
  <c r="C165" i="2" s="1"/>
  <c r="C248" i="2" s="1"/>
  <c r="E241" i="1"/>
  <c r="D165" i="2" s="1"/>
  <c r="D248" i="2" s="1"/>
  <c r="F241" i="1"/>
  <c r="G241" i="1"/>
  <c r="H242" i="1"/>
  <c r="G222" i="2" s="1"/>
  <c r="I242" i="1"/>
  <c r="H222" i="2" s="1"/>
  <c r="J242" i="1"/>
  <c r="K242" i="1"/>
  <c r="J222" i="2" s="1"/>
  <c r="L242" i="1"/>
  <c r="K222" i="2" s="1"/>
  <c r="M242" i="1"/>
  <c r="L222" i="2" s="1"/>
  <c r="N242" i="1"/>
  <c r="M222" i="2" s="1"/>
  <c r="O242" i="1"/>
  <c r="N222" i="2" s="1"/>
  <c r="P242" i="1"/>
  <c r="O222" i="2" s="1"/>
  <c r="Q242" i="1"/>
  <c r="P222" i="2" s="1"/>
  <c r="R242" i="1"/>
  <c r="Q222" i="2" s="1"/>
  <c r="J243" i="1"/>
  <c r="J271" i="1" s="1"/>
  <c r="M243" i="1"/>
  <c r="M271" i="1" s="1"/>
  <c r="N243" i="1"/>
  <c r="M223" i="2" s="1"/>
  <c r="O243" i="1"/>
  <c r="O271" i="1" s="1"/>
  <c r="P243" i="1"/>
  <c r="P271" i="1" s="1"/>
  <c r="Q243" i="1"/>
  <c r="Q271" i="1" s="1"/>
  <c r="R243" i="1"/>
  <c r="R271" i="1" s="1"/>
  <c r="G244" i="1"/>
  <c r="H244" i="1"/>
  <c r="H274" i="1" s="1"/>
  <c r="I244" i="1"/>
  <c r="I274" i="1" s="1"/>
  <c r="J244" i="1"/>
  <c r="J274" i="1" s="1"/>
  <c r="K244" i="1"/>
  <c r="L244" i="1"/>
  <c r="K224" i="2" s="1"/>
  <c r="M244" i="1"/>
  <c r="M274" i="1" s="1"/>
  <c r="N244" i="1"/>
  <c r="N274" i="1" s="1"/>
  <c r="O244" i="1"/>
  <c r="O274" i="1" s="1"/>
  <c r="P244" i="1"/>
  <c r="O224" i="2" s="1"/>
  <c r="Q244" i="1"/>
  <c r="Q274" i="1" s="1"/>
  <c r="R244" i="1"/>
  <c r="Q224" i="2" s="1"/>
  <c r="M245" i="1"/>
  <c r="M272" i="1" s="1"/>
  <c r="N245" i="1"/>
  <c r="N272" i="1" s="1"/>
  <c r="O245" i="1"/>
  <c r="O272" i="1" s="1"/>
  <c r="P245" i="1"/>
  <c r="P272" i="1" s="1"/>
  <c r="Q245" i="1"/>
  <c r="Q272" i="1" s="1"/>
  <c r="R245" i="1"/>
  <c r="R272" i="1" s="1"/>
  <c r="D246" i="1"/>
  <c r="E246" i="1"/>
  <c r="F246" i="1"/>
  <c r="G246" i="1"/>
  <c r="F226" i="2" s="1"/>
  <c r="H246" i="1"/>
  <c r="G226" i="2" s="1"/>
  <c r="I246" i="1"/>
  <c r="H226" i="2" s="1"/>
  <c r="J246" i="1"/>
  <c r="I226" i="2" s="1"/>
  <c r="K246" i="1"/>
  <c r="J226" i="2" s="1"/>
  <c r="L246" i="1"/>
  <c r="K226" i="2" s="1"/>
  <c r="M246" i="1"/>
  <c r="L226" i="2" s="1"/>
  <c r="N246" i="1"/>
  <c r="M226" i="2" s="1"/>
  <c r="O246" i="1"/>
  <c r="P246" i="1"/>
  <c r="O226" i="2" s="1"/>
  <c r="Q246" i="1"/>
  <c r="P226" i="2" s="1"/>
  <c r="R246" i="1"/>
  <c r="Q226" i="2" s="1"/>
  <c r="G248" i="1"/>
  <c r="F251" i="2" s="1"/>
  <c r="F197" i="2" s="1"/>
  <c r="F209" i="2" s="1"/>
  <c r="H248" i="1"/>
  <c r="G251" i="2" s="1"/>
  <c r="G197" i="2" s="1"/>
  <c r="I248" i="1"/>
  <c r="H251" i="2" s="1"/>
  <c r="J248" i="1"/>
  <c r="I251" i="2" s="1"/>
  <c r="I197" i="2" s="1"/>
  <c r="K248" i="1"/>
  <c r="L248" i="1"/>
  <c r="K251" i="2" s="1"/>
  <c r="K197" i="2" s="1"/>
  <c r="M248" i="1"/>
  <c r="M270" i="1" s="1"/>
  <c r="N248" i="1"/>
  <c r="N270" i="1" s="1"/>
  <c r="O248" i="1"/>
  <c r="N251" i="2" s="1"/>
  <c r="N197" i="2" s="1"/>
  <c r="P248" i="1"/>
  <c r="P270" i="1" s="1"/>
  <c r="Q248" i="1"/>
  <c r="Q270" i="1" s="1"/>
  <c r="R248" i="1"/>
  <c r="R270" i="1" s="1"/>
  <c r="N249" i="1"/>
  <c r="M252" i="2" s="1"/>
  <c r="G250" i="1"/>
  <c r="F253" i="2" s="1"/>
  <c r="H250" i="1"/>
  <c r="G253" i="2" s="1"/>
  <c r="I250" i="1"/>
  <c r="H253" i="2" s="1"/>
  <c r="J250" i="1"/>
  <c r="I253" i="2" s="1"/>
  <c r="K250" i="1"/>
  <c r="J253" i="2" s="1"/>
  <c r="L250" i="1"/>
  <c r="K253" i="2" s="1"/>
  <c r="M250" i="1"/>
  <c r="L253" i="2" s="1"/>
  <c r="N250" i="1"/>
  <c r="M253" i="2" s="1"/>
  <c r="O250" i="1"/>
  <c r="N253" i="2" s="1"/>
  <c r="P250" i="1"/>
  <c r="O253" i="2" s="1"/>
  <c r="Q250" i="1"/>
  <c r="P253" i="2" s="1"/>
  <c r="R250" i="1"/>
  <c r="Q253" i="2" s="1"/>
  <c r="E251" i="1"/>
  <c r="E253" i="1" s="1"/>
  <c r="G251" i="1"/>
  <c r="F254" i="2" s="1"/>
  <c r="H251" i="1"/>
  <c r="H269" i="1" s="1"/>
  <c r="I251" i="1"/>
  <c r="I269" i="1" s="1"/>
  <c r="J251" i="1"/>
  <c r="I254" i="2" s="1"/>
  <c r="K251" i="1"/>
  <c r="K269" i="1" s="1"/>
  <c r="L251" i="1"/>
  <c r="L269" i="1" s="1"/>
  <c r="M251" i="1"/>
  <c r="M269" i="1" s="1"/>
  <c r="N251" i="1"/>
  <c r="M254" i="2" s="1"/>
  <c r="O251" i="1"/>
  <c r="O269" i="1" s="1"/>
  <c r="P251" i="1"/>
  <c r="P269" i="1" s="1"/>
  <c r="Q251" i="1"/>
  <c r="Q269" i="1" s="1"/>
  <c r="R251" i="1"/>
  <c r="O252" i="1"/>
  <c r="N255" i="2" s="1"/>
  <c r="D253" i="1"/>
  <c r="F253" i="1"/>
  <c r="E269" i="1"/>
  <c r="F269" i="1"/>
  <c r="K271" i="1"/>
  <c r="L271" i="1"/>
  <c r="K272" i="1"/>
  <c r="L272" i="1"/>
  <c r="I273" i="1"/>
  <c r="J273" i="1"/>
  <c r="K273" i="1"/>
  <c r="D278" i="1"/>
  <c r="E278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R278" i="1"/>
  <c r="D294" i="1"/>
  <c r="D296" i="1"/>
  <c r="E296" i="1"/>
  <c r="E297" i="1" s="1"/>
  <c r="H296" i="1"/>
  <c r="H297" i="1" s="1"/>
  <c r="I296" i="1"/>
  <c r="I297" i="1" s="1"/>
  <c r="J296" i="1"/>
  <c r="J297" i="1" s="1"/>
  <c r="K296" i="1"/>
  <c r="K297" i="1" s="1"/>
  <c r="F297" i="1"/>
  <c r="G297" i="1"/>
  <c r="L297" i="1"/>
  <c r="M297" i="1"/>
  <c r="N297" i="1"/>
  <c r="O297" i="1"/>
  <c r="P297" i="1"/>
  <c r="Q297" i="1"/>
  <c r="R297" i="1"/>
  <c r="D310" i="1"/>
  <c r="E310" i="1"/>
  <c r="F310" i="1"/>
  <c r="G310" i="1"/>
  <c r="H310" i="1"/>
  <c r="I310" i="1"/>
  <c r="J310" i="1"/>
  <c r="K310" i="1"/>
  <c r="L310" i="1"/>
  <c r="M310" i="1"/>
  <c r="N310" i="1"/>
  <c r="O310" i="1"/>
  <c r="P310" i="1"/>
  <c r="Q310" i="1"/>
  <c r="R310" i="1"/>
  <c r="D317" i="1"/>
  <c r="E319" i="1"/>
  <c r="F319" i="1"/>
  <c r="F367" i="1" s="1"/>
  <c r="G319" i="1"/>
  <c r="G367" i="1" s="1"/>
  <c r="H319" i="1"/>
  <c r="H367" i="1" s="1"/>
  <c r="I319" i="1"/>
  <c r="I367" i="1" s="1"/>
  <c r="J319" i="1"/>
  <c r="J326" i="1" s="1"/>
  <c r="K319" i="1"/>
  <c r="K367" i="1" s="1"/>
  <c r="L319" i="1"/>
  <c r="M319" i="1"/>
  <c r="N319" i="1"/>
  <c r="N326" i="1" s="1"/>
  <c r="N330" i="1" s="1"/>
  <c r="M76" i="2" s="1"/>
  <c r="O319" i="1"/>
  <c r="O326" i="1" s="1"/>
  <c r="O330" i="1" s="1"/>
  <c r="N76" i="2" s="1"/>
  <c r="P319" i="1"/>
  <c r="Q319" i="1"/>
  <c r="R319" i="1"/>
  <c r="R326" i="1" s="1"/>
  <c r="R330" i="1" s="1"/>
  <c r="Q76" i="2" s="1"/>
  <c r="E321" i="1"/>
  <c r="D70" i="2" s="1"/>
  <c r="D113" i="2" s="1"/>
  <c r="F321" i="1"/>
  <c r="F368" i="1" s="1"/>
  <c r="G321" i="1"/>
  <c r="G368" i="1" s="1"/>
  <c r="H321" i="1"/>
  <c r="G70" i="2" s="1"/>
  <c r="G113" i="2" s="1"/>
  <c r="D324" i="1"/>
  <c r="C67" i="2" s="1"/>
  <c r="E324" i="1"/>
  <c r="D67" i="2" s="1"/>
  <c r="F324" i="1"/>
  <c r="D328" i="1"/>
  <c r="D329" i="1"/>
  <c r="E329" i="1"/>
  <c r="F329" i="1"/>
  <c r="G329" i="1"/>
  <c r="H329" i="1"/>
  <c r="I329" i="1"/>
  <c r="J329" i="1"/>
  <c r="K329" i="1"/>
  <c r="D332" i="1"/>
  <c r="D333" i="1" s="1"/>
  <c r="E334" i="1"/>
  <c r="D78" i="2" s="1"/>
  <c r="F334" i="1"/>
  <c r="E78" i="2" s="1"/>
  <c r="G334" i="1"/>
  <c r="H334" i="1"/>
  <c r="I334" i="1"/>
  <c r="H78" i="2" s="1"/>
  <c r="J334" i="1"/>
  <c r="J340" i="1" s="1"/>
  <c r="J346" i="1" s="1"/>
  <c r="I83" i="2" s="1"/>
  <c r="K334" i="1"/>
  <c r="L334" i="1"/>
  <c r="L340" i="1" s="1"/>
  <c r="L346" i="1" s="1"/>
  <c r="M334" i="1"/>
  <c r="M340" i="1" s="1"/>
  <c r="M346" i="1" s="1"/>
  <c r="L83" i="2" s="1"/>
  <c r="N334" i="1"/>
  <c r="N340" i="1" s="1"/>
  <c r="N346" i="1" s="1"/>
  <c r="M83" i="2" s="1"/>
  <c r="O334" i="1"/>
  <c r="N78" i="2" s="1"/>
  <c r="P334" i="1"/>
  <c r="P340" i="1" s="1"/>
  <c r="P346" i="1" s="1"/>
  <c r="O83" i="2" s="1"/>
  <c r="Q334" i="1"/>
  <c r="Q340" i="1" s="1"/>
  <c r="Q346" i="1" s="1"/>
  <c r="P83" i="2" s="1"/>
  <c r="R334" i="1"/>
  <c r="R340" i="1" s="1"/>
  <c r="R346" i="1" s="1"/>
  <c r="Q83" i="2" s="1"/>
  <c r="D335" i="1"/>
  <c r="D339" i="1"/>
  <c r="E339" i="1"/>
  <c r="F339" i="1"/>
  <c r="G339" i="1"/>
  <c r="H339" i="1"/>
  <c r="I339" i="1"/>
  <c r="E342" i="1"/>
  <c r="E353" i="1" s="1"/>
  <c r="F342" i="1"/>
  <c r="F351" i="1" s="1"/>
  <c r="G342" i="1"/>
  <c r="G353" i="1" s="1"/>
  <c r="H342" i="1"/>
  <c r="H353" i="1" s="1"/>
  <c r="I342" i="1"/>
  <c r="I351" i="1" s="1"/>
  <c r="D351" i="1"/>
  <c r="J351" i="1"/>
  <c r="K351" i="1"/>
  <c r="L351" i="1"/>
  <c r="M351" i="1"/>
  <c r="N351" i="1"/>
  <c r="O351" i="1"/>
  <c r="P351" i="1"/>
  <c r="Q351" i="1"/>
  <c r="R351" i="1"/>
  <c r="D353" i="1"/>
  <c r="J353" i="1"/>
  <c r="K353" i="1"/>
  <c r="L353" i="1"/>
  <c r="M353" i="1"/>
  <c r="N353" i="1"/>
  <c r="O353" i="1"/>
  <c r="P353" i="1"/>
  <c r="Q353" i="1"/>
  <c r="R353" i="1"/>
  <c r="M360" i="1"/>
  <c r="N360" i="1"/>
  <c r="H363" i="1"/>
  <c r="I363" i="1"/>
  <c r="J363" i="1"/>
  <c r="K363" i="1"/>
  <c r="L363" i="1"/>
  <c r="D368" i="1"/>
  <c r="I368" i="1"/>
  <c r="J368" i="1"/>
  <c r="K368" i="1"/>
  <c r="L368" i="1"/>
  <c r="M368" i="1"/>
  <c r="N368" i="1"/>
  <c r="O368" i="1"/>
  <c r="P368" i="1"/>
  <c r="Q368" i="1"/>
  <c r="R368" i="1"/>
  <c r="D369" i="1"/>
  <c r="E369" i="1"/>
  <c r="F369" i="1"/>
  <c r="G369" i="1"/>
  <c r="H369" i="1"/>
  <c r="I369" i="1"/>
  <c r="J369" i="1"/>
  <c r="K369" i="1"/>
  <c r="L369" i="1"/>
  <c r="M369" i="1"/>
  <c r="N369" i="1"/>
  <c r="O369" i="1"/>
  <c r="P369" i="1"/>
  <c r="Q369" i="1"/>
  <c r="R369" i="1"/>
  <c r="D373" i="1"/>
  <c r="E373" i="1"/>
  <c r="F373" i="1"/>
  <c r="G373" i="1"/>
  <c r="G370" i="1" s="1"/>
  <c r="F115" i="2" s="1"/>
  <c r="H373" i="1"/>
  <c r="H371" i="1" s="1"/>
  <c r="G116" i="2" s="1"/>
  <c r="I373" i="1"/>
  <c r="J373" i="1"/>
  <c r="J372" i="1" s="1"/>
  <c r="I117" i="2" s="1"/>
  <c r="K373" i="1"/>
  <c r="K370" i="1" s="1"/>
  <c r="J115" i="2" s="1"/>
  <c r="L373" i="1"/>
  <c r="L371" i="1" s="1"/>
  <c r="M373" i="1"/>
  <c r="M372" i="1" s="1"/>
  <c r="N373" i="1"/>
  <c r="N372" i="1" s="1"/>
  <c r="O373" i="1"/>
  <c r="O370" i="1" s="1"/>
  <c r="P373" i="1"/>
  <c r="P371" i="1" s="1"/>
  <c r="Q373" i="1"/>
  <c r="Q372" i="1" s="1"/>
  <c r="R373" i="1"/>
  <c r="R372" i="1" s="1"/>
  <c r="J375" i="1"/>
  <c r="I120" i="2" s="1"/>
  <c r="K375" i="1"/>
  <c r="J120" i="2" s="1"/>
  <c r="I377" i="1"/>
  <c r="I370" i="1" s="1"/>
  <c r="H115" i="2" s="1"/>
  <c r="I380" i="1"/>
  <c r="J380" i="1"/>
  <c r="K380" i="1"/>
  <c r="L380" i="1"/>
  <c r="M380" i="1"/>
  <c r="N380" i="1"/>
  <c r="O380" i="1"/>
  <c r="P380" i="1"/>
  <c r="Q380" i="1"/>
  <c r="R380" i="1"/>
  <c r="D402" i="1"/>
  <c r="E402" i="1"/>
  <c r="F402" i="1"/>
  <c r="G402" i="1"/>
  <c r="H402" i="1"/>
  <c r="I402" i="1"/>
  <c r="J402" i="1"/>
  <c r="K402" i="1"/>
  <c r="L402" i="1"/>
  <c r="M402" i="1"/>
  <c r="N402" i="1"/>
  <c r="O402" i="1"/>
  <c r="P402" i="1"/>
  <c r="Q402" i="1"/>
  <c r="R402" i="1"/>
  <c r="S402" i="1"/>
  <c r="S403" i="1" s="1"/>
  <c r="S404" i="1" s="1"/>
  <c r="D3" i="2"/>
  <c r="V11" i="2"/>
  <c r="T12" i="2"/>
  <c r="AE12" i="2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C16" i="2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Y17" i="2"/>
  <c r="Z17" i="2"/>
  <c r="AA17" i="2"/>
  <c r="AB17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S19" i="2"/>
  <c r="T19" i="2"/>
  <c r="U19" i="2"/>
  <c r="V19" i="2"/>
  <c r="W19" i="2"/>
  <c r="X19" i="2"/>
  <c r="Y19" i="2"/>
  <c r="Z19" i="2"/>
  <c r="AA19" i="2"/>
  <c r="AB19" i="2"/>
  <c r="R28" i="2"/>
  <c r="R15" i="2" s="1"/>
  <c r="I29" i="2"/>
  <c r="J29" i="2"/>
  <c r="K29" i="2"/>
  <c r="L29" i="2"/>
  <c r="M29" i="2"/>
  <c r="N29" i="2"/>
  <c r="O29" i="2"/>
  <c r="P29" i="2"/>
  <c r="Q29" i="2"/>
  <c r="R29" i="2"/>
  <c r="AD30" i="2"/>
  <c r="AD31" i="2"/>
  <c r="R39" i="2"/>
  <c r="AD39" i="2" s="1"/>
  <c r="L40" i="2"/>
  <c r="M40" i="2"/>
  <c r="N40" i="2"/>
  <c r="O40" i="2"/>
  <c r="P40" i="2"/>
  <c r="Q40" i="2"/>
  <c r="L47" i="2"/>
  <c r="M47" i="2"/>
  <c r="N47" i="2"/>
  <c r="O47" i="2"/>
  <c r="P47" i="2"/>
  <c r="Q47" i="2"/>
  <c r="K60" i="2"/>
  <c r="L60" i="2"/>
  <c r="M60" i="2"/>
  <c r="N60" i="2"/>
  <c r="O60" i="2"/>
  <c r="P60" i="2"/>
  <c r="Q60" i="2"/>
  <c r="F61" i="2"/>
  <c r="G61" i="2"/>
  <c r="H61" i="2"/>
  <c r="I61" i="2"/>
  <c r="J61" i="2"/>
  <c r="K61" i="2"/>
  <c r="L61" i="2"/>
  <c r="M61" i="2"/>
  <c r="N61" i="2"/>
  <c r="O61" i="2"/>
  <c r="P61" i="2"/>
  <c r="Q61" i="2"/>
  <c r="K62" i="2"/>
  <c r="L62" i="2"/>
  <c r="M62" i="2"/>
  <c r="N62" i="2"/>
  <c r="O62" i="2"/>
  <c r="P62" i="2"/>
  <c r="Q62" i="2"/>
  <c r="R62" i="2" s="1"/>
  <c r="K64" i="2"/>
  <c r="L64" i="2"/>
  <c r="L116" i="2" s="1"/>
  <c r="M64" i="2"/>
  <c r="M116" i="2" s="1"/>
  <c r="N64" i="2"/>
  <c r="O64" i="2"/>
  <c r="O116" i="2" s="1"/>
  <c r="P64" i="2"/>
  <c r="Q64" i="2"/>
  <c r="K65" i="2"/>
  <c r="L65" i="2"/>
  <c r="M65" i="2"/>
  <c r="N65" i="2"/>
  <c r="O65" i="2"/>
  <c r="P65" i="2"/>
  <c r="Q65" i="2"/>
  <c r="F67" i="2"/>
  <c r="G67" i="2"/>
  <c r="H67" i="2"/>
  <c r="I67" i="2"/>
  <c r="J67" i="2"/>
  <c r="K67" i="2"/>
  <c r="L67" i="2"/>
  <c r="M67" i="2"/>
  <c r="N67" i="2"/>
  <c r="O67" i="2"/>
  <c r="P67" i="2"/>
  <c r="Q67" i="2"/>
  <c r="D68" i="2"/>
  <c r="E68" i="2"/>
  <c r="F68" i="2"/>
  <c r="G68" i="2"/>
  <c r="H68" i="2"/>
  <c r="I68" i="2"/>
  <c r="J68" i="2"/>
  <c r="K68" i="2"/>
  <c r="L68" i="2"/>
  <c r="M68" i="2"/>
  <c r="N68" i="2"/>
  <c r="O68" i="2"/>
  <c r="P68" i="2"/>
  <c r="Q68" i="2"/>
  <c r="S68" i="2"/>
  <c r="T68" i="2" s="1"/>
  <c r="U68" i="2" s="1"/>
  <c r="AD68" i="2"/>
  <c r="C69" i="2"/>
  <c r="D69" i="2"/>
  <c r="D114" i="2" s="1"/>
  <c r="E69" i="2"/>
  <c r="E114" i="2" s="1"/>
  <c r="F69" i="2"/>
  <c r="F114" i="2" s="1"/>
  <c r="G69" i="2"/>
  <c r="G114" i="2" s="1"/>
  <c r="H69" i="2"/>
  <c r="H114" i="2" s="1"/>
  <c r="I69" i="2"/>
  <c r="I114" i="2" s="1"/>
  <c r="J69" i="2"/>
  <c r="J114" i="2" s="1"/>
  <c r="K69" i="2"/>
  <c r="K114" i="2" s="1"/>
  <c r="L69" i="2"/>
  <c r="L114" i="2" s="1"/>
  <c r="M69" i="2"/>
  <c r="M114" i="2" s="1"/>
  <c r="N69" i="2"/>
  <c r="N114" i="2" s="1"/>
  <c r="O69" i="2"/>
  <c r="O114" i="2" s="1"/>
  <c r="P69" i="2"/>
  <c r="P114" i="2" s="1"/>
  <c r="Q69" i="2"/>
  <c r="R69" i="2" s="1"/>
  <c r="C70" i="2"/>
  <c r="C113" i="2" s="1"/>
  <c r="H70" i="2"/>
  <c r="H113" i="2" s="1"/>
  <c r="I70" i="2"/>
  <c r="I113" i="2" s="1"/>
  <c r="J70" i="2"/>
  <c r="J113" i="2" s="1"/>
  <c r="K70" i="2"/>
  <c r="K113" i="2" s="1"/>
  <c r="L70" i="2"/>
  <c r="L113" i="2" s="1"/>
  <c r="M70" i="2"/>
  <c r="M113" i="2" s="1"/>
  <c r="N70" i="2"/>
  <c r="N113" i="2" s="1"/>
  <c r="O70" i="2"/>
  <c r="O113" i="2" s="1"/>
  <c r="P70" i="2"/>
  <c r="P113" i="2" s="1"/>
  <c r="Q70" i="2"/>
  <c r="Q113" i="2" s="1"/>
  <c r="C71" i="2"/>
  <c r="C118" i="2" s="1"/>
  <c r="D71" i="2"/>
  <c r="D118" i="2" s="1"/>
  <c r="E71" i="2"/>
  <c r="E118" i="2" s="1"/>
  <c r="F71" i="2"/>
  <c r="F118" i="2" s="1"/>
  <c r="G71" i="2"/>
  <c r="G118" i="2" s="1"/>
  <c r="H71" i="2"/>
  <c r="H118" i="2" s="1"/>
  <c r="I71" i="2"/>
  <c r="I118" i="2" s="1"/>
  <c r="J71" i="2"/>
  <c r="J118" i="2" s="1"/>
  <c r="K71" i="2"/>
  <c r="L71" i="2"/>
  <c r="M71" i="2"/>
  <c r="N71" i="2"/>
  <c r="O71" i="2"/>
  <c r="P71" i="2"/>
  <c r="Q71" i="2"/>
  <c r="D73" i="2"/>
  <c r="E73" i="2"/>
  <c r="F73" i="2"/>
  <c r="G73" i="2"/>
  <c r="H73" i="2"/>
  <c r="I73" i="2"/>
  <c r="J73" i="2"/>
  <c r="K73" i="2"/>
  <c r="L73" i="2"/>
  <c r="M73" i="2"/>
  <c r="N73" i="2"/>
  <c r="O73" i="2"/>
  <c r="P73" i="2"/>
  <c r="Q73" i="2"/>
  <c r="R73" i="2" s="1"/>
  <c r="C74" i="2"/>
  <c r="C212" i="2" s="1"/>
  <c r="D208" i="2" s="1"/>
  <c r="D74" i="2"/>
  <c r="D212" i="2" s="1"/>
  <c r="E208" i="2" s="1"/>
  <c r="E74" i="2"/>
  <c r="E212" i="2" s="1"/>
  <c r="F208" i="2" s="1"/>
  <c r="F74" i="2"/>
  <c r="F212" i="2" s="1"/>
  <c r="G74" i="2"/>
  <c r="G212" i="2" s="1"/>
  <c r="H208" i="2" s="1"/>
  <c r="H74" i="2"/>
  <c r="H212" i="2" s="1"/>
  <c r="I208" i="2" s="1"/>
  <c r="I74" i="2"/>
  <c r="I212" i="2" s="1"/>
  <c r="J208" i="2" s="1"/>
  <c r="J74" i="2"/>
  <c r="J212" i="2" s="1"/>
  <c r="K74" i="2"/>
  <c r="K212" i="2" s="1"/>
  <c r="L74" i="2"/>
  <c r="L212" i="2" s="1"/>
  <c r="M208" i="2" s="1"/>
  <c r="M74" i="2"/>
  <c r="M212" i="2" s="1"/>
  <c r="N208" i="2" s="1"/>
  <c r="N74" i="2"/>
  <c r="N212" i="2" s="1"/>
  <c r="O208" i="2" s="1"/>
  <c r="O74" i="2"/>
  <c r="O212" i="2" s="1"/>
  <c r="P208" i="2" s="1"/>
  <c r="P74" i="2"/>
  <c r="P212" i="2" s="1"/>
  <c r="Q208" i="2" s="1"/>
  <c r="Q74" i="2"/>
  <c r="Q212" i="2" s="1"/>
  <c r="R208" i="2" s="1"/>
  <c r="D79" i="2"/>
  <c r="E79" i="2"/>
  <c r="F79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C80" i="2"/>
  <c r="I80" i="2"/>
  <c r="I81" i="2" s="1"/>
  <c r="I104" i="2" s="1"/>
  <c r="J80" i="2"/>
  <c r="J81" i="2" s="1"/>
  <c r="K80" i="2"/>
  <c r="K81" i="2" s="1"/>
  <c r="L80" i="2"/>
  <c r="M80" i="2"/>
  <c r="M106" i="2" s="1"/>
  <c r="N80" i="2"/>
  <c r="N81" i="2" s="1"/>
  <c r="O80" i="2"/>
  <c r="O81" i="2" s="1"/>
  <c r="P80" i="2"/>
  <c r="P106" i="2" s="1"/>
  <c r="Q80" i="2"/>
  <c r="R80" i="2" s="1"/>
  <c r="J88" i="2"/>
  <c r="I88" i="2" s="1"/>
  <c r="R88" i="2"/>
  <c r="S88" i="2" s="1"/>
  <c r="T88" i="2" s="1"/>
  <c r="U88" i="2" s="1"/>
  <c r="V88" i="2" s="1"/>
  <c r="W88" i="2" s="1"/>
  <c r="X88" i="2" s="1"/>
  <c r="Y88" i="2" s="1"/>
  <c r="Z88" i="2" s="1"/>
  <c r="AA88" i="2" s="1"/>
  <c r="AB88" i="2" s="1"/>
  <c r="S105" i="2"/>
  <c r="R107" i="2"/>
  <c r="R108" i="2"/>
  <c r="R109" i="2"/>
  <c r="S109" i="2" s="1"/>
  <c r="T109" i="2" s="1"/>
  <c r="U109" i="2" s="1"/>
  <c r="V109" i="2" s="1"/>
  <c r="W109" i="2" s="1"/>
  <c r="X109" i="2" s="1"/>
  <c r="Y109" i="2" s="1"/>
  <c r="Z109" i="2" s="1"/>
  <c r="AA109" i="2" s="1"/>
  <c r="AB109" i="2" s="1"/>
  <c r="C114" i="2"/>
  <c r="K115" i="2"/>
  <c r="L115" i="2"/>
  <c r="M115" i="2"/>
  <c r="N115" i="2"/>
  <c r="O115" i="2"/>
  <c r="P115" i="2"/>
  <c r="Q115" i="2"/>
  <c r="N116" i="2"/>
  <c r="C120" i="2"/>
  <c r="D120" i="2"/>
  <c r="E120" i="2"/>
  <c r="F120" i="2"/>
  <c r="G120" i="2"/>
  <c r="H120" i="2"/>
  <c r="K120" i="2"/>
  <c r="L120" i="2"/>
  <c r="M120" i="2"/>
  <c r="N120" i="2"/>
  <c r="O120" i="2"/>
  <c r="P120" i="2"/>
  <c r="Q120" i="2"/>
  <c r="R120" i="2" s="1"/>
  <c r="S120" i="2" s="1"/>
  <c r="T120" i="2" s="1"/>
  <c r="U120" i="2" s="1"/>
  <c r="V120" i="2" s="1"/>
  <c r="W120" i="2" s="1"/>
  <c r="X120" i="2" s="1"/>
  <c r="Y120" i="2" s="1"/>
  <c r="Z120" i="2" s="1"/>
  <c r="AA120" i="2" s="1"/>
  <c r="AB120" i="2" s="1"/>
  <c r="C141" i="2"/>
  <c r="D141" i="2"/>
  <c r="E141" i="2"/>
  <c r="F141" i="2"/>
  <c r="G141" i="2"/>
  <c r="H141" i="2"/>
  <c r="I141" i="2"/>
  <c r="J141" i="2"/>
  <c r="K141" i="2"/>
  <c r="L141" i="2"/>
  <c r="M141" i="2"/>
  <c r="N141" i="2"/>
  <c r="O141" i="2"/>
  <c r="P141" i="2"/>
  <c r="Q141" i="2"/>
  <c r="R141" i="2"/>
  <c r="S141" i="2"/>
  <c r="T141" i="2"/>
  <c r="U141" i="2"/>
  <c r="V141" i="2"/>
  <c r="W141" i="2"/>
  <c r="X141" i="2"/>
  <c r="Y141" i="2"/>
  <c r="Z141" i="2"/>
  <c r="AA141" i="2"/>
  <c r="AB141" i="2"/>
  <c r="E150" i="2"/>
  <c r="F150" i="2"/>
  <c r="G150" i="2"/>
  <c r="H150" i="2"/>
  <c r="E152" i="2"/>
  <c r="E153" i="2" s="1"/>
  <c r="E163" i="2" s="1"/>
  <c r="F152" i="2"/>
  <c r="F153" i="2" s="1"/>
  <c r="F163" i="2" s="1"/>
  <c r="K152" i="2"/>
  <c r="K153" i="2" s="1"/>
  <c r="E158" i="2"/>
  <c r="E159" i="2" s="1"/>
  <c r="F158" i="2"/>
  <c r="F159" i="2" s="1"/>
  <c r="G158" i="2"/>
  <c r="G159" i="2" s="1"/>
  <c r="H158" i="2"/>
  <c r="H159" i="2" s="1"/>
  <c r="I158" i="2"/>
  <c r="I159" i="2" s="1"/>
  <c r="I164" i="2" s="1"/>
  <c r="J158" i="2"/>
  <c r="J159" i="2" s="1"/>
  <c r="K158" i="2"/>
  <c r="K159" i="2" s="1"/>
  <c r="K164" i="2" s="1"/>
  <c r="R173" i="2"/>
  <c r="S173" i="2"/>
  <c r="T173" i="2"/>
  <c r="U173" i="2"/>
  <c r="V173" i="2"/>
  <c r="W173" i="2"/>
  <c r="X173" i="2"/>
  <c r="Y173" i="2"/>
  <c r="Z173" i="2"/>
  <c r="AA173" i="2"/>
  <c r="AB173" i="2"/>
  <c r="C176" i="2"/>
  <c r="C177" i="2" s="1"/>
  <c r="D176" i="2"/>
  <c r="E176" i="2"/>
  <c r="F176" i="2"/>
  <c r="G176" i="2"/>
  <c r="G177" i="2" s="1"/>
  <c r="H176" i="2"/>
  <c r="I176" i="2"/>
  <c r="J176" i="2"/>
  <c r="K176" i="2"/>
  <c r="K177" i="2" s="1"/>
  <c r="L176" i="2"/>
  <c r="M176" i="2"/>
  <c r="N176" i="2"/>
  <c r="O176" i="2"/>
  <c r="O177" i="2" s="1"/>
  <c r="P176" i="2"/>
  <c r="Q176" i="2"/>
  <c r="R176" i="2"/>
  <c r="S176" i="2"/>
  <c r="S178" i="2" s="1"/>
  <c r="S179" i="2" s="1"/>
  <c r="T176" i="2"/>
  <c r="U176" i="2"/>
  <c r="V176" i="2"/>
  <c r="W176" i="2"/>
  <c r="W178" i="2" s="1"/>
  <c r="W179" i="2" s="1"/>
  <c r="X176" i="2"/>
  <c r="Y176" i="2"/>
  <c r="Z176" i="2"/>
  <c r="AA176" i="2"/>
  <c r="AA178" i="2" s="1"/>
  <c r="AA179" i="2" s="1"/>
  <c r="AB176" i="2"/>
  <c r="D177" i="2"/>
  <c r="E177" i="2"/>
  <c r="F177" i="2"/>
  <c r="H177" i="2"/>
  <c r="I177" i="2"/>
  <c r="J177" i="2"/>
  <c r="L177" i="2"/>
  <c r="M177" i="2"/>
  <c r="N177" i="2"/>
  <c r="P177" i="2"/>
  <c r="Q177" i="2"/>
  <c r="R177" i="2"/>
  <c r="T178" i="2"/>
  <c r="U178" i="2"/>
  <c r="V178" i="2"/>
  <c r="X178" i="2"/>
  <c r="Y178" i="2"/>
  <c r="Z178" i="2"/>
  <c r="AB178" i="2"/>
  <c r="R179" i="2"/>
  <c r="T179" i="2"/>
  <c r="U179" i="2"/>
  <c r="V179" i="2"/>
  <c r="X179" i="2"/>
  <c r="Y179" i="2"/>
  <c r="Z179" i="2"/>
  <c r="AB179" i="2"/>
  <c r="C183" i="2"/>
  <c r="D183" i="2"/>
  <c r="E183" i="2"/>
  <c r="F183" i="2"/>
  <c r="G183" i="2"/>
  <c r="H183" i="2"/>
  <c r="I183" i="2"/>
  <c r="J183" i="2"/>
  <c r="K183" i="2"/>
  <c r="L183" i="2"/>
  <c r="M183" i="2"/>
  <c r="N183" i="2"/>
  <c r="O183" i="2"/>
  <c r="P183" i="2"/>
  <c r="Q183" i="2"/>
  <c r="R183" i="2"/>
  <c r="S183" i="2"/>
  <c r="T183" i="2"/>
  <c r="U183" i="2"/>
  <c r="V183" i="2"/>
  <c r="W183" i="2"/>
  <c r="X183" i="2"/>
  <c r="Y183" i="2"/>
  <c r="Z183" i="2"/>
  <c r="AA183" i="2"/>
  <c r="AB183" i="2"/>
  <c r="R184" i="2"/>
  <c r="S184" i="2"/>
  <c r="T184" i="2"/>
  <c r="U184" i="2"/>
  <c r="V184" i="2"/>
  <c r="W184" i="2"/>
  <c r="X184" i="2"/>
  <c r="Y184" i="2"/>
  <c r="Z184" i="2"/>
  <c r="AA184" i="2"/>
  <c r="AB184" i="2"/>
  <c r="F194" i="2"/>
  <c r="G194" i="2"/>
  <c r="I194" i="2"/>
  <c r="J194" i="2"/>
  <c r="K194" i="2"/>
  <c r="L194" i="2"/>
  <c r="M194" i="2"/>
  <c r="N194" i="2"/>
  <c r="O194" i="2"/>
  <c r="F195" i="2"/>
  <c r="G195" i="2"/>
  <c r="H195" i="2"/>
  <c r="I195" i="2"/>
  <c r="J195" i="2"/>
  <c r="K195" i="2"/>
  <c r="L195" i="2"/>
  <c r="M195" i="2"/>
  <c r="N195" i="2"/>
  <c r="O195" i="2"/>
  <c r="P195" i="2"/>
  <c r="Q195" i="2"/>
  <c r="F199" i="2"/>
  <c r="F202" i="2" s="1"/>
  <c r="F210" i="2" s="1"/>
  <c r="G199" i="2"/>
  <c r="G202" i="2" s="1"/>
  <c r="H199" i="2"/>
  <c r="H202" i="2" s="1"/>
  <c r="I199" i="2"/>
  <c r="I202" i="2" s="1"/>
  <c r="J199" i="2"/>
  <c r="J202" i="2" s="1"/>
  <c r="K199" i="2"/>
  <c r="L199" i="2"/>
  <c r="M199" i="2"/>
  <c r="M202" i="2" s="1"/>
  <c r="N199" i="2"/>
  <c r="N202" i="2" s="1"/>
  <c r="N210" i="2" s="1"/>
  <c r="O199" i="2"/>
  <c r="P199" i="2"/>
  <c r="P202" i="2" s="1"/>
  <c r="Q199" i="2"/>
  <c r="K200" i="2"/>
  <c r="M200" i="2"/>
  <c r="H201" i="2"/>
  <c r="O201" i="2"/>
  <c r="P201" i="2"/>
  <c r="Q201" i="2"/>
  <c r="R204" i="2"/>
  <c r="S204" i="2"/>
  <c r="T204" i="2"/>
  <c r="U204" i="2"/>
  <c r="V204" i="2"/>
  <c r="R205" i="2"/>
  <c r="S205" i="2"/>
  <c r="T205" i="2"/>
  <c r="U205" i="2"/>
  <c r="V205" i="2"/>
  <c r="W205" i="2"/>
  <c r="X205" i="2"/>
  <c r="Y205" i="2"/>
  <c r="Z205" i="2"/>
  <c r="AA205" i="2"/>
  <c r="AB205" i="2"/>
  <c r="D210" i="2"/>
  <c r="E210" i="2"/>
  <c r="E214" i="2"/>
  <c r="F214" i="2"/>
  <c r="G214" i="2"/>
  <c r="H214" i="2"/>
  <c r="I214" i="2"/>
  <c r="J214" i="2"/>
  <c r="K214" i="2"/>
  <c r="L214" i="2"/>
  <c r="M214" i="2"/>
  <c r="N214" i="2"/>
  <c r="O214" i="2"/>
  <c r="P214" i="2"/>
  <c r="Q214" i="2"/>
  <c r="F216" i="2"/>
  <c r="G216" i="2"/>
  <c r="H216" i="2"/>
  <c r="I216" i="2"/>
  <c r="J216" i="2"/>
  <c r="K216" i="2"/>
  <c r="L216" i="2"/>
  <c r="M216" i="2"/>
  <c r="N216" i="2"/>
  <c r="O216" i="2"/>
  <c r="P216" i="2"/>
  <c r="Q216" i="2"/>
  <c r="R216" i="2"/>
  <c r="S216" i="2"/>
  <c r="T216" i="2"/>
  <c r="U216" i="2"/>
  <c r="V216" i="2"/>
  <c r="W216" i="2"/>
  <c r="X216" i="2"/>
  <c r="Y216" i="2"/>
  <c r="Z216" i="2"/>
  <c r="AA216" i="2"/>
  <c r="AB216" i="2"/>
  <c r="F217" i="2"/>
  <c r="G217" i="2"/>
  <c r="H217" i="2"/>
  <c r="I217" i="2"/>
  <c r="J217" i="2"/>
  <c r="K217" i="2"/>
  <c r="L217" i="2"/>
  <c r="M217" i="2"/>
  <c r="N217" i="2"/>
  <c r="O217" i="2"/>
  <c r="F222" i="2"/>
  <c r="F223" i="2"/>
  <c r="G223" i="2"/>
  <c r="H223" i="2"/>
  <c r="J223" i="2"/>
  <c r="K223" i="2"/>
  <c r="F225" i="2"/>
  <c r="G225" i="2"/>
  <c r="H225" i="2"/>
  <c r="I225" i="2"/>
  <c r="J225" i="2"/>
  <c r="K225" i="2"/>
  <c r="N226" i="2"/>
  <c r="V232" i="2"/>
  <c r="W232" i="2" s="1"/>
  <c r="X232" i="2" s="1"/>
  <c r="Y232" i="2" s="1"/>
  <c r="Z232" i="2" s="1"/>
  <c r="AA232" i="2" s="1"/>
  <c r="AB232" i="2" s="1"/>
  <c r="M235" i="2"/>
  <c r="R239" i="2"/>
  <c r="S239" i="2"/>
  <c r="T239" i="2"/>
  <c r="U239" i="2"/>
  <c r="V239" i="2"/>
  <c r="W239" i="2"/>
  <c r="X239" i="2"/>
  <c r="Y239" i="2"/>
  <c r="Z239" i="2"/>
  <c r="AA239" i="2"/>
  <c r="AB239" i="2"/>
  <c r="F240" i="2"/>
  <c r="G240" i="2"/>
  <c r="H240" i="2"/>
  <c r="I240" i="2"/>
  <c r="J240" i="2"/>
  <c r="K240" i="2"/>
  <c r="L240" i="2"/>
  <c r="M240" i="2"/>
  <c r="N240" i="2"/>
  <c r="O240" i="2"/>
  <c r="P240" i="2"/>
  <c r="Q240" i="2"/>
  <c r="C251" i="2"/>
  <c r="D251" i="2"/>
  <c r="D197" i="2" s="1"/>
  <c r="D209" i="2" s="1"/>
  <c r="E251" i="2"/>
  <c r="E197" i="2" s="1"/>
  <c r="E209" i="2" s="1"/>
  <c r="J251" i="2"/>
  <c r="J197" i="2" s="1"/>
  <c r="C252" i="2"/>
  <c r="D252" i="2"/>
  <c r="E252" i="2"/>
  <c r="C253" i="2"/>
  <c r="D253" i="2"/>
  <c r="E253" i="2"/>
  <c r="C254" i="2"/>
  <c r="E254" i="2"/>
  <c r="Q254" i="2"/>
  <c r="C255" i="2"/>
  <c r="D255" i="2"/>
  <c r="E255" i="2"/>
  <c r="C257" i="2"/>
  <c r="D257" i="2"/>
  <c r="E257" i="2"/>
  <c r="F257" i="2"/>
  <c r="G257" i="2"/>
  <c r="H257" i="2"/>
  <c r="I257" i="2"/>
  <c r="J257" i="2"/>
  <c r="K257" i="2"/>
  <c r="L257" i="2"/>
  <c r="M257" i="2"/>
  <c r="N257" i="2"/>
  <c r="O257" i="2"/>
  <c r="P257" i="2"/>
  <c r="Q257" i="2"/>
  <c r="C260" i="2"/>
  <c r="D260" i="2"/>
  <c r="E260" i="2"/>
  <c r="F260" i="2"/>
  <c r="G260" i="2"/>
  <c r="H260" i="2"/>
  <c r="I260" i="2"/>
  <c r="J260" i="2"/>
  <c r="K260" i="2"/>
  <c r="L260" i="2"/>
  <c r="M260" i="2"/>
  <c r="N260" i="2"/>
  <c r="O260" i="2"/>
  <c r="P260" i="2"/>
  <c r="Q260" i="2"/>
  <c r="AO270" i="2"/>
  <c r="AP270" i="2" s="1"/>
  <c r="AQ270" i="2" s="1"/>
  <c r="AR270" i="2" s="1"/>
  <c r="AS270" i="2" s="1"/>
  <c r="AT270" i="2" s="1"/>
  <c r="AU270" i="2" s="1"/>
  <c r="AV270" i="2" s="1"/>
  <c r="AW270" i="2" s="1"/>
  <c r="AX270" i="2" s="1"/>
  <c r="AJ272" i="2"/>
  <c r="AJ273" i="2" s="1"/>
  <c r="AJ274" i="2" s="1"/>
  <c r="AJ275" i="2" s="1"/>
  <c r="AJ276" i="2" s="1"/>
  <c r="AJ277" i="2" s="1"/>
  <c r="AJ278" i="2" s="1"/>
  <c r="AJ279" i="2" s="1"/>
  <c r="AJ280" i="2" s="1"/>
  <c r="AJ281" i="2" s="1"/>
  <c r="AJ282" i="2" s="1"/>
  <c r="AJ283" i="2" s="1"/>
  <c r="AJ284" i="2" s="1"/>
  <c r="AJ285" i="2" s="1"/>
  <c r="AM272" i="2"/>
  <c r="AM273" i="2" s="1"/>
  <c r="AM274" i="2" s="1"/>
  <c r="AM275" i="2" s="1"/>
  <c r="AM276" i="2" s="1"/>
  <c r="AM277" i="2" s="1"/>
  <c r="AM278" i="2" s="1"/>
  <c r="AM279" i="2" s="1"/>
  <c r="AM280" i="2" s="1"/>
  <c r="AM281" i="2" s="1"/>
  <c r="AM282" i="2" s="1"/>
  <c r="AM283" i="2" s="1"/>
  <c r="AM284" i="2" s="1"/>
  <c r="AM285" i="2" s="1"/>
  <c r="C2" i="3"/>
  <c r="C3" i="3" s="1"/>
  <c r="E10" i="3"/>
  <c r="F10" i="3"/>
  <c r="G10" i="3" s="1"/>
  <c r="E11" i="3"/>
  <c r="F11" i="3"/>
  <c r="G11" i="3" s="1"/>
  <c r="H11" i="3" s="1"/>
  <c r="I11" i="3" s="1"/>
  <c r="J11" i="3" s="1"/>
  <c r="K11" i="3" s="1"/>
  <c r="L11" i="3" s="1"/>
  <c r="M11" i="3" s="1"/>
  <c r="C32" i="3"/>
  <c r="C38" i="3"/>
  <c r="N185" i="1" l="1"/>
  <c r="J112" i="2"/>
  <c r="M81" i="2"/>
  <c r="N91" i="2" s="1"/>
  <c r="G224" i="2"/>
  <c r="I223" i="2"/>
  <c r="O367" i="1"/>
  <c r="O223" i="2"/>
  <c r="M185" i="1"/>
  <c r="P254" i="2"/>
  <c r="G235" i="2"/>
  <c r="Q225" i="2"/>
  <c r="O235" i="2"/>
  <c r="O236" i="2" s="1"/>
  <c r="F60" i="2"/>
  <c r="P274" i="1"/>
  <c r="P100" i="1"/>
  <c r="L235" i="2"/>
  <c r="L274" i="1"/>
  <c r="Q154" i="1"/>
  <c r="Q160" i="1" s="1"/>
  <c r="Q16" i="1" s="1"/>
  <c r="N358" i="1"/>
  <c r="K78" i="2"/>
  <c r="N100" i="1"/>
  <c r="P235" i="2"/>
  <c r="P238" i="2" s="1"/>
  <c r="H80" i="2"/>
  <c r="H106" i="2" s="1"/>
  <c r="I353" i="1"/>
  <c r="H351" i="1"/>
  <c r="H340" i="1"/>
  <c r="H346" i="1" s="1"/>
  <c r="G83" i="2" s="1"/>
  <c r="N196" i="2"/>
  <c r="I60" i="2"/>
  <c r="H235" i="2"/>
  <c r="H241" i="2" s="1"/>
  <c r="G80" i="2"/>
  <c r="G106" i="2" s="1"/>
  <c r="P112" i="2"/>
  <c r="L112" i="2"/>
  <c r="H112" i="2"/>
  <c r="D112" i="2"/>
  <c r="R358" i="1"/>
  <c r="M154" i="1"/>
  <c r="M160" i="1" s="1"/>
  <c r="M16" i="1" s="1"/>
  <c r="F136" i="1"/>
  <c r="P224" i="2"/>
  <c r="K236" i="2"/>
  <c r="M225" i="2"/>
  <c r="F161" i="2"/>
  <c r="F184" i="2" s="1"/>
  <c r="F185" i="2" s="1"/>
  <c r="M118" i="2"/>
  <c r="P78" i="2"/>
  <c r="P84" i="2" s="1"/>
  <c r="G78" i="2"/>
  <c r="J60" i="2"/>
  <c r="K205" i="2" s="1"/>
  <c r="K12" i="2" s="1"/>
  <c r="I229" i="1"/>
  <c r="M56" i="1"/>
  <c r="P126" i="1"/>
  <c r="Q56" i="1"/>
  <c r="H254" i="2"/>
  <c r="I235" i="2"/>
  <c r="I238" i="2" s="1"/>
  <c r="O231" i="2"/>
  <c r="O86" i="2"/>
  <c r="O78" i="2"/>
  <c r="N112" i="2"/>
  <c r="F112" i="2"/>
  <c r="J229" i="1"/>
  <c r="J10" i="1" s="1"/>
  <c r="I252" i="1"/>
  <c r="H255" i="2" s="1"/>
  <c r="J100" i="1"/>
  <c r="R126" i="1"/>
  <c r="N106" i="2"/>
  <c r="L225" i="2"/>
  <c r="M218" i="2"/>
  <c r="H368" i="1"/>
  <c r="N367" i="1"/>
  <c r="D297" i="1"/>
  <c r="Q251" i="2"/>
  <c r="Q197" i="2" s="1"/>
  <c r="Q196" i="2" s="1"/>
  <c r="L251" i="2"/>
  <c r="L197" i="2" s="1"/>
  <c r="L196" i="2" s="1"/>
  <c r="Q235" i="2"/>
  <c r="Q236" i="2" s="1"/>
  <c r="H194" i="2"/>
  <c r="H152" i="2"/>
  <c r="H153" i="2" s="1"/>
  <c r="H163" i="2" s="1"/>
  <c r="J106" i="2"/>
  <c r="J367" i="1"/>
  <c r="L357" i="1"/>
  <c r="L399" i="1" s="1"/>
  <c r="L403" i="1" s="1"/>
  <c r="L404" i="1" s="1"/>
  <c r="L238" i="2"/>
  <c r="F140" i="1"/>
  <c r="N136" i="1"/>
  <c r="K252" i="1"/>
  <c r="J255" i="2" s="1"/>
  <c r="G252" i="1"/>
  <c r="F255" i="2" s="1"/>
  <c r="M251" i="2"/>
  <c r="M197" i="2" s="1"/>
  <c r="M196" i="2" s="1"/>
  <c r="H380" i="1"/>
  <c r="R249" i="1"/>
  <c r="Q252" i="2" s="1"/>
  <c r="G140" i="1"/>
  <c r="L254" i="2"/>
  <c r="D254" i="2"/>
  <c r="P251" i="2"/>
  <c r="P197" i="2" s="1"/>
  <c r="J196" i="2"/>
  <c r="P225" i="2"/>
  <c r="O161" i="2"/>
  <c r="O184" i="2" s="1"/>
  <c r="O185" i="2" s="1"/>
  <c r="G152" i="2"/>
  <c r="G153" i="2" s="1"/>
  <c r="G163" i="2" s="1"/>
  <c r="K116" i="2"/>
  <c r="I106" i="2"/>
  <c r="I110" i="2" s="1"/>
  <c r="I24" i="2" s="1"/>
  <c r="Q81" i="2"/>
  <c r="Q104" i="2" s="1"/>
  <c r="L78" i="2"/>
  <c r="L190" i="2" s="1"/>
  <c r="R367" i="1"/>
  <c r="M223" i="1"/>
  <c r="M229" i="1" s="1"/>
  <c r="M10" i="1" s="1"/>
  <c r="R140" i="1"/>
  <c r="G254" i="2"/>
  <c r="I243" i="2"/>
  <c r="I244" i="2" s="1"/>
  <c r="N235" i="2"/>
  <c r="N236" i="2" s="1"/>
  <c r="J235" i="2"/>
  <c r="J238" i="2" s="1"/>
  <c r="F235" i="2"/>
  <c r="G241" i="2" s="1"/>
  <c r="P223" i="2"/>
  <c r="P231" i="2" s="1"/>
  <c r="O160" i="2"/>
  <c r="O179" i="2" s="1"/>
  <c r="O180" i="2" s="1"/>
  <c r="P116" i="2"/>
  <c r="Q114" i="2"/>
  <c r="O106" i="2"/>
  <c r="Q161" i="2"/>
  <c r="Q184" i="2" s="1"/>
  <c r="Q185" i="2" s="1"/>
  <c r="M161" i="2"/>
  <c r="M184" i="2" s="1"/>
  <c r="M185" i="2" s="1"/>
  <c r="J62" i="2"/>
  <c r="E368" i="1"/>
  <c r="K326" i="1"/>
  <c r="K330" i="1" s="1"/>
  <c r="J76" i="2" s="1"/>
  <c r="R124" i="1"/>
  <c r="K254" i="2"/>
  <c r="L224" i="2"/>
  <c r="J152" i="2"/>
  <c r="J153" i="2" s="1"/>
  <c r="J163" i="2" s="1"/>
  <c r="Q78" i="2"/>
  <c r="D371" i="1"/>
  <c r="C116" i="2" s="1"/>
  <c r="K140" i="1"/>
  <c r="H139" i="1"/>
  <c r="G237" i="2"/>
  <c r="O254" i="2"/>
  <c r="O251" i="2"/>
  <c r="O197" i="2" s="1"/>
  <c r="O209" i="2" s="1"/>
  <c r="L223" i="2"/>
  <c r="P213" i="2"/>
  <c r="P215" i="2" s="1"/>
  <c r="Q118" i="2"/>
  <c r="K106" i="2"/>
  <c r="O87" i="2"/>
  <c r="O112" i="2"/>
  <c r="K112" i="2"/>
  <c r="G112" i="2"/>
  <c r="P46" i="2"/>
  <c r="G60" i="2"/>
  <c r="G204" i="2" s="1"/>
  <c r="G11" i="2" s="1"/>
  <c r="P357" i="1"/>
  <c r="P399" i="1" s="1"/>
  <c r="P403" i="1" s="1"/>
  <c r="P404" i="1" s="1"/>
  <c r="P223" i="1"/>
  <c r="P229" i="1" s="1"/>
  <c r="P235" i="1" s="1"/>
  <c r="P18" i="1" s="1"/>
  <c r="R16" i="2"/>
  <c r="R106" i="2"/>
  <c r="F120" i="1"/>
  <c r="M62" i="1"/>
  <c r="K237" i="2"/>
  <c r="I224" i="2"/>
  <c r="K161" i="2"/>
  <c r="K184" i="2" s="1"/>
  <c r="K185" i="2" s="1"/>
  <c r="Q116" i="2"/>
  <c r="L204" i="2"/>
  <c r="L11" i="2" s="1"/>
  <c r="J358" i="1"/>
  <c r="I340" i="1"/>
  <c r="I346" i="1" s="1"/>
  <c r="H83" i="2" s="1"/>
  <c r="H84" i="2" s="1"/>
  <c r="R274" i="1"/>
  <c r="N271" i="1"/>
  <c r="P238" i="1"/>
  <c r="O152" i="2" s="1"/>
  <c r="O153" i="2" s="1"/>
  <c r="O163" i="2" s="1"/>
  <c r="O165" i="2" s="1"/>
  <c r="O248" i="2" s="1"/>
  <c r="O232" i="2" s="1"/>
  <c r="O140" i="1"/>
  <c r="J140" i="1"/>
  <c r="R139" i="1"/>
  <c r="J136" i="1"/>
  <c r="R100" i="1"/>
  <c r="L100" i="1"/>
  <c r="R89" i="1"/>
  <c r="L207" i="1"/>
  <c r="L17" i="1" s="1"/>
  <c r="G227" i="2"/>
  <c r="O225" i="2"/>
  <c r="M224" i="2"/>
  <c r="P218" i="2"/>
  <c r="L213" i="2"/>
  <c r="L215" i="2" s="1"/>
  <c r="G161" i="2"/>
  <c r="G184" i="2" s="1"/>
  <c r="G185" i="2" s="1"/>
  <c r="N118" i="2"/>
  <c r="Q106" i="2"/>
  <c r="D80" i="2"/>
  <c r="D106" i="2" s="1"/>
  <c r="I78" i="2"/>
  <c r="E112" i="2"/>
  <c r="E358" i="1"/>
  <c r="D357" i="1"/>
  <c r="O340" i="1"/>
  <c r="O346" i="1" s="1"/>
  <c r="N83" i="2" s="1"/>
  <c r="I326" i="1"/>
  <c r="I330" i="1" s="1"/>
  <c r="H76" i="2" s="1"/>
  <c r="J330" i="1"/>
  <c r="I76" i="2" s="1"/>
  <c r="N140" i="1"/>
  <c r="J139" i="1"/>
  <c r="R136" i="1"/>
  <c r="Q252" i="1"/>
  <c r="P255" i="2" s="1"/>
  <c r="K97" i="1"/>
  <c r="Q223" i="2"/>
  <c r="O218" i="2"/>
  <c r="K218" i="2"/>
  <c r="G218" i="2"/>
  <c r="M78" i="2"/>
  <c r="E351" i="1"/>
  <c r="F247" i="1"/>
  <c r="E250" i="2" s="1"/>
  <c r="E256" i="2" s="1"/>
  <c r="E259" i="2" s="1"/>
  <c r="E261" i="2" s="1"/>
  <c r="E14" i="2" s="1"/>
  <c r="N179" i="1"/>
  <c r="P124" i="1"/>
  <c r="I36" i="1"/>
  <c r="I42" i="1" s="1"/>
  <c r="I14" i="1" s="1"/>
  <c r="E36" i="1"/>
  <c r="E6" i="1" s="1"/>
  <c r="M357" i="1"/>
  <c r="M399" i="1" s="1"/>
  <c r="M403" i="1" s="1"/>
  <c r="M404" i="1" s="1"/>
  <c r="N9" i="1"/>
  <c r="N207" i="1"/>
  <c r="H124" i="1"/>
  <c r="H126" i="1"/>
  <c r="H252" i="1"/>
  <c r="G255" i="2" s="1"/>
  <c r="I126" i="1"/>
  <c r="I249" i="1"/>
  <c r="H252" i="2" s="1"/>
  <c r="L83" i="1"/>
  <c r="O205" i="2"/>
  <c r="O12" i="2" s="1"/>
  <c r="H81" i="2"/>
  <c r="I86" i="2" s="1"/>
  <c r="K190" i="2"/>
  <c r="O118" i="2"/>
  <c r="K118" i="2"/>
  <c r="E70" i="2"/>
  <c r="E113" i="2" s="1"/>
  <c r="Q72" i="2"/>
  <c r="Q75" i="2" s="1"/>
  <c r="R75" i="2" s="1"/>
  <c r="S75" i="2" s="1"/>
  <c r="T75" i="2" s="1"/>
  <c r="U75" i="2" s="1"/>
  <c r="V75" i="2" s="1"/>
  <c r="W75" i="2" s="1"/>
  <c r="X75" i="2" s="1"/>
  <c r="Y75" i="2" s="1"/>
  <c r="Z75" i="2" s="1"/>
  <c r="AA75" i="2" s="1"/>
  <c r="AB75" i="2" s="1"/>
  <c r="Q112" i="2"/>
  <c r="M72" i="2"/>
  <c r="M112" i="2"/>
  <c r="I72" i="2"/>
  <c r="I112" i="2"/>
  <c r="K83" i="2"/>
  <c r="G351" i="1"/>
  <c r="F80" i="2"/>
  <c r="L270" i="1"/>
  <c r="L126" i="1"/>
  <c r="Q357" i="1"/>
  <c r="Q399" i="1" s="1"/>
  <c r="Q403" i="1" s="1"/>
  <c r="Q404" i="1" s="1"/>
  <c r="P326" i="1"/>
  <c r="P330" i="1" s="1"/>
  <c r="O76" i="2" s="1"/>
  <c r="P367" i="1"/>
  <c r="D318" i="1"/>
  <c r="C68" i="2" s="1"/>
  <c r="C72" i="2" s="1"/>
  <c r="C73" i="2"/>
  <c r="L124" i="1"/>
  <c r="L252" i="1"/>
  <c r="K255" i="2" s="1"/>
  <c r="M126" i="1"/>
  <c r="M124" i="1"/>
  <c r="M249" i="1"/>
  <c r="L252" i="2" s="1"/>
  <c r="N225" i="2"/>
  <c r="H224" i="2"/>
  <c r="H227" i="2" s="1"/>
  <c r="L72" i="2"/>
  <c r="D336" i="1"/>
  <c r="C79" i="2" s="1"/>
  <c r="N190" i="2"/>
  <c r="K340" i="1"/>
  <c r="K346" i="1" s="1"/>
  <c r="J78" i="2"/>
  <c r="G340" i="1"/>
  <c r="G346" i="1" s="1"/>
  <c r="F78" i="2"/>
  <c r="F55" i="2" s="1"/>
  <c r="P253" i="1"/>
  <c r="J160" i="1"/>
  <c r="J16" i="1" s="1"/>
  <c r="J252" i="1"/>
  <c r="I255" i="2" s="1"/>
  <c r="I124" i="1"/>
  <c r="R108" i="1"/>
  <c r="R114" i="1" s="1"/>
  <c r="R7" i="1" s="1"/>
  <c r="R238" i="1"/>
  <c r="Q152" i="2" s="1"/>
  <c r="Q153" i="2" s="1"/>
  <c r="Q163" i="2" s="1"/>
  <c r="N108" i="1"/>
  <c r="N114" i="1" s="1"/>
  <c r="N238" i="1"/>
  <c r="M152" i="2" s="1"/>
  <c r="M153" i="2" s="1"/>
  <c r="M163" i="2" s="1"/>
  <c r="J7" i="1"/>
  <c r="J120" i="1"/>
  <c r="J15" i="1" s="1"/>
  <c r="P83" i="1"/>
  <c r="Q84" i="1"/>
  <c r="P194" i="2"/>
  <c r="L87" i="2"/>
  <c r="L106" i="2"/>
  <c r="L326" i="1"/>
  <c r="L330" i="1" s="1"/>
  <c r="K76" i="2" s="1"/>
  <c r="L367" i="1"/>
  <c r="Q126" i="1"/>
  <c r="Q249" i="1"/>
  <c r="P252" i="2" s="1"/>
  <c r="Q124" i="1"/>
  <c r="N254" i="2"/>
  <c r="J254" i="2"/>
  <c r="I203" i="2"/>
  <c r="I10" i="2" s="1"/>
  <c r="Q205" i="2"/>
  <c r="Q12" i="2" s="1"/>
  <c r="Q202" i="2"/>
  <c r="M203" i="2"/>
  <c r="M10" i="2" s="1"/>
  <c r="G190" i="2"/>
  <c r="C106" i="2"/>
  <c r="C81" i="2"/>
  <c r="C91" i="2" s="1"/>
  <c r="E380" i="1"/>
  <c r="J241" i="1"/>
  <c r="J247" i="1" s="1"/>
  <c r="I152" i="2"/>
  <c r="I153" i="2" s="1"/>
  <c r="I163" i="2" s="1"/>
  <c r="I165" i="2" s="1"/>
  <c r="I248" i="2" s="1"/>
  <c r="P139" i="1"/>
  <c r="P140" i="1"/>
  <c r="L136" i="1"/>
  <c r="L139" i="1"/>
  <c r="L140" i="1"/>
  <c r="H140" i="1"/>
  <c r="Q100" i="1"/>
  <c r="Q97" i="1"/>
  <c r="M100" i="1"/>
  <c r="I100" i="1"/>
  <c r="H60" i="2"/>
  <c r="I97" i="1"/>
  <c r="O56" i="1"/>
  <c r="O62" i="1"/>
  <c r="I47" i="1"/>
  <c r="I62" i="2"/>
  <c r="Q30" i="1"/>
  <c r="Q36" i="1" s="1"/>
  <c r="Q6" i="1" s="1"/>
  <c r="Q238" i="1"/>
  <c r="P152" i="2" s="1"/>
  <c r="P153" i="2" s="1"/>
  <c r="P163" i="2" s="1"/>
  <c r="Q62" i="1"/>
  <c r="M238" i="1"/>
  <c r="L218" i="2"/>
  <c r="H218" i="2"/>
  <c r="H213" i="2"/>
  <c r="H203" i="2"/>
  <c r="H10" i="2" s="1"/>
  <c r="N87" i="2"/>
  <c r="R65" i="2"/>
  <c r="E372" i="1"/>
  <c r="D117" i="2" s="1"/>
  <c r="M358" i="1"/>
  <c r="K229" i="1"/>
  <c r="K235" i="1" s="1"/>
  <c r="G229" i="1"/>
  <c r="G10" i="1" s="1"/>
  <c r="H326" i="1"/>
  <c r="H330" i="1" s="1"/>
  <c r="G76" i="2" s="1"/>
  <c r="F255" i="1"/>
  <c r="F260" i="1" s="1"/>
  <c r="F262" i="1" s="1"/>
  <c r="F267" i="1" s="1"/>
  <c r="F277" i="1" s="1"/>
  <c r="F279" i="1" s="1"/>
  <c r="F313" i="1" s="1"/>
  <c r="G247" i="1"/>
  <c r="F250" i="2" s="1"/>
  <c r="E247" i="1"/>
  <c r="D250" i="2" s="1"/>
  <c r="D249" i="2" s="1"/>
  <c r="L247" i="1"/>
  <c r="H247" i="1"/>
  <c r="O97" i="1"/>
  <c r="O81" i="1"/>
  <c r="P204" i="2"/>
  <c r="P11" i="2" s="1"/>
  <c r="R87" i="2"/>
  <c r="J87" i="2"/>
  <c r="P72" i="2"/>
  <c r="Q358" i="1"/>
  <c r="I247" i="1"/>
  <c r="H250" i="2" s="1"/>
  <c r="D247" i="1"/>
  <c r="R223" i="1"/>
  <c r="R229" i="1" s="1"/>
  <c r="R235" i="1" s="1"/>
  <c r="R18" i="1" s="1"/>
  <c r="N223" i="1"/>
  <c r="N229" i="1" s="1"/>
  <c r="N10" i="1" s="1"/>
  <c r="F160" i="1"/>
  <c r="M97" i="1"/>
  <c r="Q89" i="1"/>
  <c r="Q74" i="1"/>
  <c r="I74" i="1"/>
  <c r="L164" i="2"/>
  <c r="G203" i="2"/>
  <c r="G10" i="2" s="1"/>
  <c r="G210" i="2"/>
  <c r="G164" i="2"/>
  <c r="K163" i="2"/>
  <c r="K165" i="2" s="1"/>
  <c r="K248" i="2" s="1"/>
  <c r="K247" i="1"/>
  <c r="K274" i="1"/>
  <c r="L241" i="2"/>
  <c r="E190" i="2"/>
  <c r="J161" i="2"/>
  <c r="J184" i="2" s="1"/>
  <c r="J185" i="2" s="1"/>
  <c r="E161" i="2"/>
  <c r="E184" i="2" s="1"/>
  <c r="E185" i="2" s="1"/>
  <c r="P87" i="2"/>
  <c r="K87" i="2"/>
  <c r="O91" i="2"/>
  <c r="N104" i="2"/>
  <c r="N86" i="2"/>
  <c r="Q87" i="2"/>
  <c r="P81" i="2"/>
  <c r="P91" i="2" s="1"/>
  <c r="M87" i="2"/>
  <c r="L81" i="2"/>
  <c r="M86" i="2" s="1"/>
  <c r="I87" i="2"/>
  <c r="P161" i="2"/>
  <c r="P184" i="2" s="1"/>
  <c r="P185" i="2" s="1"/>
  <c r="L161" i="2"/>
  <c r="L184" i="2" s="1"/>
  <c r="L185" i="2" s="1"/>
  <c r="H161" i="2"/>
  <c r="H184" i="2" s="1"/>
  <c r="H185" i="2" s="1"/>
  <c r="H72" i="2"/>
  <c r="E80" i="2"/>
  <c r="E106" i="2" s="1"/>
  <c r="F353" i="1"/>
  <c r="F357" i="1" s="1"/>
  <c r="R347" i="1"/>
  <c r="N347" i="1"/>
  <c r="J203" i="2"/>
  <c r="J10" i="2" s="1"/>
  <c r="J210" i="2"/>
  <c r="N53" i="2"/>
  <c r="N72" i="2"/>
  <c r="N75" i="2" s="1"/>
  <c r="J72" i="2"/>
  <c r="O358" i="1"/>
  <c r="K358" i="1"/>
  <c r="G358" i="1"/>
  <c r="I222" i="2"/>
  <c r="P7" i="1"/>
  <c r="P120" i="1"/>
  <c r="P15" i="1" s="1"/>
  <c r="K231" i="2"/>
  <c r="H164" i="2"/>
  <c r="AD120" i="2"/>
  <c r="E160" i="2"/>
  <c r="E179" i="2" s="1"/>
  <c r="E180" i="2" s="1"/>
  <c r="P118" i="2"/>
  <c r="L118" i="2"/>
  <c r="O72" i="2"/>
  <c r="I372" i="1"/>
  <c r="H117" i="2" s="1"/>
  <c r="F380" i="1"/>
  <c r="E67" i="2"/>
  <c r="G326" i="1"/>
  <c r="G330" i="1" s="1"/>
  <c r="F76" i="2" s="1"/>
  <c r="G380" i="1"/>
  <c r="F70" i="2"/>
  <c r="F113" i="2" s="1"/>
  <c r="Q326" i="1"/>
  <c r="Q330" i="1" s="1"/>
  <c r="P76" i="2" s="1"/>
  <c r="Q367" i="1"/>
  <c r="M326" i="1"/>
  <c r="M330" i="1" s="1"/>
  <c r="M367" i="1"/>
  <c r="E326" i="1"/>
  <c r="E330" i="1" s="1"/>
  <c r="D76" i="2" s="1"/>
  <c r="E367" i="1"/>
  <c r="O10" i="1"/>
  <c r="O235" i="1"/>
  <c r="O18" i="1" s="1"/>
  <c r="Q178" i="1"/>
  <c r="K238" i="2"/>
  <c r="F243" i="2"/>
  <c r="N224" i="2"/>
  <c r="J224" i="2"/>
  <c r="F224" i="2"/>
  <c r="F227" i="2" s="1"/>
  <c r="N223" i="2"/>
  <c r="I210" i="2"/>
  <c r="O204" i="2"/>
  <c r="O11" i="2" s="1"/>
  <c r="O202" i="2"/>
  <c r="G238" i="2"/>
  <c r="M241" i="2"/>
  <c r="Q218" i="2"/>
  <c r="I218" i="2"/>
  <c r="N204" i="2"/>
  <c r="N11" i="2" s="1"/>
  <c r="H190" i="2"/>
  <c r="N161" i="2"/>
  <c r="N184" i="2" s="1"/>
  <c r="N185" i="2" s="1"/>
  <c r="I161" i="2"/>
  <c r="I184" i="2" s="1"/>
  <c r="I185" i="2" s="1"/>
  <c r="M104" i="2"/>
  <c r="M110" i="2" s="1"/>
  <c r="M137" i="2" s="1"/>
  <c r="M142" i="2" s="1"/>
  <c r="M143" i="2" s="1"/>
  <c r="D72" i="2"/>
  <c r="K72" i="2"/>
  <c r="G72" i="2"/>
  <c r="R357" i="1"/>
  <c r="N357" i="1"/>
  <c r="J357" i="1"/>
  <c r="E340" i="1"/>
  <c r="E346" i="1" s="1"/>
  <c r="R269" i="1"/>
  <c r="N253" i="1"/>
  <c r="N269" i="1"/>
  <c r="J269" i="1"/>
  <c r="O270" i="1"/>
  <c r="O253" i="1"/>
  <c r="K270" i="1"/>
  <c r="Q53" i="2"/>
  <c r="M53" i="2"/>
  <c r="I53" i="2"/>
  <c r="P205" i="2"/>
  <c r="P12" i="2" s="1"/>
  <c r="M205" i="2"/>
  <c r="M12" i="2" s="1"/>
  <c r="P358" i="1"/>
  <c r="L358" i="1"/>
  <c r="H358" i="1"/>
  <c r="D358" i="1"/>
  <c r="O357" i="1"/>
  <c r="K357" i="1"/>
  <c r="P9" i="1"/>
  <c r="P207" i="1"/>
  <c r="H9" i="1"/>
  <c r="H207" i="1"/>
  <c r="H17" i="1" s="1"/>
  <c r="K84" i="2"/>
  <c r="R71" i="2"/>
  <c r="S71" i="2" s="1"/>
  <c r="P53" i="2"/>
  <c r="L53" i="2"/>
  <c r="D53" i="2"/>
  <c r="O46" i="2"/>
  <c r="L229" i="1"/>
  <c r="H229" i="1"/>
  <c r="Q223" i="1"/>
  <c r="Q229" i="1" s="1"/>
  <c r="Q239" i="1"/>
  <c r="K9" i="1"/>
  <c r="K207" i="1"/>
  <c r="O9" i="1"/>
  <c r="O207" i="1"/>
  <c r="G9" i="1"/>
  <c r="G207" i="1"/>
  <c r="G17" i="1" s="1"/>
  <c r="O148" i="1"/>
  <c r="O238" i="1"/>
  <c r="K8" i="1"/>
  <c r="K160" i="1"/>
  <c r="K16" i="1" s="1"/>
  <c r="H7" i="1"/>
  <c r="H120" i="1"/>
  <c r="H15" i="1" s="1"/>
  <c r="Q238" i="2"/>
  <c r="M238" i="2"/>
  <c r="K196" i="2"/>
  <c r="G196" i="2"/>
  <c r="N218" i="2"/>
  <c r="J218" i="2"/>
  <c r="F218" i="2"/>
  <c r="N213" i="2"/>
  <c r="N215" i="2" s="1"/>
  <c r="J213" i="2"/>
  <c r="F213" i="2"/>
  <c r="F215" i="2" s="1"/>
  <c r="N203" i="2"/>
  <c r="N10" i="2" s="1"/>
  <c r="K202" i="2"/>
  <c r="N205" i="2"/>
  <c r="N12" i="2" s="1"/>
  <c r="O53" i="2"/>
  <c r="K53" i="2"/>
  <c r="G53" i="2"/>
  <c r="F372" i="1"/>
  <c r="E117" i="2" s="1"/>
  <c r="F340" i="1"/>
  <c r="F346" i="1" s="1"/>
  <c r="F326" i="1"/>
  <c r="F330" i="1" s="1"/>
  <c r="E76" i="2" s="1"/>
  <c r="I10" i="1"/>
  <c r="I235" i="1"/>
  <c r="I18" i="1" s="1"/>
  <c r="P10" i="1"/>
  <c r="I8" i="1"/>
  <c r="I160" i="1"/>
  <c r="I16" i="1" s="1"/>
  <c r="O7" i="1"/>
  <c r="O120" i="1"/>
  <c r="O15" i="1" s="1"/>
  <c r="G7" i="1"/>
  <c r="G120" i="1"/>
  <c r="G15" i="1" s="1"/>
  <c r="R83" i="1"/>
  <c r="R81" i="1"/>
  <c r="N83" i="1"/>
  <c r="N81" i="1"/>
  <c r="Q83" i="1"/>
  <c r="Q81" i="1"/>
  <c r="M83" i="1"/>
  <c r="M81" i="1"/>
  <c r="R84" i="1"/>
  <c r="R74" i="1"/>
  <c r="P56" i="1"/>
  <c r="L56" i="1"/>
  <c r="Q9" i="1"/>
  <c r="Q207" i="1"/>
  <c r="I9" i="1"/>
  <c r="I207" i="1"/>
  <c r="I17" i="1" s="1"/>
  <c r="R179" i="1"/>
  <c r="N154" i="1"/>
  <c r="N160" i="1" s="1"/>
  <c r="N171" i="1"/>
  <c r="H8" i="1"/>
  <c r="H160" i="1"/>
  <c r="H16" i="1" s="1"/>
  <c r="Q136" i="1"/>
  <c r="Q139" i="1"/>
  <c r="M136" i="1"/>
  <c r="M139" i="1"/>
  <c r="I136" i="1"/>
  <c r="I139" i="1"/>
  <c r="L7" i="1"/>
  <c r="L120" i="1"/>
  <c r="L15" i="1" s="1"/>
  <c r="M7" i="1"/>
  <c r="M120" i="1"/>
  <c r="M15" i="1" s="1"/>
  <c r="R6" i="1"/>
  <c r="R42" i="1"/>
  <c r="R14" i="1" s="1"/>
  <c r="R207" i="1"/>
  <c r="J207" i="1"/>
  <c r="J17" i="1" s="1"/>
  <c r="G8" i="1"/>
  <c r="G160" i="1"/>
  <c r="G16" i="1" s="1"/>
  <c r="N124" i="1"/>
  <c r="N126" i="1"/>
  <c r="J124" i="1"/>
  <c r="J126" i="1"/>
  <c r="F124" i="1"/>
  <c r="F126" i="1"/>
  <c r="O124" i="1"/>
  <c r="O126" i="1"/>
  <c r="K124" i="1"/>
  <c r="K126" i="1"/>
  <c r="G124" i="1"/>
  <c r="G126" i="1"/>
  <c r="K7" i="1"/>
  <c r="K120" i="1"/>
  <c r="K15" i="1" s="1"/>
  <c r="M9" i="1"/>
  <c r="M207" i="1"/>
  <c r="P179" i="1"/>
  <c r="R154" i="1"/>
  <c r="R160" i="1" s="1"/>
  <c r="R171" i="1"/>
  <c r="N139" i="1"/>
  <c r="Q7" i="1"/>
  <c r="Q120" i="1"/>
  <c r="Q15" i="1" s="1"/>
  <c r="I7" i="1"/>
  <c r="I120" i="1"/>
  <c r="I15" i="1" s="1"/>
  <c r="P97" i="1"/>
  <c r="L97" i="1"/>
  <c r="H97" i="1"/>
  <c r="H45" i="1" s="1"/>
  <c r="N42" i="1"/>
  <c r="N14" i="1" s="1"/>
  <c r="P30" i="1"/>
  <c r="P36" i="1" s="1"/>
  <c r="P6" i="1" s="1"/>
  <c r="P62" i="1"/>
  <c r="L30" i="1"/>
  <c r="L36" i="1" s="1"/>
  <c r="L42" i="1" s="1"/>
  <c r="L14" i="1" s="1"/>
  <c r="L62" i="1"/>
  <c r="H36" i="1"/>
  <c r="H6" i="1" s="1"/>
  <c r="D36" i="1"/>
  <c r="P154" i="1"/>
  <c r="P160" i="1" s="1"/>
  <c r="L154" i="1"/>
  <c r="O136" i="1"/>
  <c r="K136" i="1"/>
  <c r="G136" i="1"/>
  <c r="R97" i="1"/>
  <c r="N97" i="1"/>
  <c r="J97" i="1"/>
  <c r="O83" i="1"/>
  <c r="G36" i="1"/>
  <c r="G42" i="1" s="1"/>
  <c r="G14" i="1" s="1"/>
  <c r="F36" i="1"/>
  <c r="F6" i="1" s="1"/>
  <c r="O179" i="1"/>
  <c r="O139" i="1"/>
  <c r="K139" i="1"/>
  <c r="G139" i="1"/>
  <c r="P81" i="1"/>
  <c r="L81" i="1"/>
  <c r="R62" i="1"/>
  <c r="N62" i="1"/>
  <c r="R56" i="1"/>
  <c r="N56" i="1"/>
  <c r="L236" i="2"/>
  <c r="Q213" i="2"/>
  <c r="Q215" i="2" s="1"/>
  <c r="M213" i="2"/>
  <c r="M215" i="2" s="1"/>
  <c r="I213" i="2"/>
  <c r="E213" i="2"/>
  <c r="L205" i="2"/>
  <c r="L12" i="2" s="1"/>
  <c r="O213" i="2"/>
  <c r="O215" i="2" s="1"/>
  <c r="K213" i="2"/>
  <c r="K215" i="2" s="1"/>
  <c r="G213" i="2"/>
  <c r="E211" i="2"/>
  <c r="Q204" i="2"/>
  <c r="Q11" i="2" s="1"/>
  <c r="M204" i="2"/>
  <c r="M11" i="2" s="1"/>
  <c r="O104" i="2"/>
  <c r="K104" i="2"/>
  <c r="S107" i="2"/>
  <c r="Q164" i="2"/>
  <c r="M164" i="2"/>
  <c r="E164" i="2"/>
  <c r="E165" i="2" s="1"/>
  <c r="E248" i="2" s="1"/>
  <c r="J209" i="2"/>
  <c r="F196" i="2"/>
  <c r="P203" i="2"/>
  <c r="P10" i="2" s="1"/>
  <c r="P210" i="2"/>
  <c r="I196" i="2"/>
  <c r="I209" i="2"/>
  <c r="D211" i="2"/>
  <c r="D33" i="3"/>
  <c r="E33" i="3"/>
  <c r="G33" i="3"/>
  <c r="H10" i="3"/>
  <c r="F33" i="3"/>
  <c r="F211" i="2"/>
  <c r="H197" i="2"/>
  <c r="H243" i="2"/>
  <c r="H244" i="2" s="1"/>
  <c r="K232" i="2"/>
  <c r="K227" i="2"/>
  <c r="M210" i="2"/>
  <c r="N209" i="2"/>
  <c r="N211" i="2" s="1"/>
  <c r="L208" i="2"/>
  <c r="G208" i="2"/>
  <c r="L202" i="2"/>
  <c r="AD73" i="2"/>
  <c r="S73" i="2"/>
  <c r="R112" i="2"/>
  <c r="AD69" i="2"/>
  <c r="R114" i="2"/>
  <c r="AD114" i="2" s="1"/>
  <c r="S69" i="2"/>
  <c r="V68" i="2"/>
  <c r="K243" i="2"/>
  <c r="K244" i="2" s="1"/>
  <c r="G243" i="2"/>
  <c r="M237" i="2"/>
  <c r="M236" i="2"/>
  <c r="M231" i="2"/>
  <c r="H210" i="2"/>
  <c r="G209" i="2"/>
  <c r="K208" i="2"/>
  <c r="N164" i="2"/>
  <c r="J164" i="2"/>
  <c r="F164" i="2"/>
  <c r="F165" i="2" s="1"/>
  <c r="F248" i="2" s="1"/>
  <c r="J23" i="2"/>
  <c r="J22" i="2"/>
  <c r="J86" i="2"/>
  <c r="K91" i="2"/>
  <c r="K86" i="2"/>
  <c r="J91" i="2"/>
  <c r="J104" i="2"/>
  <c r="AD62" i="2"/>
  <c r="S62" i="2"/>
  <c r="T62" i="2" s="1"/>
  <c r="U62" i="2" s="1"/>
  <c r="V62" i="2" s="1"/>
  <c r="W62" i="2" s="1"/>
  <c r="X62" i="2" s="1"/>
  <c r="Y62" i="2" s="1"/>
  <c r="Z62" i="2" s="1"/>
  <c r="AA62" i="2" s="1"/>
  <c r="AB62" i="2" s="1"/>
  <c r="J243" i="2"/>
  <c r="J244" i="2" s="1"/>
  <c r="L237" i="2"/>
  <c r="K209" i="2"/>
  <c r="AF120" i="2"/>
  <c r="AE120" i="2"/>
  <c r="K82" i="2"/>
  <c r="AD80" i="2"/>
  <c r="Q66" i="2"/>
  <c r="M66" i="2"/>
  <c r="O48" i="2"/>
  <c r="Q45" i="2"/>
  <c r="M45" i="2"/>
  <c r="P44" i="2"/>
  <c r="Q42" i="2"/>
  <c r="Q41" i="2" s="1"/>
  <c r="L44" i="2"/>
  <c r="M42" i="2"/>
  <c r="M41" i="2" s="1"/>
  <c r="O51" i="2"/>
  <c r="O49" i="2"/>
  <c r="Q48" i="2"/>
  <c r="Q46" i="2"/>
  <c r="S108" i="2"/>
  <c r="T105" i="2"/>
  <c r="O22" i="2"/>
  <c r="O23" i="2"/>
  <c r="K22" i="2"/>
  <c r="K23" i="2"/>
  <c r="AD79" i="2"/>
  <c r="P66" i="2"/>
  <c r="L66" i="2"/>
  <c r="R64" i="2"/>
  <c r="N46" i="2"/>
  <c r="P45" i="2"/>
  <c r="L45" i="2"/>
  <c r="O44" i="2"/>
  <c r="P42" i="2"/>
  <c r="P41" i="2" s="1"/>
  <c r="L42" i="2"/>
  <c r="L41" i="2" s="1"/>
  <c r="K55" i="2"/>
  <c r="H53" i="2"/>
  <c r="N51" i="2"/>
  <c r="N49" i="2"/>
  <c r="P48" i="2"/>
  <c r="M24" i="2"/>
  <c r="N23" i="2"/>
  <c r="N22" i="2"/>
  <c r="S80" i="2"/>
  <c r="T79" i="2"/>
  <c r="O66" i="2"/>
  <c r="K66" i="2"/>
  <c r="M48" i="2"/>
  <c r="M46" i="2"/>
  <c r="O45" i="2"/>
  <c r="O42" i="2"/>
  <c r="O41" i="2" s="1"/>
  <c r="N44" i="2"/>
  <c r="Q51" i="2"/>
  <c r="M51" i="2"/>
  <c r="Q49" i="2"/>
  <c r="M49" i="2"/>
  <c r="N48" i="2"/>
  <c r="D380" i="1"/>
  <c r="M179" i="1"/>
  <c r="M23" i="2"/>
  <c r="I23" i="2"/>
  <c r="N66" i="2"/>
  <c r="L48" i="2"/>
  <c r="L46" i="2"/>
  <c r="R61" i="2"/>
  <c r="N45" i="2"/>
  <c r="Q44" i="2"/>
  <c r="M44" i="2"/>
  <c r="N42" i="2"/>
  <c r="N41" i="2" s="1"/>
  <c r="E55" i="2"/>
  <c r="J53" i="2"/>
  <c r="P51" i="2"/>
  <c r="L51" i="2"/>
  <c r="P49" i="2"/>
  <c r="L49" i="2"/>
  <c r="R42" i="2"/>
  <c r="S28" i="2"/>
  <c r="P372" i="1"/>
  <c r="L372" i="1"/>
  <c r="H372" i="1"/>
  <c r="G117" i="2" s="1"/>
  <c r="D372" i="1"/>
  <c r="C117" i="2" s="1"/>
  <c r="O371" i="1"/>
  <c r="K371" i="1"/>
  <c r="J116" i="2" s="1"/>
  <c r="G371" i="1"/>
  <c r="F116" i="2" s="1"/>
  <c r="R370" i="1"/>
  <c r="N370" i="1"/>
  <c r="J370" i="1"/>
  <c r="F370" i="1"/>
  <c r="M6" i="1"/>
  <c r="M42" i="1"/>
  <c r="M14" i="1" s="1"/>
  <c r="S39" i="2"/>
  <c r="W11" i="2"/>
  <c r="E3" i="2"/>
  <c r="O372" i="1"/>
  <c r="K372" i="1"/>
  <c r="J117" i="2" s="1"/>
  <c r="G372" i="1"/>
  <c r="F117" i="2" s="1"/>
  <c r="R371" i="1"/>
  <c r="N371" i="1"/>
  <c r="J371" i="1"/>
  <c r="I116" i="2" s="1"/>
  <c r="F371" i="1"/>
  <c r="E116" i="2" s="1"/>
  <c r="Q370" i="1"/>
  <c r="M370" i="1"/>
  <c r="E370" i="1"/>
  <c r="D334" i="1"/>
  <c r="O6" i="1"/>
  <c r="O42" i="1"/>
  <c r="O14" i="1" s="1"/>
  <c r="K6" i="1"/>
  <c r="K42" i="1"/>
  <c r="K14" i="1" s="1"/>
  <c r="F3" i="1"/>
  <c r="Q371" i="1"/>
  <c r="M371" i="1"/>
  <c r="I371" i="1"/>
  <c r="H116" i="2" s="1"/>
  <c r="E371" i="1"/>
  <c r="D116" i="2" s="1"/>
  <c r="P370" i="1"/>
  <c r="L370" i="1"/>
  <c r="H370" i="1"/>
  <c r="D370" i="1"/>
  <c r="C115" i="2" s="1"/>
  <c r="G45" i="1"/>
  <c r="K49" i="1"/>
  <c r="J36" i="1"/>
  <c r="C14" i="5"/>
  <c r="D20" i="5"/>
  <c r="G18" i="5"/>
  <c r="F18" i="5" s="1"/>
  <c r="L14" i="5"/>
  <c r="G14" i="5"/>
  <c r="P241" i="2" l="1"/>
  <c r="O168" i="2"/>
  <c r="M55" i="2"/>
  <c r="L55" i="2"/>
  <c r="P237" i="2"/>
  <c r="G81" i="2"/>
  <c r="O237" i="2"/>
  <c r="O238" i="2"/>
  <c r="O239" i="2" s="1"/>
  <c r="J204" i="2"/>
  <c r="J11" i="2" s="1"/>
  <c r="Q163" i="1"/>
  <c r="I241" i="2"/>
  <c r="H238" i="2"/>
  <c r="H239" i="2" s="1"/>
  <c r="N237" i="2"/>
  <c r="Q8" i="1"/>
  <c r="O75" i="2"/>
  <c r="AF75" i="2" s="1"/>
  <c r="R120" i="1"/>
  <c r="R15" i="1" s="1"/>
  <c r="H237" i="2"/>
  <c r="D81" i="2"/>
  <c r="D104" i="2" s="1"/>
  <c r="D110" i="2" s="1"/>
  <c r="H160" i="2"/>
  <c r="H179" i="2" s="1"/>
  <c r="H180" i="2" s="1"/>
  <c r="Q243" i="2"/>
  <c r="Q244" i="2" s="1"/>
  <c r="G84" i="2"/>
  <c r="P239" i="2"/>
  <c r="I211" i="2"/>
  <c r="Q160" i="2"/>
  <c r="Q179" i="2" s="1"/>
  <c r="Q180" i="2" s="1"/>
  <c r="P236" i="2"/>
  <c r="J89" i="2"/>
  <c r="M168" i="2"/>
  <c r="H357" i="1"/>
  <c r="N238" i="2"/>
  <c r="N239" i="2" s="1"/>
  <c r="M89" i="2"/>
  <c r="P55" i="2"/>
  <c r="I215" i="2"/>
  <c r="P190" i="2"/>
  <c r="M8" i="1"/>
  <c r="M11" i="1" s="1"/>
  <c r="H42" i="1"/>
  <c r="H14" i="1" s="1"/>
  <c r="O55" i="2"/>
  <c r="O82" i="2"/>
  <c r="J110" i="2"/>
  <c r="J137" i="2" s="1"/>
  <c r="J165" i="2"/>
  <c r="J248" i="2" s="1"/>
  <c r="Q209" i="2"/>
  <c r="M163" i="1"/>
  <c r="O241" i="2"/>
  <c r="K10" i="1"/>
  <c r="K11" i="1" s="1"/>
  <c r="K12" i="1" s="1"/>
  <c r="O84" i="2"/>
  <c r="K253" i="1"/>
  <c r="K255" i="1" s="1"/>
  <c r="R253" i="1"/>
  <c r="N241" i="2"/>
  <c r="I227" i="2"/>
  <c r="I229" i="2" s="1"/>
  <c r="H263" i="2"/>
  <c r="M84" i="2"/>
  <c r="O190" i="2"/>
  <c r="AD71" i="2"/>
  <c r="K241" i="2"/>
  <c r="P160" i="2"/>
  <c r="P179" i="2" s="1"/>
  <c r="P180" i="2" s="1"/>
  <c r="J241" i="2"/>
  <c r="I63" i="2"/>
  <c r="J237" i="2"/>
  <c r="J239" i="2" s="1"/>
  <c r="Q42" i="1"/>
  <c r="Q14" i="1" s="1"/>
  <c r="M25" i="2"/>
  <c r="I237" i="2"/>
  <c r="I239" i="2" s="1"/>
  <c r="L209" i="2"/>
  <c r="G165" i="2"/>
  <c r="G248" i="2" s="1"/>
  <c r="I358" i="1"/>
  <c r="H204" i="2"/>
  <c r="H11" i="2" s="1"/>
  <c r="I357" i="1"/>
  <c r="N168" i="2"/>
  <c r="K204" i="2"/>
  <c r="K11" i="2" s="1"/>
  <c r="AD11" i="2" s="1"/>
  <c r="E249" i="2"/>
  <c r="Q84" i="2"/>
  <c r="J63" i="2"/>
  <c r="I45" i="1"/>
  <c r="E42" i="1"/>
  <c r="Q190" i="2"/>
  <c r="K42" i="2"/>
  <c r="K41" i="2" s="1"/>
  <c r="H55" i="2"/>
  <c r="K110" i="2"/>
  <c r="K137" i="2" s="1"/>
  <c r="K142" i="2" s="1"/>
  <c r="K143" i="2" s="1"/>
  <c r="J215" i="2"/>
  <c r="Q55" i="2"/>
  <c r="R78" i="2"/>
  <c r="M239" i="2"/>
  <c r="K229" i="2"/>
  <c r="L243" i="2"/>
  <c r="L244" i="2" s="1"/>
  <c r="M209" i="2"/>
  <c r="M211" i="2" s="1"/>
  <c r="M75" i="2"/>
  <c r="O196" i="2"/>
  <c r="M235" i="1"/>
  <c r="M18" i="1" s="1"/>
  <c r="G239" i="2"/>
  <c r="N110" i="2"/>
  <c r="N137" i="2" s="1"/>
  <c r="O347" i="1"/>
  <c r="M243" i="2"/>
  <c r="M244" i="2" s="1"/>
  <c r="Q23" i="2"/>
  <c r="D319" i="1"/>
  <c r="L239" i="2"/>
  <c r="Q237" i="2"/>
  <c r="Q239" i="2" s="1"/>
  <c r="O227" i="2"/>
  <c r="O229" i="2" s="1"/>
  <c r="P243" i="2"/>
  <c r="P244" i="2" s="1"/>
  <c r="Q165" i="2"/>
  <c r="Q248" i="2" s="1"/>
  <c r="Q232" i="2" s="1"/>
  <c r="G253" i="1"/>
  <c r="G255" i="1" s="1"/>
  <c r="G259" i="1" s="1"/>
  <c r="L231" i="2"/>
  <c r="F257" i="1"/>
  <c r="Q241" i="2"/>
  <c r="J235" i="1"/>
  <c r="J18" i="1" s="1"/>
  <c r="O89" i="2"/>
  <c r="F263" i="2"/>
  <c r="F256" i="2"/>
  <c r="F259" i="2" s="1"/>
  <c r="F261" i="2" s="1"/>
  <c r="F14" i="2" s="1"/>
  <c r="K45" i="1"/>
  <c r="P128" i="1"/>
  <c r="P75" i="2"/>
  <c r="M160" i="2"/>
  <c r="M179" i="2" s="1"/>
  <c r="M180" i="2" s="1"/>
  <c r="M190" i="2"/>
  <c r="L160" i="2"/>
  <c r="L179" i="2" s="1"/>
  <c r="L180" i="2" s="1"/>
  <c r="P241" i="1"/>
  <c r="P247" i="1" s="1"/>
  <c r="P255" i="1" s="1"/>
  <c r="N89" i="2"/>
  <c r="P42" i="1"/>
  <c r="P14" i="1" s="1"/>
  <c r="N55" i="2"/>
  <c r="G55" i="2"/>
  <c r="M227" i="2"/>
  <c r="N243" i="2"/>
  <c r="N244" i="2" s="1"/>
  <c r="Q231" i="2"/>
  <c r="O110" i="2"/>
  <c r="O137" i="2" s="1"/>
  <c r="O25" i="2" s="1"/>
  <c r="G215" i="2"/>
  <c r="F259" i="1"/>
  <c r="H256" i="2"/>
  <c r="H259" i="2" s="1"/>
  <c r="H261" i="2" s="1"/>
  <c r="H14" i="2" s="1"/>
  <c r="I84" i="2"/>
  <c r="M82" i="2"/>
  <c r="I253" i="1"/>
  <c r="I255" i="1" s="1"/>
  <c r="I260" i="1" s="1"/>
  <c r="I262" i="1" s="1"/>
  <c r="I267" i="1" s="1"/>
  <c r="I277" i="1" s="1"/>
  <c r="I279" i="1" s="1"/>
  <c r="I313" i="1" s="1"/>
  <c r="N160" i="2"/>
  <c r="N179" i="2" s="1"/>
  <c r="N180" i="2" s="1"/>
  <c r="Q110" i="2"/>
  <c r="L84" i="2"/>
  <c r="J167" i="2"/>
  <c r="J173" i="2" s="1"/>
  <c r="J174" i="2" s="1"/>
  <c r="H23" i="2"/>
  <c r="I55" i="2"/>
  <c r="J92" i="2"/>
  <c r="J168" i="2"/>
  <c r="F128" i="1"/>
  <c r="G357" i="1"/>
  <c r="G361" i="1" s="1"/>
  <c r="G364" i="1" s="1"/>
  <c r="H91" i="2"/>
  <c r="Q179" i="1"/>
  <c r="M253" i="1"/>
  <c r="H165" i="2"/>
  <c r="H248" i="2" s="1"/>
  <c r="H249" i="2" s="1"/>
  <c r="H228" i="2" s="1"/>
  <c r="H128" i="1"/>
  <c r="L168" i="2"/>
  <c r="P227" i="2"/>
  <c r="K239" i="2"/>
  <c r="E357" i="1"/>
  <c r="E361" i="1" s="1"/>
  <c r="E364" i="1" s="1"/>
  <c r="L212" i="1"/>
  <c r="F237" i="2"/>
  <c r="F241" i="2"/>
  <c r="F238" i="2"/>
  <c r="I6" i="1"/>
  <c r="I11" i="1" s="1"/>
  <c r="I12" i="1" s="1"/>
  <c r="J45" i="1"/>
  <c r="J80" i="1" s="1"/>
  <c r="O243" i="2"/>
  <c r="O244" i="2" s="1"/>
  <c r="M165" i="2"/>
  <c r="M248" i="2" s="1"/>
  <c r="M232" i="2" s="1"/>
  <c r="M361" i="1"/>
  <c r="M364" i="1" s="1"/>
  <c r="I91" i="2"/>
  <c r="H104" i="2"/>
  <c r="H110" i="2" s="1"/>
  <c r="H24" i="2" s="1"/>
  <c r="N241" i="1"/>
  <c r="N247" i="1" s="1"/>
  <c r="M250" i="2" s="1"/>
  <c r="H215" i="2"/>
  <c r="L227" i="2"/>
  <c r="I75" i="2"/>
  <c r="M167" i="2"/>
  <c r="M173" i="2" s="1"/>
  <c r="M174" i="2" s="1"/>
  <c r="G6" i="1"/>
  <c r="G11" i="1" s="1"/>
  <c r="G12" i="1" s="1"/>
  <c r="L6" i="1"/>
  <c r="I22" i="2"/>
  <c r="Q168" i="2"/>
  <c r="H82" i="2"/>
  <c r="Q82" i="2"/>
  <c r="R82" i="2" s="1"/>
  <c r="S82" i="2" s="1"/>
  <c r="T82" i="2" s="1"/>
  <c r="U82" i="2" s="1"/>
  <c r="V82" i="2" s="1"/>
  <c r="W82" i="2" s="1"/>
  <c r="X82" i="2" s="1"/>
  <c r="Y82" i="2" s="1"/>
  <c r="Z82" i="2" s="1"/>
  <c r="AA82" i="2" s="1"/>
  <c r="AB82" i="2" s="1"/>
  <c r="AE82" i="2" s="1"/>
  <c r="Q137" i="2"/>
  <c r="Q24" i="2"/>
  <c r="E255" i="1"/>
  <c r="E260" i="1" s="1"/>
  <c r="E262" i="1" s="1"/>
  <c r="E267" i="1" s="1"/>
  <c r="E277" i="1" s="1"/>
  <c r="E279" i="1" s="1"/>
  <c r="E313" i="1" s="1"/>
  <c r="J253" i="1"/>
  <c r="J255" i="1" s="1"/>
  <c r="J361" i="1"/>
  <c r="J364" i="1" s="1"/>
  <c r="J75" i="2"/>
  <c r="P347" i="1"/>
  <c r="I82" i="2"/>
  <c r="J347" i="1"/>
  <c r="I347" i="1"/>
  <c r="M22" i="2"/>
  <c r="AD65" i="2"/>
  <c r="N227" i="2"/>
  <c r="D256" i="2"/>
  <c r="D259" i="2" s="1"/>
  <c r="D261" i="2" s="1"/>
  <c r="D14" i="2" s="1"/>
  <c r="S65" i="2"/>
  <c r="R10" i="1"/>
  <c r="H168" i="2"/>
  <c r="D75" i="2"/>
  <c r="C104" i="2"/>
  <c r="C110" i="2" s="1"/>
  <c r="C92" i="2" s="1"/>
  <c r="I190" i="2"/>
  <c r="Q128" i="1"/>
  <c r="J55" i="2"/>
  <c r="Q227" i="2"/>
  <c r="I160" i="2"/>
  <c r="I179" i="2" s="1"/>
  <c r="I180" i="2" s="1"/>
  <c r="I128" i="1"/>
  <c r="L152" i="2"/>
  <c r="L153" i="2" s="1"/>
  <c r="L163" i="2" s="1"/>
  <c r="L165" i="2" s="1"/>
  <c r="L248" i="2" s="1"/>
  <c r="L232" i="2" s="1"/>
  <c r="M241" i="1"/>
  <c r="M247" i="1" s="1"/>
  <c r="Q210" i="2"/>
  <c r="Q203" i="2"/>
  <c r="Q10" i="2" s="1"/>
  <c r="F81" i="2"/>
  <c r="G22" i="2" s="1"/>
  <c r="F106" i="2"/>
  <c r="L22" i="2"/>
  <c r="N235" i="1"/>
  <c r="N18" i="1" s="1"/>
  <c r="L86" i="2"/>
  <c r="L89" i="2" s="1"/>
  <c r="E258" i="2"/>
  <c r="K168" i="2"/>
  <c r="Q167" i="2"/>
  <c r="Q173" i="2" s="1"/>
  <c r="Q189" i="2" s="1"/>
  <c r="H47" i="1"/>
  <c r="H62" i="2"/>
  <c r="H63" i="2" s="1"/>
  <c r="J160" i="2"/>
  <c r="J179" i="2" s="1"/>
  <c r="J190" i="2"/>
  <c r="K160" i="2"/>
  <c r="K179" i="2" s="1"/>
  <c r="K180" i="2" s="1"/>
  <c r="H253" i="1"/>
  <c r="H255" i="1" s="1"/>
  <c r="K89" i="2"/>
  <c r="J211" i="2"/>
  <c r="Q361" i="1"/>
  <c r="Q364" i="1" s="1"/>
  <c r="H347" i="1"/>
  <c r="L82" i="2"/>
  <c r="R241" i="1"/>
  <c r="R247" i="1" s="1"/>
  <c r="Q253" i="1"/>
  <c r="K347" i="1"/>
  <c r="J83" i="2"/>
  <c r="J82" i="2" s="1"/>
  <c r="K250" i="2"/>
  <c r="K263" i="2" s="1"/>
  <c r="N8" i="1"/>
  <c r="G211" i="2"/>
  <c r="G235" i="1"/>
  <c r="G18" i="1" s="1"/>
  <c r="G19" i="1" s="1"/>
  <c r="E263" i="2"/>
  <c r="F244" i="2"/>
  <c r="P167" i="2"/>
  <c r="P173" i="2" s="1"/>
  <c r="E81" i="2"/>
  <c r="I167" i="2"/>
  <c r="I173" i="2" s="1"/>
  <c r="I174" i="2" s="1"/>
  <c r="I89" i="2"/>
  <c r="L361" i="1"/>
  <c r="L364" i="1" s="1"/>
  <c r="D255" i="1"/>
  <c r="C250" i="2"/>
  <c r="G250" i="2"/>
  <c r="G256" i="2" s="1"/>
  <c r="G258" i="2" s="1"/>
  <c r="N7" i="1"/>
  <c r="N120" i="1"/>
  <c r="N15" i="1" s="1"/>
  <c r="F160" i="2"/>
  <c r="F179" i="2" s="1"/>
  <c r="F180" i="2" s="1"/>
  <c r="G160" i="2"/>
  <c r="G179" i="2" s="1"/>
  <c r="G180" i="2" s="1"/>
  <c r="F190" i="2"/>
  <c r="D263" i="2"/>
  <c r="C112" i="2"/>
  <c r="L253" i="1"/>
  <c r="L255" i="1" s="1"/>
  <c r="L347" i="1"/>
  <c r="N17" i="1"/>
  <c r="N212" i="1"/>
  <c r="I204" i="2"/>
  <c r="I11" i="2" s="1"/>
  <c r="O167" i="2"/>
  <c r="O173" i="2" s="1"/>
  <c r="M17" i="1"/>
  <c r="M212" i="1"/>
  <c r="K128" i="1"/>
  <c r="P16" i="1"/>
  <c r="P163" i="1"/>
  <c r="R16" i="1"/>
  <c r="R163" i="1"/>
  <c r="G128" i="1"/>
  <c r="O128" i="1"/>
  <c r="J128" i="1"/>
  <c r="R17" i="1"/>
  <c r="R212" i="1"/>
  <c r="N16" i="1"/>
  <c r="N163" i="1"/>
  <c r="Q17" i="1"/>
  <c r="Q212" i="1"/>
  <c r="F347" i="1"/>
  <c r="E83" i="2"/>
  <c r="L10" i="1"/>
  <c r="L235" i="1"/>
  <c r="L18" i="1" s="1"/>
  <c r="N361" i="1"/>
  <c r="N364" i="1" s="1"/>
  <c r="N399" i="1"/>
  <c r="N403" i="1" s="1"/>
  <c r="N404" i="1" s="1"/>
  <c r="N231" i="2"/>
  <c r="F358" i="1"/>
  <c r="D169" i="2"/>
  <c r="D6" i="2" s="1"/>
  <c r="C169" i="2"/>
  <c r="P82" i="2"/>
  <c r="Q91" i="2"/>
  <c r="Q86" i="2"/>
  <c r="Q89" i="2" s="1"/>
  <c r="P104" i="2"/>
  <c r="P110" i="2" s="1"/>
  <c r="D361" i="1"/>
  <c r="D364" i="1" s="1"/>
  <c r="P8" i="1"/>
  <c r="P11" i="1" s="1"/>
  <c r="G23" i="2"/>
  <c r="P23" i="2"/>
  <c r="H167" i="2"/>
  <c r="L128" i="1"/>
  <c r="O241" i="1"/>
  <c r="O247" i="1" s="1"/>
  <c r="N152" i="2"/>
  <c r="N153" i="2" s="1"/>
  <c r="O17" i="1"/>
  <c r="O212" i="1"/>
  <c r="Q241" i="1"/>
  <c r="Q247" i="1" s="1"/>
  <c r="P158" i="2"/>
  <c r="P159" i="2" s="1"/>
  <c r="Q250" i="2"/>
  <c r="P17" i="1"/>
  <c r="P212" i="1"/>
  <c r="H361" i="1"/>
  <c r="H364" i="1" s="1"/>
  <c r="G104" i="2"/>
  <c r="G110" i="2" s="1"/>
  <c r="O203" i="2"/>
  <c r="O10" i="2" s="1"/>
  <c r="O210" i="2"/>
  <c r="O211" i="2" s="1"/>
  <c r="E53" i="2"/>
  <c r="E72" i="2"/>
  <c r="F203" i="2"/>
  <c r="F10" i="2" s="1"/>
  <c r="F204" i="2"/>
  <c r="F11" i="2" s="1"/>
  <c r="G75" i="2"/>
  <c r="F53" i="2"/>
  <c r="K75" i="2"/>
  <c r="AD75" i="2" s="1"/>
  <c r="F42" i="1"/>
  <c r="R8" i="1"/>
  <c r="H22" i="2"/>
  <c r="P22" i="2"/>
  <c r="AD12" i="2"/>
  <c r="I168" i="2"/>
  <c r="D6" i="1"/>
  <c r="D42" i="1"/>
  <c r="K210" i="2"/>
  <c r="K211" i="2" s="1"/>
  <c r="K203" i="2"/>
  <c r="K10" i="2" s="1"/>
  <c r="O154" i="1"/>
  <c r="O171" i="1"/>
  <c r="Q10" i="1"/>
  <c r="Q11" i="1" s="1"/>
  <c r="Q235" i="1"/>
  <c r="Q18" i="1" s="1"/>
  <c r="F83" i="2"/>
  <c r="G347" i="1"/>
  <c r="K361" i="1"/>
  <c r="K364" i="1" s="1"/>
  <c r="K399" i="1"/>
  <c r="K403" i="1" s="1"/>
  <c r="K404" i="1" s="1"/>
  <c r="R361" i="1"/>
  <c r="R364" i="1" s="1"/>
  <c r="R399" i="1"/>
  <c r="R403" i="1" s="1"/>
  <c r="R404" i="1" s="1"/>
  <c r="M128" i="1"/>
  <c r="H75" i="2"/>
  <c r="L104" i="2"/>
  <c r="L110" i="2" s="1"/>
  <c r="M91" i="2"/>
  <c r="D91" i="2"/>
  <c r="D96" i="2" s="1"/>
  <c r="Q347" i="1"/>
  <c r="I19" i="1"/>
  <c r="Q22" i="2"/>
  <c r="L23" i="2"/>
  <c r="G82" i="2"/>
  <c r="F249" i="2"/>
  <c r="F228" i="2" s="1"/>
  <c r="J227" i="2"/>
  <c r="G244" i="2"/>
  <c r="L91" i="2"/>
  <c r="L8" i="1"/>
  <c r="L160" i="1"/>
  <c r="L16" i="1" s="1"/>
  <c r="K17" i="1"/>
  <c r="K18" i="1" s="1"/>
  <c r="K212" i="1"/>
  <c r="H10" i="1"/>
  <c r="H11" i="1" s="1"/>
  <c r="H12" i="1" s="1"/>
  <c r="H235" i="1"/>
  <c r="H18" i="1" s="1"/>
  <c r="R118" i="2"/>
  <c r="AD118" i="2" s="1"/>
  <c r="O361" i="1"/>
  <c r="O364" i="1" s="1"/>
  <c r="O399" i="1"/>
  <c r="O403" i="1" s="1"/>
  <c r="O404" i="1" s="1"/>
  <c r="P361" i="1"/>
  <c r="P364" i="1" s="1"/>
  <c r="D83" i="2"/>
  <c r="E347" i="1"/>
  <c r="P86" i="2"/>
  <c r="P89" i="2" s="1"/>
  <c r="L76" i="2"/>
  <c r="L75" i="2" s="1"/>
  <c r="M347" i="1"/>
  <c r="I250" i="2"/>
  <c r="F72" i="2"/>
  <c r="F75" i="2" s="1"/>
  <c r="J250" i="2"/>
  <c r="K167" i="2"/>
  <c r="N82" i="2"/>
  <c r="N84" i="2"/>
  <c r="T107" i="2"/>
  <c r="G20" i="5"/>
  <c r="F20" i="5" s="1"/>
  <c r="M20" i="5"/>
  <c r="J20" i="5"/>
  <c r="H374" i="1"/>
  <c r="H376" i="1" s="1"/>
  <c r="H391" i="1" s="1"/>
  <c r="H396" i="1" s="1"/>
  <c r="G115" i="2"/>
  <c r="H119" i="2"/>
  <c r="H121" i="2" s="1"/>
  <c r="H132" i="2" s="1"/>
  <c r="H133" i="2" s="1"/>
  <c r="G3" i="1"/>
  <c r="D340" i="1"/>
  <c r="D346" i="1" s="1"/>
  <c r="C78" i="2"/>
  <c r="E374" i="1"/>
  <c r="E376" i="1" s="1"/>
  <c r="E391" i="1" s="1"/>
  <c r="E396" i="1" s="1"/>
  <c r="D115" i="2"/>
  <c r="S42" i="2"/>
  <c r="S44" i="2" s="1"/>
  <c r="T39" i="2"/>
  <c r="J374" i="1"/>
  <c r="I115" i="2"/>
  <c r="J119" i="2"/>
  <c r="J121" i="2" s="1"/>
  <c r="J132" i="2" s="1"/>
  <c r="J133" i="2" s="1"/>
  <c r="N50" i="2"/>
  <c r="N117" i="2"/>
  <c r="D367" i="1"/>
  <c r="D326" i="1"/>
  <c r="D330" i="1" s="1"/>
  <c r="O374" i="1"/>
  <c r="R66" i="2"/>
  <c r="Q50" i="2"/>
  <c r="Q117" i="2"/>
  <c r="P196" i="2"/>
  <c r="P209" i="2"/>
  <c r="P211" i="2" s="1"/>
  <c r="J49" i="1"/>
  <c r="L374" i="1"/>
  <c r="L376" i="1" s="1"/>
  <c r="I80" i="1"/>
  <c r="M374" i="1"/>
  <c r="N374" i="1"/>
  <c r="T71" i="2"/>
  <c r="S118" i="2"/>
  <c r="K374" i="1"/>
  <c r="K376" i="1" s="1"/>
  <c r="K392" i="1" s="1"/>
  <c r="L50" i="2"/>
  <c r="L117" i="2"/>
  <c r="R190" i="2"/>
  <c r="J24" i="2"/>
  <c r="W68" i="2"/>
  <c r="AD112" i="2"/>
  <c r="AE75" i="2"/>
  <c r="F14" i="5"/>
  <c r="G21" i="5"/>
  <c r="D21" i="5"/>
  <c r="J6" i="1"/>
  <c r="J11" i="1" s="1"/>
  <c r="J12" i="1" s="1"/>
  <c r="J42" i="1"/>
  <c r="J14" i="1" s="1"/>
  <c r="G59" i="1"/>
  <c r="G79" i="1"/>
  <c r="G80" i="1"/>
  <c r="G84" i="1"/>
  <c r="H59" i="1"/>
  <c r="H79" i="1"/>
  <c r="H80" i="1"/>
  <c r="H84" i="1"/>
  <c r="P374" i="1"/>
  <c r="P376" i="1" s="1"/>
  <c r="P392" i="1" s="1"/>
  <c r="Q374" i="1"/>
  <c r="F3" i="2"/>
  <c r="R374" i="1"/>
  <c r="T28" i="2"/>
  <c r="I374" i="1"/>
  <c r="K117" i="2"/>
  <c r="U79" i="2"/>
  <c r="G374" i="1"/>
  <c r="P50" i="2"/>
  <c r="P117" i="2"/>
  <c r="U105" i="2"/>
  <c r="AE62" i="2"/>
  <c r="AF62" i="2"/>
  <c r="T69" i="2"/>
  <c r="S114" i="2"/>
  <c r="T73" i="2"/>
  <c r="S112" i="2"/>
  <c r="I10" i="3"/>
  <c r="H33" i="3"/>
  <c r="X11" i="2"/>
  <c r="W204" i="2"/>
  <c r="F374" i="1"/>
  <c r="F376" i="1" s="1"/>
  <c r="F391" i="1" s="1"/>
  <c r="F396" i="1" s="1"/>
  <c r="E115" i="2"/>
  <c r="F119" i="2"/>
  <c r="F121" i="2" s="1"/>
  <c r="AD42" i="2"/>
  <c r="R44" i="2"/>
  <c r="R60" i="2" s="1"/>
  <c r="S61" i="2"/>
  <c r="AD61" i="2"/>
  <c r="O50" i="2"/>
  <c r="O117" i="2"/>
  <c r="S16" i="2"/>
  <c r="S106" i="2"/>
  <c r="S87" i="2"/>
  <c r="T80" i="2"/>
  <c r="T87" i="2" s="1"/>
  <c r="AD64" i="2"/>
  <c r="S64" i="2"/>
  <c r="R116" i="2"/>
  <c r="AD116" i="2" s="1"/>
  <c r="R223" i="2"/>
  <c r="T108" i="2"/>
  <c r="M50" i="2"/>
  <c r="M117" i="2"/>
  <c r="L203" i="2"/>
  <c r="L10" i="2" s="1"/>
  <c r="L210" i="2"/>
  <c r="H196" i="2"/>
  <c r="H209" i="2"/>
  <c r="H211" i="2" s="1"/>
  <c r="H19" i="1" l="1"/>
  <c r="J229" i="2"/>
  <c r="D23" i="2"/>
  <c r="R255" i="1"/>
  <c r="R257" i="1" s="1"/>
  <c r="D22" i="2"/>
  <c r="N92" i="2"/>
  <c r="N24" i="2"/>
  <c r="E91" i="2"/>
  <c r="E96" i="2" s="1"/>
  <c r="I79" i="1"/>
  <c r="K80" i="1"/>
  <c r="H21" i="2"/>
  <c r="AF82" i="2"/>
  <c r="M187" i="2"/>
  <c r="R128" i="1"/>
  <c r="L211" i="2"/>
  <c r="M189" i="2"/>
  <c r="H169" i="2"/>
  <c r="H6" i="2" s="1"/>
  <c r="O92" i="2"/>
  <c r="I361" i="1"/>
  <c r="I364" i="1" s="1"/>
  <c r="D258" i="2"/>
  <c r="I20" i="1"/>
  <c r="I257" i="1"/>
  <c r="D26" i="2"/>
  <c r="N255" i="1"/>
  <c r="O250" i="2"/>
  <c r="Q229" i="2"/>
  <c r="D21" i="2"/>
  <c r="H96" i="2"/>
  <c r="H173" i="2"/>
  <c r="H189" i="2" s="1"/>
  <c r="J19" i="1"/>
  <c r="K48" i="1"/>
  <c r="K24" i="2"/>
  <c r="M19" i="1"/>
  <c r="M20" i="1" s="1"/>
  <c r="K92" i="2"/>
  <c r="I59" i="1"/>
  <c r="K59" i="1"/>
  <c r="K25" i="2"/>
  <c r="M169" i="2"/>
  <c r="M6" i="2" s="1"/>
  <c r="I259" i="1"/>
  <c r="I92" i="2"/>
  <c r="F258" i="2"/>
  <c r="Q211" i="2"/>
  <c r="K79" i="1"/>
  <c r="I84" i="1"/>
  <c r="J79" i="1"/>
  <c r="J81" i="1" s="1"/>
  <c r="K84" i="1"/>
  <c r="J189" i="2"/>
  <c r="R11" i="1"/>
  <c r="R12" i="1" s="1"/>
  <c r="H26" i="2"/>
  <c r="P12" i="1"/>
  <c r="M255" i="1"/>
  <c r="H258" i="2"/>
  <c r="O24" i="2"/>
  <c r="M229" i="2"/>
  <c r="J169" i="2"/>
  <c r="J6" i="2" s="1"/>
  <c r="S78" i="2"/>
  <c r="AD78" i="2"/>
  <c r="N142" i="2"/>
  <c r="N143" i="2" s="1"/>
  <c r="N25" i="2"/>
  <c r="O169" i="2"/>
  <c r="O6" i="2" s="1"/>
  <c r="M249" i="2"/>
  <c r="M228" i="2" s="1"/>
  <c r="E257" i="1"/>
  <c r="G260" i="1"/>
  <c r="G262" i="1" s="1"/>
  <c r="G267" i="1" s="1"/>
  <c r="G277" i="1" s="1"/>
  <c r="G279" i="1" s="1"/>
  <c r="G313" i="1" s="1"/>
  <c r="E259" i="1"/>
  <c r="G257" i="1"/>
  <c r="F239" i="2"/>
  <c r="O142" i="2"/>
  <c r="O143" i="2" s="1"/>
  <c r="K249" i="2"/>
  <c r="K228" i="2" s="1"/>
  <c r="G20" i="1"/>
  <c r="J59" i="1"/>
  <c r="L11" i="1"/>
  <c r="L12" i="1" s="1"/>
  <c r="Q19" i="1"/>
  <c r="G259" i="2"/>
  <c r="G261" i="2" s="1"/>
  <c r="G14" i="2" s="1"/>
  <c r="G21" i="2" s="1"/>
  <c r="J84" i="1"/>
  <c r="H20" i="1"/>
  <c r="Q12" i="1"/>
  <c r="R19" i="1"/>
  <c r="AD82" i="2"/>
  <c r="D92" i="2"/>
  <c r="D97" i="2" s="1"/>
  <c r="J20" i="1"/>
  <c r="Q249" i="2"/>
  <c r="Q228" i="2" s="1"/>
  <c r="F91" i="2"/>
  <c r="F96" i="2" s="1"/>
  <c r="N128" i="1"/>
  <c r="Q169" i="2"/>
  <c r="Q6" i="2" s="1"/>
  <c r="T65" i="2"/>
  <c r="I189" i="2"/>
  <c r="Q142" i="2"/>
  <c r="Q143" i="2" s="1"/>
  <c r="Q25" i="2"/>
  <c r="O256" i="2"/>
  <c r="O263" i="2"/>
  <c r="O249" i="2"/>
  <c r="O228" i="2" s="1"/>
  <c r="L19" i="1"/>
  <c r="L20" i="1" s="1"/>
  <c r="E104" i="2"/>
  <c r="E110" i="2" s="1"/>
  <c r="E92" i="2" s="1"/>
  <c r="E97" i="2" s="1"/>
  <c r="E23" i="2"/>
  <c r="E22" i="2"/>
  <c r="E21" i="2" s="1"/>
  <c r="J180" i="2"/>
  <c r="J187" i="2"/>
  <c r="G47" i="1"/>
  <c r="F62" i="2" s="1"/>
  <c r="F63" i="2" s="1"/>
  <c r="G62" i="2"/>
  <c r="G63" i="2" s="1"/>
  <c r="F23" i="2"/>
  <c r="F22" i="2"/>
  <c r="F21" i="2" s="1"/>
  <c r="F104" i="2"/>
  <c r="F110" i="2" s="1"/>
  <c r="G91" i="2"/>
  <c r="D260" i="1"/>
  <c r="D262" i="1" s="1"/>
  <c r="D267" i="1" s="1"/>
  <c r="D277" i="1" s="1"/>
  <c r="D279" i="1" s="1"/>
  <c r="D313" i="1" s="1"/>
  <c r="D259" i="1"/>
  <c r="D257" i="1"/>
  <c r="L260" i="1"/>
  <c r="L262" i="1" s="1"/>
  <c r="L267" i="1" s="1"/>
  <c r="L277" i="1" s="1"/>
  <c r="L279" i="1" s="1"/>
  <c r="L313" i="1" s="1"/>
  <c r="L259" i="1"/>
  <c r="L257" i="1"/>
  <c r="L250" i="2"/>
  <c r="I187" i="2"/>
  <c r="H260" i="1"/>
  <c r="H262" i="1" s="1"/>
  <c r="H267" i="1" s="1"/>
  <c r="H277" i="1" s="1"/>
  <c r="H279" i="1" s="1"/>
  <c r="H313" i="1" s="1"/>
  <c r="H259" i="1"/>
  <c r="H257" i="1"/>
  <c r="N11" i="1"/>
  <c r="N12" i="1" s="1"/>
  <c r="J84" i="2"/>
  <c r="Q174" i="2"/>
  <c r="Q187" i="2"/>
  <c r="G249" i="2"/>
  <c r="G228" i="2" s="1"/>
  <c r="M12" i="1"/>
  <c r="I169" i="2"/>
  <c r="I6" i="2" s="1"/>
  <c r="F361" i="1"/>
  <c r="F364" i="1" s="1"/>
  <c r="N19" i="1"/>
  <c r="N20" i="1" s="1"/>
  <c r="P19" i="1"/>
  <c r="P20" i="1" s="1"/>
  <c r="P260" i="1"/>
  <c r="P262" i="1" s="1"/>
  <c r="P267" i="1" s="1"/>
  <c r="P277" i="1" s="1"/>
  <c r="P279" i="1" s="1"/>
  <c r="P313" i="1" s="1"/>
  <c r="P259" i="1"/>
  <c r="P257" i="1"/>
  <c r="C249" i="2"/>
  <c r="C263" i="2"/>
  <c r="C256" i="2"/>
  <c r="K256" i="2"/>
  <c r="L167" i="2"/>
  <c r="G263" i="2"/>
  <c r="L392" i="1"/>
  <c r="L391" i="1"/>
  <c r="L396" i="1" s="1"/>
  <c r="K169" i="2"/>
  <c r="K6" i="2" s="1"/>
  <c r="K173" i="2"/>
  <c r="I256" i="2"/>
  <c r="I263" i="2"/>
  <c r="I249" i="2"/>
  <c r="I228" i="2" s="1"/>
  <c r="M260" i="1"/>
  <c r="M262" i="1" s="1"/>
  <c r="M267" i="1" s="1"/>
  <c r="M277" i="1" s="1"/>
  <c r="M279" i="1" s="1"/>
  <c r="M313" i="1" s="1"/>
  <c r="M259" i="1"/>
  <c r="M257" i="1"/>
  <c r="M256" i="2"/>
  <c r="M263" i="2"/>
  <c r="P164" i="2"/>
  <c r="P165" i="2" s="1"/>
  <c r="P248" i="2" s="1"/>
  <c r="P168" i="2"/>
  <c r="P169" i="2" s="1"/>
  <c r="P6" i="2" s="1"/>
  <c r="N167" i="2"/>
  <c r="N163" i="2"/>
  <c r="N165" i="2" s="1"/>
  <c r="N248" i="2" s="1"/>
  <c r="P137" i="2"/>
  <c r="Q92" i="2"/>
  <c r="P24" i="2"/>
  <c r="P92" i="2"/>
  <c r="E82" i="2"/>
  <c r="E84" i="2"/>
  <c r="P391" i="1"/>
  <c r="P396" i="1" s="1"/>
  <c r="N376" i="1"/>
  <c r="N392" i="1" s="1"/>
  <c r="J263" i="2"/>
  <c r="J256" i="2"/>
  <c r="J257" i="1"/>
  <c r="J260" i="1"/>
  <c r="J262" i="1" s="1"/>
  <c r="J267" i="1" s="1"/>
  <c r="J277" i="1" s="1"/>
  <c r="J279" i="1" s="1"/>
  <c r="J313" i="1" s="1"/>
  <c r="J259" i="1"/>
  <c r="N257" i="1"/>
  <c r="N260" i="1"/>
  <c r="N262" i="1" s="1"/>
  <c r="N267" i="1" s="1"/>
  <c r="N277" i="1" s="1"/>
  <c r="N279" i="1" s="1"/>
  <c r="N313" i="1" s="1"/>
  <c r="N259" i="1"/>
  <c r="Q255" i="1"/>
  <c r="P250" i="2"/>
  <c r="O255" i="1"/>
  <c r="N250" i="2"/>
  <c r="J249" i="2"/>
  <c r="J228" i="2" s="1"/>
  <c r="K19" i="1"/>
  <c r="K20" i="1" s="1"/>
  <c r="O376" i="1"/>
  <c r="O392" i="1" s="1"/>
  <c r="K259" i="1"/>
  <c r="K257" i="1"/>
  <c r="K260" i="1"/>
  <c r="K262" i="1" s="1"/>
  <c r="K267" i="1" s="1"/>
  <c r="K277" i="1" s="1"/>
  <c r="K279" i="1" s="1"/>
  <c r="K313" i="1" s="1"/>
  <c r="D82" i="2"/>
  <c r="D84" i="2"/>
  <c r="L137" i="2"/>
  <c r="M92" i="2"/>
  <c r="L92" i="2"/>
  <c r="L24" i="2"/>
  <c r="O160" i="1"/>
  <c r="O8" i="1"/>
  <c r="O11" i="1" s="1"/>
  <c r="O12" i="1" s="1"/>
  <c r="Q256" i="2"/>
  <c r="Q263" i="2"/>
  <c r="L229" i="2"/>
  <c r="R376" i="1"/>
  <c r="R392" i="1" s="1"/>
  <c r="K391" i="1"/>
  <c r="K396" i="1" s="1"/>
  <c r="K397" i="1" s="1"/>
  <c r="G167" i="2"/>
  <c r="G168" i="2"/>
  <c r="D24" i="2"/>
  <c r="F82" i="2"/>
  <c r="F84" i="2"/>
  <c r="E167" i="2"/>
  <c r="E173" i="2" s="1"/>
  <c r="F167" i="2"/>
  <c r="F173" i="2" s="1"/>
  <c r="E75" i="2"/>
  <c r="E168" i="2"/>
  <c r="F168" i="2"/>
  <c r="G24" i="2"/>
  <c r="H92" i="2"/>
  <c r="H97" i="2" s="1"/>
  <c r="U107" i="2"/>
  <c r="F399" i="1"/>
  <c r="F403" i="1" s="1"/>
  <c r="F404" i="1" s="1"/>
  <c r="F397" i="1"/>
  <c r="H399" i="1"/>
  <c r="H403" i="1" s="1"/>
  <c r="H404" i="1" s="1"/>
  <c r="H397" i="1"/>
  <c r="E399" i="1"/>
  <c r="E403" i="1" s="1"/>
  <c r="E404" i="1" s="1"/>
  <c r="U69" i="2"/>
  <c r="T114" i="2"/>
  <c r="P174" i="2"/>
  <c r="P187" i="2"/>
  <c r="P189" i="2"/>
  <c r="P119" i="2"/>
  <c r="P121" i="2" s="1"/>
  <c r="P132" i="2" s="1"/>
  <c r="P133" i="2" s="1"/>
  <c r="G3" i="2"/>
  <c r="G83" i="1"/>
  <c r="X68" i="2"/>
  <c r="U71" i="2"/>
  <c r="T118" i="2"/>
  <c r="I81" i="1"/>
  <c r="O187" i="2"/>
  <c r="O189" i="2"/>
  <c r="O174" i="2"/>
  <c r="J376" i="1"/>
  <c r="J391" i="1" s="1"/>
  <c r="J396" i="1" s="1"/>
  <c r="U39" i="2"/>
  <c r="T42" i="2"/>
  <c r="T44" i="2" s="1"/>
  <c r="H3" i="1"/>
  <c r="K81" i="1"/>
  <c r="F132" i="2"/>
  <c r="F133" i="2" s="1"/>
  <c r="AD60" i="2"/>
  <c r="R199" i="2"/>
  <c r="R63" i="2"/>
  <c r="S60" i="2"/>
  <c r="S199" i="2" s="1"/>
  <c r="R235" i="2"/>
  <c r="R214" i="2"/>
  <c r="Y11" i="2"/>
  <c r="X204" i="2"/>
  <c r="J10" i="3"/>
  <c r="I33" i="3"/>
  <c r="V79" i="2"/>
  <c r="U28" i="2"/>
  <c r="H83" i="1"/>
  <c r="G81" i="1"/>
  <c r="G22" i="5"/>
  <c r="G23" i="5"/>
  <c r="G25" i="5" s="1"/>
  <c r="T78" i="2"/>
  <c r="S190" i="2"/>
  <c r="M376" i="1"/>
  <c r="M392" i="1" s="1"/>
  <c r="Q119" i="2"/>
  <c r="G376" i="1"/>
  <c r="G391" i="1" s="1"/>
  <c r="G396" i="1" s="1"/>
  <c r="N119" i="2"/>
  <c r="I376" i="1"/>
  <c r="I391" i="1" s="1"/>
  <c r="I396" i="1" s="1"/>
  <c r="I119" i="2"/>
  <c r="I121" i="2" s="1"/>
  <c r="I132" i="2" s="1"/>
  <c r="I133" i="2" s="1"/>
  <c r="I20" i="5"/>
  <c r="J21" i="5"/>
  <c r="M119" i="2"/>
  <c r="M121" i="2" s="1"/>
  <c r="U108" i="2"/>
  <c r="T64" i="2"/>
  <c r="S116" i="2"/>
  <c r="S223" i="2"/>
  <c r="T16" i="2"/>
  <c r="T106" i="2"/>
  <c r="U80" i="2"/>
  <c r="U87" i="2" s="1"/>
  <c r="E119" i="2"/>
  <c r="E121" i="2" s="1"/>
  <c r="E132" i="2" s="1"/>
  <c r="E133" i="2" s="1"/>
  <c r="U73" i="2"/>
  <c r="T112" i="2"/>
  <c r="Q376" i="1"/>
  <c r="Q392" i="1" s="1"/>
  <c r="H81" i="1"/>
  <c r="J25" i="2"/>
  <c r="J142" i="2"/>
  <c r="J143" i="2" s="1"/>
  <c r="L119" i="2"/>
  <c r="L121" i="2" s="1"/>
  <c r="L132" i="2" s="1"/>
  <c r="L133" i="2" s="1"/>
  <c r="J48" i="1"/>
  <c r="I49" i="1"/>
  <c r="D374" i="1"/>
  <c r="D376" i="1" s="1"/>
  <c r="D391" i="1" s="1"/>
  <c r="D396" i="1" s="1"/>
  <c r="C76" i="2"/>
  <c r="D119" i="2"/>
  <c r="D121" i="2" s="1"/>
  <c r="D132" i="2" s="1"/>
  <c r="D133" i="2" s="1"/>
  <c r="D55" i="2"/>
  <c r="G119" i="2"/>
  <c r="G121" i="2" s="1"/>
  <c r="L20" i="5"/>
  <c r="M21" i="5"/>
  <c r="O119" i="2"/>
  <c r="O121" i="2" s="1"/>
  <c r="T61" i="2"/>
  <c r="K119" i="2"/>
  <c r="K121" i="2" s="1"/>
  <c r="D22" i="5"/>
  <c r="D23" i="5"/>
  <c r="D25" i="5" s="1"/>
  <c r="I83" i="1"/>
  <c r="R117" i="2"/>
  <c r="AD117" i="2" s="1"/>
  <c r="S66" i="2"/>
  <c r="AD66" i="2"/>
  <c r="D347" i="1"/>
  <c r="C83" i="2"/>
  <c r="C82" i="2" s="1"/>
  <c r="H137" i="2"/>
  <c r="K83" i="1"/>
  <c r="H187" i="2" l="1"/>
  <c r="H188" i="2" s="1"/>
  <c r="R259" i="1"/>
  <c r="L249" i="2"/>
  <c r="L228" i="2" s="1"/>
  <c r="R260" i="1"/>
  <c r="R262" i="1" s="1"/>
  <c r="R267" i="1" s="1"/>
  <c r="R277" i="1" s="1"/>
  <c r="R279" i="1" s="1"/>
  <c r="R313" i="1" s="1"/>
  <c r="R20" i="1"/>
  <c r="G26" i="2"/>
  <c r="H174" i="2"/>
  <c r="M188" i="2"/>
  <c r="G96" i="2"/>
  <c r="J83" i="1"/>
  <c r="L263" i="2"/>
  <c r="O391" i="1"/>
  <c r="O396" i="1" s="1"/>
  <c r="O397" i="1" s="1"/>
  <c r="L256" i="2"/>
  <c r="L397" i="1"/>
  <c r="Q20" i="1"/>
  <c r="U65" i="2"/>
  <c r="G92" i="2"/>
  <c r="G97" i="2" s="1"/>
  <c r="F24" i="2"/>
  <c r="I188" i="2"/>
  <c r="N391" i="1"/>
  <c r="N396" i="1" s="1"/>
  <c r="K258" i="2"/>
  <c r="K259" i="2"/>
  <c r="K261" i="2" s="1"/>
  <c r="Q188" i="2"/>
  <c r="J188" i="2"/>
  <c r="F26" i="2"/>
  <c r="E26" i="2"/>
  <c r="P397" i="1"/>
  <c r="L173" i="2"/>
  <c r="L169" i="2"/>
  <c r="L6" i="2" s="1"/>
  <c r="E24" i="2"/>
  <c r="F92" i="2"/>
  <c r="F97" i="2" s="1"/>
  <c r="O258" i="2"/>
  <c r="O259" i="2"/>
  <c r="O261" i="2" s="1"/>
  <c r="C258" i="2"/>
  <c r="C259" i="2"/>
  <c r="C261" i="2" s="1"/>
  <c r="C14" i="2" s="1"/>
  <c r="E174" i="2"/>
  <c r="E189" i="2"/>
  <c r="E187" i="2"/>
  <c r="J258" i="2"/>
  <c r="J259" i="2"/>
  <c r="J261" i="2" s="1"/>
  <c r="K189" i="2"/>
  <c r="K174" i="2"/>
  <c r="K187" i="2"/>
  <c r="L142" i="2"/>
  <c r="L143" i="2" s="1"/>
  <c r="L25" i="2"/>
  <c r="O259" i="1"/>
  <c r="O257" i="1"/>
  <c r="O260" i="1"/>
  <c r="O262" i="1" s="1"/>
  <c r="O267" i="1" s="1"/>
  <c r="O277" i="1" s="1"/>
  <c r="O279" i="1" s="1"/>
  <c r="O313" i="1" s="1"/>
  <c r="L259" i="2"/>
  <c r="L261" i="2" s="1"/>
  <c r="L258" i="2"/>
  <c r="R391" i="1"/>
  <c r="R396" i="1" s="1"/>
  <c r="E169" i="2"/>
  <c r="E6" i="2" s="1"/>
  <c r="G173" i="2"/>
  <c r="G169" i="2"/>
  <c r="G6" i="2" s="1"/>
  <c r="Q259" i="2"/>
  <c r="Q261" i="2" s="1"/>
  <c r="Q258" i="2"/>
  <c r="Q260" i="1"/>
  <c r="Q262" i="1" s="1"/>
  <c r="Q267" i="1" s="1"/>
  <c r="Q277" i="1" s="1"/>
  <c r="Q279" i="1" s="1"/>
  <c r="Q313" i="1" s="1"/>
  <c r="Q259" i="1"/>
  <c r="Q257" i="1"/>
  <c r="P142" i="2"/>
  <c r="P143" i="2" s="1"/>
  <c r="P25" i="2"/>
  <c r="P232" i="2"/>
  <c r="P229" i="2"/>
  <c r="F189" i="2"/>
  <c r="F187" i="2"/>
  <c r="F174" i="2"/>
  <c r="N173" i="2"/>
  <c r="N169" i="2"/>
  <c r="N6" i="2" s="1"/>
  <c r="M259" i="2"/>
  <c r="M261" i="2" s="1"/>
  <c r="M258" i="2"/>
  <c r="F169" i="2"/>
  <c r="F6" i="2" s="1"/>
  <c r="P263" i="2"/>
  <c r="P256" i="2"/>
  <c r="P249" i="2"/>
  <c r="P228" i="2" s="1"/>
  <c r="O16" i="1"/>
  <c r="O19" i="1" s="1"/>
  <c r="O20" i="1" s="1"/>
  <c r="O163" i="1"/>
  <c r="N263" i="2"/>
  <c r="N256" i="2"/>
  <c r="N249" i="2"/>
  <c r="N228" i="2" s="1"/>
  <c r="N229" i="2"/>
  <c r="N232" i="2"/>
  <c r="I259" i="2"/>
  <c r="I261" i="2" s="1"/>
  <c r="I258" i="2"/>
  <c r="N121" i="2"/>
  <c r="N132" i="2" s="1"/>
  <c r="N133" i="2" s="1"/>
  <c r="Q121" i="2"/>
  <c r="Q132" i="2" s="1"/>
  <c r="Q133" i="2" s="1"/>
  <c r="O132" i="2"/>
  <c r="O133" i="2" s="1"/>
  <c r="V107" i="2"/>
  <c r="G132" i="2"/>
  <c r="G133" i="2" s="1"/>
  <c r="G137" i="2" s="1"/>
  <c r="D137" i="2"/>
  <c r="I137" i="2"/>
  <c r="G397" i="1"/>
  <c r="G399" i="1"/>
  <c r="G403" i="1" s="1"/>
  <c r="G404" i="1" s="1"/>
  <c r="I399" i="1"/>
  <c r="I403" i="1" s="1"/>
  <c r="I404" i="1" s="1"/>
  <c r="I397" i="1"/>
  <c r="E137" i="2"/>
  <c r="J399" i="1"/>
  <c r="J403" i="1" s="1"/>
  <c r="J404" i="1" s="1"/>
  <c r="J397" i="1"/>
  <c r="S117" i="2"/>
  <c r="T66" i="2"/>
  <c r="H25" i="2"/>
  <c r="H142" i="2"/>
  <c r="H143" i="2" s="1"/>
  <c r="D399" i="1"/>
  <c r="D403" i="1" s="1"/>
  <c r="D404" i="1" s="1"/>
  <c r="K132" i="2"/>
  <c r="K133" i="2" s="1"/>
  <c r="M22" i="5"/>
  <c r="M23" i="5"/>
  <c r="M25" i="5" s="1"/>
  <c r="I205" i="2"/>
  <c r="I12" i="2" s="1"/>
  <c r="F205" i="2"/>
  <c r="F12" i="2" s="1"/>
  <c r="V28" i="2"/>
  <c r="V39" i="2"/>
  <c r="U42" i="2"/>
  <c r="U44" i="2" s="1"/>
  <c r="H205" i="2"/>
  <c r="H12" i="2" s="1"/>
  <c r="C84" i="2"/>
  <c r="V108" i="2"/>
  <c r="M132" i="2"/>
  <c r="M133" i="2" s="1"/>
  <c r="K10" i="3"/>
  <c r="J33" i="3"/>
  <c r="R47" i="2"/>
  <c r="AD63" i="2"/>
  <c r="R67" i="2"/>
  <c r="R115" i="2"/>
  <c r="AD115" i="2" s="1"/>
  <c r="O188" i="2"/>
  <c r="V71" i="2"/>
  <c r="U118" i="2"/>
  <c r="Y68" i="2"/>
  <c r="H3" i="2"/>
  <c r="C75" i="2"/>
  <c r="C119" i="2"/>
  <c r="G205" i="2"/>
  <c r="G12" i="2" s="1"/>
  <c r="J22" i="5"/>
  <c r="J23" i="5"/>
  <c r="J25" i="5" s="1"/>
  <c r="U78" i="2"/>
  <c r="T190" i="2"/>
  <c r="W79" i="2"/>
  <c r="R222" i="2"/>
  <c r="R253" i="2"/>
  <c r="R240" i="2"/>
  <c r="J205" i="2"/>
  <c r="J12" i="2" s="1"/>
  <c r="I3" i="1"/>
  <c r="U114" i="2"/>
  <c r="V69" i="2"/>
  <c r="M391" i="1"/>
  <c r="M396" i="1" s="1"/>
  <c r="U61" i="2"/>
  <c r="I48" i="1"/>
  <c r="H49" i="1"/>
  <c r="V73" i="2"/>
  <c r="U112" i="2"/>
  <c r="U16" i="2"/>
  <c r="V80" i="2"/>
  <c r="V87" i="2" s="1"/>
  <c r="U106" i="2"/>
  <c r="U64" i="2"/>
  <c r="T116" i="2"/>
  <c r="T223" i="2"/>
  <c r="Z11" i="2"/>
  <c r="Y204" i="2"/>
  <c r="S63" i="2"/>
  <c r="T60" i="2"/>
  <c r="T199" i="2" s="1"/>
  <c r="S235" i="2"/>
  <c r="S240" i="2" s="1"/>
  <c r="S214" i="2"/>
  <c r="F137" i="2"/>
  <c r="P188" i="2"/>
  <c r="Q391" i="1"/>
  <c r="Q396" i="1" s="1"/>
  <c r="V65" i="2" l="1"/>
  <c r="N397" i="1"/>
  <c r="C96" i="2"/>
  <c r="C97" i="2"/>
  <c r="O262" i="2"/>
  <c r="O14" i="2"/>
  <c r="L187" i="2"/>
  <c r="L189" i="2"/>
  <c r="L174" i="2"/>
  <c r="K262" i="2"/>
  <c r="K14" i="2"/>
  <c r="N259" i="2"/>
  <c r="N261" i="2" s="1"/>
  <c r="N258" i="2"/>
  <c r="P259" i="2"/>
  <c r="P261" i="2" s="1"/>
  <c r="P258" i="2"/>
  <c r="Q262" i="2"/>
  <c r="Q14" i="2"/>
  <c r="M14" i="2"/>
  <c r="M262" i="2"/>
  <c r="F188" i="2"/>
  <c r="R397" i="1"/>
  <c r="E188" i="2"/>
  <c r="I14" i="2"/>
  <c r="I262" i="2"/>
  <c r="G187" i="2"/>
  <c r="G188" i="2" s="1"/>
  <c r="G174" i="2"/>
  <c r="G189" i="2"/>
  <c r="K188" i="2"/>
  <c r="N174" i="2"/>
  <c r="N189" i="2"/>
  <c r="N187" i="2"/>
  <c r="L14" i="2"/>
  <c r="L262" i="2"/>
  <c r="J14" i="2"/>
  <c r="J262" i="2"/>
  <c r="W107" i="2"/>
  <c r="U60" i="2"/>
  <c r="T63" i="2"/>
  <c r="T235" i="2"/>
  <c r="T240" i="2" s="1"/>
  <c r="T214" i="2"/>
  <c r="V64" i="2"/>
  <c r="U116" i="2"/>
  <c r="U223" i="2"/>
  <c r="V114" i="2"/>
  <c r="W69" i="2"/>
  <c r="J3" i="1"/>
  <c r="X79" i="2"/>
  <c r="R53" i="2"/>
  <c r="AD67" i="2"/>
  <c r="R201" i="2"/>
  <c r="R202" i="2" s="1"/>
  <c r="R213" i="2"/>
  <c r="R212" i="2" s="1"/>
  <c r="K33" i="3"/>
  <c r="L10" i="3"/>
  <c r="W108" i="2"/>
  <c r="W39" i="2"/>
  <c r="V42" i="2"/>
  <c r="V44" i="2" s="1"/>
  <c r="I25" i="2"/>
  <c r="I142" i="2"/>
  <c r="I143" i="2" s="1"/>
  <c r="S47" i="2"/>
  <c r="S67" i="2"/>
  <c r="S115" i="2"/>
  <c r="AA11" i="2"/>
  <c r="Z204" i="2"/>
  <c r="W73" i="2"/>
  <c r="V112" i="2"/>
  <c r="V61" i="2"/>
  <c r="V78" i="2"/>
  <c r="U190" i="2"/>
  <c r="C121" i="2"/>
  <c r="C132" i="2" s="1"/>
  <c r="C133" i="2" s="1"/>
  <c r="Z68" i="2"/>
  <c r="Q397" i="1"/>
  <c r="S222" i="2"/>
  <c r="S253" i="2"/>
  <c r="V16" i="2"/>
  <c r="W80" i="2"/>
  <c r="W87" i="2" s="1"/>
  <c r="V106" i="2"/>
  <c r="H48" i="1"/>
  <c r="G49" i="1"/>
  <c r="I3" i="2"/>
  <c r="W28" i="2"/>
  <c r="U66" i="2"/>
  <c r="T117" i="2"/>
  <c r="G25" i="2"/>
  <c r="G142" i="2"/>
  <c r="G143" i="2" s="1"/>
  <c r="D25" i="2"/>
  <c r="D142" i="2"/>
  <c r="D143" i="2" s="1"/>
  <c r="F25" i="2"/>
  <c r="F142" i="2"/>
  <c r="F143" i="2" s="1"/>
  <c r="M397" i="1"/>
  <c r="W71" i="2"/>
  <c r="V118" i="2"/>
  <c r="E25" i="2"/>
  <c r="E142" i="2"/>
  <c r="E143" i="2" s="1"/>
  <c r="W65" i="2" l="1"/>
  <c r="O97" i="2"/>
  <c r="O26" i="2"/>
  <c r="O21" i="2"/>
  <c r="O95" i="2"/>
  <c r="O96" i="2"/>
  <c r="K97" i="2"/>
  <c r="K26" i="2"/>
  <c r="K21" i="2"/>
  <c r="K96" i="2"/>
  <c r="K95" i="2"/>
  <c r="L188" i="2"/>
  <c r="J95" i="2"/>
  <c r="J21" i="2"/>
  <c r="J97" i="2"/>
  <c r="J26" i="2"/>
  <c r="J96" i="2"/>
  <c r="M96" i="2"/>
  <c r="M26" i="2"/>
  <c r="M95" i="2"/>
  <c r="M21" i="2"/>
  <c r="M97" i="2"/>
  <c r="P14" i="2"/>
  <c r="P262" i="2"/>
  <c r="I21" i="2"/>
  <c r="I26" i="2"/>
  <c r="I95" i="2"/>
  <c r="I97" i="2"/>
  <c r="I96" i="2"/>
  <c r="Q26" i="2"/>
  <c r="Q95" i="2"/>
  <c r="Q97" i="2"/>
  <c r="Q96" i="2"/>
  <c r="Q21" i="2"/>
  <c r="N188" i="2"/>
  <c r="L21" i="2"/>
  <c r="L97" i="2"/>
  <c r="L26" i="2"/>
  <c r="L96" i="2"/>
  <c r="L95" i="2"/>
  <c r="N262" i="2"/>
  <c r="N14" i="2"/>
  <c r="X107" i="2"/>
  <c r="X28" i="2"/>
  <c r="C137" i="2"/>
  <c r="C142" i="2" s="1"/>
  <c r="C143" i="2" s="1"/>
  <c r="W61" i="2"/>
  <c r="S53" i="2"/>
  <c r="S213" i="2"/>
  <c r="S212" i="2" s="1"/>
  <c r="S201" i="2"/>
  <c r="S202" i="2" s="1"/>
  <c r="R74" i="2"/>
  <c r="AD74" i="2" s="1"/>
  <c r="S208" i="2"/>
  <c r="Y79" i="2"/>
  <c r="X69" i="2"/>
  <c r="W114" i="2"/>
  <c r="T47" i="2"/>
  <c r="T115" i="2"/>
  <c r="T67" i="2"/>
  <c r="V66" i="2"/>
  <c r="U117" i="2"/>
  <c r="G48" i="1"/>
  <c r="AA68" i="2"/>
  <c r="W78" i="2"/>
  <c r="V190" i="2"/>
  <c r="AB11" i="2"/>
  <c r="AA204" i="2"/>
  <c r="AE11" i="2"/>
  <c r="R203" i="2"/>
  <c r="R10" i="2" s="1"/>
  <c r="R210" i="2"/>
  <c r="R209" i="2" s="1"/>
  <c r="R251" i="2" s="1"/>
  <c r="U63" i="2"/>
  <c r="V60" i="2"/>
  <c r="V199" i="2" s="1"/>
  <c r="U235" i="2"/>
  <c r="U240" i="2" s="1"/>
  <c r="U214" i="2"/>
  <c r="X71" i="2"/>
  <c r="W118" i="2"/>
  <c r="J3" i="2"/>
  <c r="M10" i="3"/>
  <c r="L33" i="3"/>
  <c r="W64" i="2"/>
  <c r="V116" i="2"/>
  <c r="V223" i="2"/>
  <c r="T253" i="2"/>
  <c r="T222" i="2"/>
  <c r="W16" i="2"/>
  <c r="W106" i="2"/>
  <c r="X80" i="2"/>
  <c r="X87" i="2" s="1"/>
  <c r="X73" i="2"/>
  <c r="W112" i="2"/>
  <c r="W42" i="2"/>
  <c r="W44" i="2" s="1"/>
  <c r="X39" i="2"/>
  <c r="X108" i="2"/>
  <c r="K3" i="1"/>
  <c r="U199" i="2"/>
  <c r="X65" i="2" l="1"/>
  <c r="P95" i="2"/>
  <c r="P97" i="2"/>
  <c r="P26" i="2"/>
  <c r="P96" i="2"/>
  <c r="P21" i="2"/>
  <c r="N26" i="2"/>
  <c r="N21" i="2"/>
  <c r="N95" i="2"/>
  <c r="N96" i="2"/>
  <c r="N97" i="2"/>
  <c r="Y107" i="2"/>
  <c r="Y108" i="2"/>
  <c r="K3" i="2"/>
  <c r="Y71" i="2"/>
  <c r="X118" i="2"/>
  <c r="V63" i="2"/>
  <c r="W60" i="2"/>
  <c r="W199" i="2" s="1"/>
  <c r="V235" i="2"/>
  <c r="V240" i="2" s="1"/>
  <c r="V214" i="2"/>
  <c r="AB204" i="2"/>
  <c r="T53" i="2"/>
  <c r="T213" i="2"/>
  <c r="T212" i="2" s="1"/>
  <c r="T201" i="2"/>
  <c r="T202" i="2" s="1"/>
  <c r="Y69" i="2"/>
  <c r="X114" i="2"/>
  <c r="Y73" i="2"/>
  <c r="X112" i="2"/>
  <c r="X78" i="2"/>
  <c r="W190" i="2"/>
  <c r="AB68" i="2"/>
  <c r="Z79" i="2"/>
  <c r="X61" i="2"/>
  <c r="Y28" i="2"/>
  <c r="X16" i="2"/>
  <c r="X106" i="2"/>
  <c r="Y80" i="2"/>
  <c r="Y87" i="2" s="1"/>
  <c r="N10" i="3"/>
  <c r="N33" i="3" s="1"/>
  <c r="M33" i="3"/>
  <c r="U47" i="2"/>
  <c r="U67" i="2"/>
  <c r="U115" i="2"/>
  <c r="AD10" i="2"/>
  <c r="W66" i="2"/>
  <c r="V117" i="2"/>
  <c r="S210" i="2"/>
  <c r="S209" i="2" s="1"/>
  <c r="S251" i="2" s="1"/>
  <c r="S203" i="2"/>
  <c r="S10" i="2" s="1"/>
  <c r="Y39" i="2"/>
  <c r="X42" i="2"/>
  <c r="X44" i="2" s="1"/>
  <c r="L3" i="1"/>
  <c r="X64" i="2"/>
  <c r="W116" i="2"/>
  <c r="W223" i="2"/>
  <c r="U222" i="2"/>
  <c r="U253" i="2"/>
  <c r="S74" i="2"/>
  <c r="T208" i="2"/>
  <c r="Y65" i="2" l="1"/>
  <c r="Z107" i="2"/>
  <c r="D15" i="3"/>
  <c r="AK270" i="2"/>
  <c r="X66" i="2"/>
  <c r="W117" i="2"/>
  <c r="Z28" i="2"/>
  <c r="Y78" i="2"/>
  <c r="X190" i="2"/>
  <c r="Y114" i="2"/>
  <c r="Z69" i="2"/>
  <c r="Z71" i="2"/>
  <c r="Y118" i="2"/>
  <c r="Z39" i="2"/>
  <c r="Y42" i="2"/>
  <c r="Y44" i="2" s="1"/>
  <c r="U53" i="2"/>
  <c r="U213" i="2"/>
  <c r="U212" i="2" s="1"/>
  <c r="U201" i="2"/>
  <c r="U202" i="2" s="1"/>
  <c r="AA79" i="2"/>
  <c r="T203" i="2"/>
  <c r="T10" i="2" s="1"/>
  <c r="T210" i="2"/>
  <c r="T209" i="2" s="1"/>
  <c r="T251" i="2" s="1"/>
  <c r="V47" i="2"/>
  <c r="V67" i="2"/>
  <c r="V115" i="2"/>
  <c r="Z108" i="2"/>
  <c r="Z73" i="2"/>
  <c r="Y112" i="2"/>
  <c r="T74" i="2"/>
  <c r="U208" i="2"/>
  <c r="V222" i="2"/>
  <c r="V253" i="2"/>
  <c r="L3" i="2"/>
  <c r="Y64" i="2"/>
  <c r="X116" i="2"/>
  <c r="X223" i="2"/>
  <c r="M3" i="1"/>
  <c r="Y16" i="2"/>
  <c r="Z80" i="2"/>
  <c r="Z87" i="2" s="1"/>
  <c r="Y106" i="2"/>
  <c r="Y61" i="2"/>
  <c r="AE68" i="2"/>
  <c r="AF68" i="2"/>
  <c r="W63" i="2"/>
  <c r="X60" i="2"/>
  <c r="W235" i="2"/>
  <c r="W240" i="2" s="1"/>
  <c r="W214" i="2"/>
  <c r="Z65" i="2" l="1"/>
  <c r="AA107" i="2"/>
  <c r="N3" i="1"/>
  <c r="Z64" i="2"/>
  <c r="Y116" i="2"/>
  <c r="Y223" i="2"/>
  <c r="U203" i="2"/>
  <c r="U10" i="2" s="1"/>
  <c r="U210" i="2"/>
  <c r="U209" i="2" s="1"/>
  <c r="U251" i="2" s="1"/>
  <c r="AA39" i="2"/>
  <c r="Z42" i="2"/>
  <c r="Z44" i="2" s="1"/>
  <c r="Z16" i="2"/>
  <c r="AA80" i="2"/>
  <c r="AA87" i="2" s="1"/>
  <c r="Z106" i="2"/>
  <c r="M3" i="2"/>
  <c r="E15" i="3"/>
  <c r="U74" i="2"/>
  <c r="V208" i="2"/>
  <c r="AA28" i="2"/>
  <c r="W222" i="2"/>
  <c r="W253" i="2"/>
  <c r="Y60" i="2"/>
  <c r="Y199" i="2" s="1"/>
  <c r="X63" i="2"/>
  <c r="X235" i="2"/>
  <c r="X240" i="2" s="1"/>
  <c r="X214" i="2"/>
  <c r="W67" i="2"/>
  <c r="W47" i="2"/>
  <c r="W115" i="2"/>
  <c r="V53" i="2"/>
  <c r="V201" i="2"/>
  <c r="V202" i="2" s="1"/>
  <c r="V213" i="2"/>
  <c r="V212" i="2" s="1"/>
  <c r="AB79" i="2"/>
  <c r="Z114" i="2"/>
  <c r="AA69" i="2"/>
  <c r="X199" i="2"/>
  <c r="Z61" i="2"/>
  <c r="AA73" i="2"/>
  <c r="Z112" i="2"/>
  <c r="AA108" i="2"/>
  <c r="AA71" i="2"/>
  <c r="Z118" i="2"/>
  <c r="Z78" i="2"/>
  <c r="Y190" i="2"/>
  <c r="Y66" i="2"/>
  <c r="X117" i="2"/>
  <c r="AA65" i="2" l="1"/>
  <c r="AB107" i="2"/>
  <c r="AA64" i="2"/>
  <c r="Z116" i="2"/>
  <c r="Z223" i="2"/>
  <c r="AB71" i="2"/>
  <c r="AA118" i="2"/>
  <c r="V74" i="2"/>
  <c r="W208" i="2"/>
  <c r="W53" i="2"/>
  <c r="W201" i="2"/>
  <c r="W202" i="2" s="1"/>
  <c r="W213" i="2"/>
  <c r="W212" i="2" s="1"/>
  <c r="X47" i="2"/>
  <c r="X115" i="2"/>
  <c r="X67" i="2"/>
  <c r="AA16" i="2"/>
  <c r="AA106" i="2"/>
  <c r="AB80" i="2"/>
  <c r="AB87" i="2" s="1"/>
  <c r="F15" i="3"/>
  <c r="AB69" i="2"/>
  <c r="AA114" i="2"/>
  <c r="AA78" i="2"/>
  <c r="Z190" i="2"/>
  <c r="AB108" i="2"/>
  <c r="V210" i="2"/>
  <c r="V209" i="2" s="1"/>
  <c r="V251" i="2" s="1"/>
  <c r="V203" i="2"/>
  <c r="V10" i="2" s="1"/>
  <c r="Y63" i="2"/>
  <c r="Z60" i="2"/>
  <c r="Z199" i="2" s="1"/>
  <c r="Y214" i="2"/>
  <c r="Y235" i="2"/>
  <c r="Y240" i="2" s="1"/>
  <c r="N3" i="2"/>
  <c r="O3" i="1"/>
  <c r="Z66" i="2"/>
  <c r="Y117" i="2"/>
  <c r="AB73" i="2"/>
  <c r="AA112" i="2"/>
  <c r="AA61" i="2"/>
  <c r="AF79" i="2"/>
  <c r="AE79" i="2"/>
  <c r="X253" i="2"/>
  <c r="X222" i="2"/>
  <c r="AB28" i="2"/>
  <c r="AA42" i="2"/>
  <c r="AA44" i="2" s="1"/>
  <c r="AB39" i="2"/>
  <c r="AB65" i="2" l="1"/>
  <c r="AE39" i="2"/>
  <c r="AB42" i="2"/>
  <c r="AF39" i="2"/>
  <c r="AE73" i="2"/>
  <c r="AF73" i="2"/>
  <c r="AB112" i="2"/>
  <c r="AA66" i="2"/>
  <c r="Z117" i="2"/>
  <c r="Y222" i="2"/>
  <c r="Y253" i="2"/>
  <c r="Y47" i="2"/>
  <c r="Y67" i="2"/>
  <c r="Y115" i="2"/>
  <c r="W74" i="2"/>
  <c r="X208" i="2"/>
  <c r="X53" i="2"/>
  <c r="X201" i="2"/>
  <c r="X202" i="2" s="1"/>
  <c r="X213" i="2"/>
  <c r="X212" i="2" s="1"/>
  <c r="W203" i="2"/>
  <c r="W10" i="2" s="1"/>
  <c r="W210" i="2"/>
  <c r="W209" i="2" s="1"/>
  <c r="W251" i="2" s="1"/>
  <c r="AE71" i="2"/>
  <c r="AF71" i="2"/>
  <c r="AB118" i="2"/>
  <c r="AB61" i="2"/>
  <c r="P3" i="1"/>
  <c r="G15" i="3"/>
  <c r="AB16" i="2"/>
  <c r="AE80" i="2"/>
  <c r="AF80" i="2"/>
  <c r="AB106" i="2"/>
  <c r="O3" i="2"/>
  <c r="Z63" i="2"/>
  <c r="AA60" i="2"/>
  <c r="AA199" i="2" s="1"/>
  <c r="Z235" i="2"/>
  <c r="Z240" i="2" s="1"/>
  <c r="Z214" i="2"/>
  <c r="AB78" i="2"/>
  <c r="AA190" i="2"/>
  <c r="AE69" i="2"/>
  <c r="AF69" i="2"/>
  <c r="AB114" i="2"/>
  <c r="AB64" i="2"/>
  <c r="AA116" i="2"/>
  <c r="AA223" i="2"/>
  <c r="AF65" i="2" l="1"/>
  <c r="AE65" i="2"/>
  <c r="AB116" i="2"/>
  <c r="AE64" i="2"/>
  <c r="AF64" i="2"/>
  <c r="AB223" i="2"/>
  <c r="AB190" i="2"/>
  <c r="AE78" i="2"/>
  <c r="AF78" i="2"/>
  <c r="AA63" i="2"/>
  <c r="AA235" i="2"/>
  <c r="AA240" i="2" s="1"/>
  <c r="AA214" i="2"/>
  <c r="P3" i="2"/>
  <c r="AE118" i="2"/>
  <c r="AF118" i="2"/>
  <c r="AB66" i="2"/>
  <c r="AA117" i="2"/>
  <c r="H15" i="3"/>
  <c r="AE114" i="2"/>
  <c r="AF114" i="2"/>
  <c r="Z47" i="2"/>
  <c r="Z67" i="2"/>
  <c r="Z115" i="2"/>
  <c r="AE61" i="2"/>
  <c r="AF61" i="2"/>
  <c r="X74" i="2"/>
  <c r="Y208" i="2"/>
  <c r="AF112" i="2"/>
  <c r="AE112" i="2"/>
  <c r="AF42" i="2"/>
  <c r="AB44" i="2"/>
  <c r="AB60" i="2" s="1"/>
  <c r="AE42" i="2"/>
  <c r="Z222" i="2"/>
  <c r="Z253" i="2"/>
  <c r="Q3" i="1"/>
  <c r="X203" i="2"/>
  <c r="X10" i="2" s="1"/>
  <c r="X210" i="2"/>
  <c r="X209" i="2" s="1"/>
  <c r="X251" i="2" s="1"/>
  <c r="Y53" i="2"/>
  <c r="Y201" i="2"/>
  <c r="Y202" i="2" s="1"/>
  <c r="Y213" i="2"/>
  <c r="Y212" i="2" s="1"/>
  <c r="AE60" i="2" l="1"/>
  <c r="AF60" i="2"/>
  <c r="AB63" i="2"/>
  <c r="AB235" i="2"/>
  <c r="AB214" i="2"/>
  <c r="AB199" i="2"/>
  <c r="AE66" i="2"/>
  <c r="AF66" i="2"/>
  <c r="AB117" i="2"/>
  <c r="Y74" i="2"/>
  <c r="Z208" i="2"/>
  <c r="Z53" i="2"/>
  <c r="Z201" i="2"/>
  <c r="Z202" i="2" s="1"/>
  <c r="Z213" i="2"/>
  <c r="Z212" i="2" s="1"/>
  <c r="Q3" i="2"/>
  <c r="AF116" i="2"/>
  <c r="AE116" i="2"/>
  <c r="R3" i="1"/>
  <c r="AA47" i="2"/>
  <c r="AA67" i="2"/>
  <c r="AA115" i="2"/>
  <c r="AA222" i="2"/>
  <c r="AA253" i="2"/>
  <c r="Y203" i="2"/>
  <c r="Y10" i="2" s="1"/>
  <c r="Y210" i="2"/>
  <c r="Y209" i="2" s="1"/>
  <c r="Y251" i="2" s="1"/>
  <c r="I15" i="3"/>
  <c r="R3" i="2" l="1"/>
  <c r="AB222" i="2"/>
  <c r="AB253" i="2"/>
  <c r="AB240" i="2"/>
  <c r="AB47" i="2"/>
  <c r="AB115" i="2"/>
  <c r="AE63" i="2"/>
  <c r="AF63" i="2"/>
  <c r="AB67" i="2"/>
  <c r="Z210" i="2"/>
  <c r="Z209" i="2" s="1"/>
  <c r="Z251" i="2" s="1"/>
  <c r="Z203" i="2"/>
  <c r="Z10" i="2" s="1"/>
  <c r="J15" i="3"/>
  <c r="AA53" i="2"/>
  <c r="AA213" i="2"/>
  <c r="AA212" i="2" s="1"/>
  <c r="AA201" i="2"/>
  <c r="AA202" i="2" s="1"/>
  <c r="S3" i="1"/>
  <c r="Z74" i="2"/>
  <c r="AA208" i="2"/>
  <c r="AE117" i="2"/>
  <c r="AF117" i="2"/>
  <c r="AA210" i="2" l="1"/>
  <c r="AA209" i="2" s="1"/>
  <c r="AA251" i="2" s="1"/>
  <c r="AA203" i="2"/>
  <c r="AA10" i="2" s="1"/>
  <c r="AE115" i="2"/>
  <c r="AF115" i="2"/>
  <c r="AA74" i="2"/>
  <c r="AB208" i="2"/>
  <c r="K15" i="3"/>
  <c r="AE67" i="2"/>
  <c r="AB53" i="2"/>
  <c r="AF67" i="2"/>
  <c r="AB201" i="2"/>
  <c r="AB202" i="2" s="1"/>
  <c r="AB213" i="2"/>
  <c r="AB212" i="2" s="1"/>
  <c r="S3" i="2"/>
  <c r="T3" i="2" l="1"/>
  <c r="AB74" i="2"/>
  <c r="L15" i="3"/>
  <c r="AB203" i="2"/>
  <c r="AB10" i="2" s="1"/>
  <c r="AB210" i="2"/>
  <c r="AB209" i="2" s="1"/>
  <c r="AB251" i="2" s="1"/>
  <c r="AF74" i="2" l="1"/>
  <c r="AE74" i="2"/>
  <c r="M15" i="3"/>
  <c r="AE10" i="2"/>
  <c r="U3" i="2"/>
  <c r="V3" i="2" l="1"/>
  <c r="W3" i="2" l="1"/>
  <c r="X3" i="2" l="1"/>
  <c r="Y3" i="2" l="1"/>
  <c r="Z3" i="2" l="1"/>
  <c r="AA3" i="2" l="1"/>
  <c r="AB3" i="2" l="1"/>
  <c r="B1" i="2"/>
  <c r="B2" i="2"/>
  <c r="R6" i="2"/>
  <c r="S6" i="2"/>
  <c r="T6" i="2"/>
  <c r="U6" i="2"/>
  <c r="V6" i="2"/>
  <c r="W6" i="2"/>
  <c r="X6" i="2"/>
  <c r="Y6" i="2"/>
  <c r="Z6" i="2"/>
  <c r="AA6" i="2"/>
  <c r="AB6" i="2"/>
  <c r="AD6" i="2"/>
  <c r="AE6" i="2"/>
  <c r="R7" i="2"/>
  <c r="S7" i="2"/>
  <c r="T7" i="2"/>
  <c r="U7" i="2"/>
  <c r="V7" i="2"/>
  <c r="W7" i="2"/>
  <c r="X7" i="2"/>
  <c r="Y7" i="2"/>
  <c r="Z7" i="2"/>
  <c r="AA7" i="2"/>
  <c r="AB7" i="2"/>
  <c r="R14" i="2"/>
  <c r="S14" i="2"/>
  <c r="T14" i="2"/>
  <c r="U14" i="2"/>
  <c r="V14" i="2"/>
  <c r="W14" i="2"/>
  <c r="X14" i="2"/>
  <c r="Y14" i="2"/>
  <c r="Z14" i="2"/>
  <c r="AA14" i="2"/>
  <c r="AB14" i="2"/>
  <c r="S15" i="2"/>
  <c r="T15" i="2"/>
  <c r="U15" i="2"/>
  <c r="V15" i="2"/>
  <c r="W15" i="2"/>
  <c r="X15" i="2"/>
  <c r="Y15" i="2"/>
  <c r="Z15" i="2"/>
  <c r="AA15" i="2"/>
  <c r="AB15" i="2"/>
  <c r="R22" i="2"/>
  <c r="S22" i="2"/>
  <c r="T22" i="2"/>
  <c r="U22" i="2"/>
  <c r="V22" i="2"/>
  <c r="W22" i="2"/>
  <c r="X22" i="2"/>
  <c r="Y22" i="2"/>
  <c r="Z22" i="2"/>
  <c r="AA22" i="2"/>
  <c r="AB22" i="2"/>
  <c r="R23" i="2"/>
  <c r="S23" i="2"/>
  <c r="T23" i="2"/>
  <c r="U23" i="2"/>
  <c r="V23" i="2"/>
  <c r="W23" i="2"/>
  <c r="X23" i="2"/>
  <c r="Y23" i="2"/>
  <c r="Z23" i="2"/>
  <c r="AA23" i="2"/>
  <c r="AB23" i="2"/>
  <c r="R24" i="2"/>
  <c r="S24" i="2"/>
  <c r="T24" i="2"/>
  <c r="U24" i="2"/>
  <c r="V24" i="2"/>
  <c r="W24" i="2"/>
  <c r="X24" i="2"/>
  <c r="Y24" i="2"/>
  <c r="Z24" i="2"/>
  <c r="AA24" i="2"/>
  <c r="AB24" i="2"/>
  <c r="R25" i="2"/>
  <c r="S25" i="2"/>
  <c r="T25" i="2"/>
  <c r="U25" i="2"/>
  <c r="V25" i="2"/>
  <c r="W25" i="2"/>
  <c r="X25" i="2"/>
  <c r="Y25" i="2"/>
  <c r="Z25" i="2"/>
  <c r="AA25" i="2"/>
  <c r="AB25" i="2"/>
  <c r="R26" i="2"/>
  <c r="S26" i="2"/>
  <c r="T26" i="2"/>
  <c r="U26" i="2"/>
  <c r="V26" i="2"/>
  <c r="W26" i="2"/>
  <c r="X26" i="2"/>
  <c r="Y26" i="2"/>
  <c r="Z26" i="2"/>
  <c r="AA26" i="2"/>
  <c r="AB26" i="2"/>
  <c r="S30" i="2"/>
  <c r="T30" i="2"/>
  <c r="U30" i="2"/>
  <c r="V30" i="2"/>
  <c r="W30" i="2"/>
  <c r="X30" i="2"/>
  <c r="Y30" i="2"/>
  <c r="Z30" i="2"/>
  <c r="AA30" i="2"/>
  <c r="AB30" i="2"/>
  <c r="AE30" i="2"/>
  <c r="S31" i="2"/>
  <c r="T31" i="2"/>
  <c r="U31" i="2"/>
  <c r="V31" i="2"/>
  <c r="W31" i="2"/>
  <c r="X31" i="2"/>
  <c r="Y31" i="2"/>
  <c r="Z31" i="2"/>
  <c r="AA31" i="2"/>
  <c r="AB31" i="2"/>
  <c r="AE31" i="2"/>
  <c r="R33" i="2"/>
  <c r="S33" i="2"/>
  <c r="T33" i="2"/>
  <c r="U33" i="2"/>
  <c r="V33" i="2"/>
  <c r="W33" i="2"/>
  <c r="X33" i="2"/>
  <c r="Y33" i="2"/>
  <c r="Z33" i="2"/>
  <c r="AA33" i="2"/>
  <c r="AB33" i="2"/>
  <c r="AE33" i="2"/>
  <c r="S34" i="2"/>
  <c r="T34" i="2"/>
  <c r="U34" i="2"/>
  <c r="V34" i="2"/>
  <c r="W34" i="2"/>
  <c r="X34" i="2"/>
  <c r="Y34" i="2"/>
  <c r="Z34" i="2"/>
  <c r="AA34" i="2"/>
  <c r="AB34" i="2"/>
  <c r="R70" i="2"/>
  <c r="S70" i="2"/>
  <c r="T70" i="2"/>
  <c r="U70" i="2"/>
  <c r="V70" i="2"/>
  <c r="W70" i="2"/>
  <c r="X70" i="2"/>
  <c r="Y70" i="2"/>
  <c r="Z70" i="2"/>
  <c r="AA70" i="2"/>
  <c r="AB70" i="2"/>
  <c r="AD70" i="2"/>
  <c r="AE70" i="2"/>
  <c r="AF70" i="2"/>
  <c r="R72" i="2"/>
  <c r="S72" i="2"/>
  <c r="T72" i="2"/>
  <c r="U72" i="2"/>
  <c r="V72" i="2"/>
  <c r="W72" i="2"/>
  <c r="X72" i="2"/>
  <c r="Y72" i="2"/>
  <c r="Z72" i="2"/>
  <c r="AA72" i="2"/>
  <c r="AB72" i="2"/>
  <c r="AD72" i="2"/>
  <c r="AE72" i="2"/>
  <c r="AF72" i="2"/>
  <c r="R76" i="2"/>
  <c r="S76" i="2"/>
  <c r="T76" i="2"/>
  <c r="U76" i="2"/>
  <c r="V76" i="2"/>
  <c r="W76" i="2"/>
  <c r="X76" i="2"/>
  <c r="Y76" i="2"/>
  <c r="Z76" i="2"/>
  <c r="AA76" i="2"/>
  <c r="AB76" i="2"/>
  <c r="AD76" i="2"/>
  <c r="AE76" i="2"/>
  <c r="AF76" i="2"/>
  <c r="R81" i="2"/>
  <c r="S81" i="2"/>
  <c r="T81" i="2"/>
  <c r="U81" i="2"/>
  <c r="V81" i="2"/>
  <c r="W81" i="2"/>
  <c r="X81" i="2"/>
  <c r="Y81" i="2"/>
  <c r="Z81" i="2"/>
  <c r="AA81" i="2"/>
  <c r="AB81" i="2"/>
  <c r="AD81" i="2"/>
  <c r="AE81" i="2"/>
  <c r="AF81" i="2"/>
  <c r="R83" i="2"/>
  <c r="S83" i="2"/>
  <c r="T83" i="2"/>
  <c r="U83" i="2"/>
  <c r="V83" i="2"/>
  <c r="W83" i="2"/>
  <c r="X83" i="2"/>
  <c r="Y83" i="2"/>
  <c r="Z83" i="2"/>
  <c r="AA83" i="2"/>
  <c r="AB83" i="2"/>
  <c r="AD83" i="2"/>
  <c r="AE83" i="2"/>
  <c r="AF83" i="2"/>
  <c r="R84" i="2"/>
  <c r="S84" i="2"/>
  <c r="T84" i="2"/>
  <c r="U84" i="2"/>
  <c r="V84" i="2"/>
  <c r="W84" i="2"/>
  <c r="X84" i="2"/>
  <c r="Y84" i="2"/>
  <c r="Z84" i="2"/>
  <c r="AA84" i="2"/>
  <c r="AB84" i="2"/>
  <c r="R86" i="2"/>
  <c r="S86" i="2"/>
  <c r="T86" i="2"/>
  <c r="U86" i="2"/>
  <c r="V86" i="2"/>
  <c r="W86" i="2"/>
  <c r="X86" i="2"/>
  <c r="Y86" i="2"/>
  <c r="Z86" i="2"/>
  <c r="AA86" i="2"/>
  <c r="AB86" i="2"/>
  <c r="R89" i="2"/>
  <c r="S89" i="2"/>
  <c r="T89" i="2"/>
  <c r="U89" i="2"/>
  <c r="V89" i="2"/>
  <c r="W89" i="2"/>
  <c r="X89" i="2"/>
  <c r="Y89" i="2"/>
  <c r="Z89" i="2"/>
  <c r="AA89" i="2"/>
  <c r="AB89" i="2"/>
  <c r="R91" i="2"/>
  <c r="S91" i="2"/>
  <c r="T91" i="2"/>
  <c r="U91" i="2"/>
  <c r="V91" i="2"/>
  <c r="W91" i="2"/>
  <c r="X91" i="2"/>
  <c r="Y91" i="2"/>
  <c r="Z91" i="2"/>
  <c r="AA91" i="2"/>
  <c r="AB91" i="2"/>
  <c r="R92" i="2"/>
  <c r="S92" i="2"/>
  <c r="T92" i="2"/>
  <c r="U92" i="2"/>
  <c r="V92" i="2"/>
  <c r="W92" i="2"/>
  <c r="X92" i="2"/>
  <c r="Y92" i="2"/>
  <c r="Z92" i="2"/>
  <c r="AA92" i="2"/>
  <c r="AB92" i="2"/>
  <c r="R95" i="2"/>
  <c r="S95" i="2"/>
  <c r="T95" i="2"/>
  <c r="U95" i="2"/>
  <c r="V95" i="2"/>
  <c r="W95" i="2"/>
  <c r="X95" i="2"/>
  <c r="Y95" i="2"/>
  <c r="Z95" i="2"/>
  <c r="AA95" i="2"/>
  <c r="AB95" i="2"/>
  <c r="R96" i="2"/>
  <c r="S96" i="2"/>
  <c r="T96" i="2"/>
  <c r="U96" i="2"/>
  <c r="V96" i="2"/>
  <c r="W96" i="2"/>
  <c r="X96" i="2"/>
  <c r="Y96" i="2"/>
  <c r="Z96" i="2"/>
  <c r="AA96" i="2"/>
  <c r="AB96" i="2"/>
  <c r="R97" i="2"/>
  <c r="S97" i="2"/>
  <c r="T97" i="2"/>
  <c r="U97" i="2"/>
  <c r="V97" i="2"/>
  <c r="W97" i="2"/>
  <c r="X97" i="2"/>
  <c r="Y97" i="2"/>
  <c r="Z97" i="2"/>
  <c r="AA97" i="2"/>
  <c r="AB97" i="2"/>
  <c r="R104" i="2"/>
  <c r="S104" i="2"/>
  <c r="T104" i="2"/>
  <c r="U104" i="2"/>
  <c r="V104" i="2"/>
  <c r="W104" i="2"/>
  <c r="X104" i="2"/>
  <c r="Y104" i="2"/>
  <c r="Z104" i="2"/>
  <c r="AA104" i="2"/>
  <c r="AB104" i="2"/>
  <c r="AD104" i="2"/>
  <c r="AE104" i="2"/>
  <c r="AF104" i="2"/>
  <c r="R110" i="2"/>
  <c r="S110" i="2"/>
  <c r="T110" i="2"/>
  <c r="U110" i="2"/>
  <c r="V110" i="2"/>
  <c r="W110" i="2"/>
  <c r="X110" i="2"/>
  <c r="Y110" i="2"/>
  <c r="Z110" i="2"/>
  <c r="AA110" i="2"/>
  <c r="AB110" i="2"/>
  <c r="AD110" i="2"/>
  <c r="AE110" i="2"/>
  <c r="AF110" i="2"/>
  <c r="R113" i="2"/>
  <c r="S113" i="2"/>
  <c r="T113" i="2"/>
  <c r="U113" i="2"/>
  <c r="V113" i="2"/>
  <c r="W113" i="2"/>
  <c r="X113" i="2"/>
  <c r="Y113" i="2"/>
  <c r="Z113" i="2"/>
  <c r="AA113" i="2"/>
  <c r="AB113" i="2"/>
  <c r="AD113" i="2"/>
  <c r="AE113" i="2"/>
  <c r="AF113" i="2"/>
  <c r="R119" i="2"/>
  <c r="S119" i="2"/>
  <c r="T119" i="2"/>
  <c r="U119" i="2"/>
  <c r="V119" i="2"/>
  <c r="W119" i="2"/>
  <c r="X119" i="2"/>
  <c r="Y119" i="2"/>
  <c r="Z119" i="2"/>
  <c r="AA119" i="2"/>
  <c r="AB119" i="2"/>
  <c r="AD119" i="2"/>
  <c r="AE119" i="2"/>
  <c r="AF119" i="2"/>
  <c r="R121" i="2"/>
  <c r="S121" i="2"/>
  <c r="T121" i="2"/>
  <c r="U121" i="2"/>
  <c r="V121" i="2"/>
  <c r="W121" i="2"/>
  <c r="X121" i="2"/>
  <c r="Y121" i="2"/>
  <c r="Z121" i="2"/>
  <c r="AA121" i="2"/>
  <c r="AB121" i="2"/>
  <c r="AD121" i="2"/>
  <c r="AE121" i="2"/>
  <c r="AF121" i="2"/>
  <c r="R132" i="2"/>
  <c r="S132" i="2"/>
  <c r="T132" i="2"/>
  <c r="U132" i="2"/>
  <c r="V132" i="2"/>
  <c r="W132" i="2"/>
  <c r="X132" i="2"/>
  <c r="Y132" i="2"/>
  <c r="Z132" i="2"/>
  <c r="AA132" i="2"/>
  <c r="AB132" i="2"/>
  <c r="R133" i="2"/>
  <c r="S133" i="2"/>
  <c r="T133" i="2"/>
  <c r="U133" i="2"/>
  <c r="V133" i="2"/>
  <c r="W133" i="2"/>
  <c r="X133" i="2"/>
  <c r="Y133" i="2"/>
  <c r="Z133" i="2"/>
  <c r="AA133" i="2"/>
  <c r="AB133" i="2"/>
  <c r="AD133" i="2"/>
  <c r="AE133" i="2"/>
  <c r="AF133" i="2"/>
  <c r="R137" i="2"/>
  <c r="S137" i="2"/>
  <c r="T137" i="2"/>
  <c r="U137" i="2"/>
  <c r="V137" i="2"/>
  <c r="W137" i="2"/>
  <c r="X137" i="2"/>
  <c r="Y137" i="2"/>
  <c r="Z137" i="2"/>
  <c r="AA137" i="2"/>
  <c r="AB137" i="2"/>
  <c r="R142" i="2"/>
  <c r="S142" i="2"/>
  <c r="T142" i="2"/>
  <c r="U142" i="2"/>
  <c r="V142" i="2"/>
  <c r="W142" i="2"/>
  <c r="X142" i="2"/>
  <c r="Y142" i="2"/>
  <c r="Z142" i="2"/>
  <c r="AA142" i="2"/>
  <c r="AB142" i="2"/>
  <c r="R143" i="2"/>
  <c r="S143" i="2"/>
  <c r="T143" i="2"/>
  <c r="U143" i="2"/>
  <c r="V143" i="2"/>
  <c r="W143" i="2"/>
  <c r="X143" i="2"/>
  <c r="Y143" i="2"/>
  <c r="Z143" i="2"/>
  <c r="AA143" i="2"/>
  <c r="AB143" i="2"/>
  <c r="R165" i="2"/>
  <c r="S165" i="2"/>
  <c r="T165" i="2"/>
  <c r="U165" i="2"/>
  <c r="V165" i="2"/>
  <c r="W165" i="2"/>
  <c r="X165" i="2"/>
  <c r="Y165" i="2"/>
  <c r="Z165" i="2"/>
  <c r="AA165" i="2"/>
  <c r="AB165" i="2"/>
  <c r="AD165" i="2"/>
  <c r="AE165" i="2"/>
  <c r="R169" i="2"/>
  <c r="S169" i="2"/>
  <c r="T169" i="2"/>
  <c r="U169" i="2"/>
  <c r="V169" i="2"/>
  <c r="W169" i="2"/>
  <c r="X169" i="2"/>
  <c r="Y169" i="2"/>
  <c r="Z169" i="2"/>
  <c r="AA169" i="2"/>
  <c r="AB169" i="2"/>
  <c r="R187" i="2"/>
  <c r="S187" i="2"/>
  <c r="T187" i="2"/>
  <c r="U187" i="2"/>
  <c r="V187" i="2"/>
  <c r="W187" i="2"/>
  <c r="X187" i="2"/>
  <c r="Y187" i="2"/>
  <c r="Z187" i="2"/>
  <c r="AA187" i="2"/>
  <c r="AB187" i="2"/>
  <c r="R188" i="2"/>
  <c r="S188" i="2"/>
  <c r="T188" i="2"/>
  <c r="U188" i="2"/>
  <c r="V188" i="2"/>
  <c r="W188" i="2"/>
  <c r="X188" i="2"/>
  <c r="Y188" i="2"/>
  <c r="Z188" i="2"/>
  <c r="AA188" i="2"/>
  <c r="AB188" i="2"/>
  <c r="R189" i="2"/>
  <c r="S189" i="2"/>
  <c r="T189" i="2"/>
  <c r="U189" i="2"/>
  <c r="V189" i="2"/>
  <c r="W189" i="2"/>
  <c r="X189" i="2"/>
  <c r="Y189" i="2"/>
  <c r="Z189" i="2"/>
  <c r="AA189" i="2"/>
  <c r="AB189" i="2"/>
  <c r="R225" i="2"/>
  <c r="S225" i="2"/>
  <c r="T225" i="2"/>
  <c r="U225" i="2"/>
  <c r="V225" i="2"/>
  <c r="W225" i="2"/>
  <c r="X225" i="2"/>
  <c r="Y225" i="2"/>
  <c r="Z225" i="2"/>
  <c r="AA225" i="2"/>
  <c r="AB225" i="2"/>
  <c r="R226" i="2"/>
  <c r="S226" i="2"/>
  <c r="T226" i="2"/>
  <c r="U226" i="2"/>
  <c r="V226" i="2"/>
  <c r="W226" i="2"/>
  <c r="X226" i="2"/>
  <c r="Y226" i="2"/>
  <c r="Z226" i="2"/>
  <c r="AA226" i="2"/>
  <c r="AB226" i="2"/>
  <c r="R227" i="2"/>
  <c r="S227" i="2"/>
  <c r="T227" i="2"/>
  <c r="U227" i="2"/>
  <c r="V227" i="2"/>
  <c r="W227" i="2"/>
  <c r="X227" i="2"/>
  <c r="Y227" i="2"/>
  <c r="Z227" i="2"/>
  <c r="AA227" i="2"/>
  <c r="AB227" i="2"/>
  <c r="R228" i="2"/>
  <c r="S228" i="2"/>
  <c r="T228" i="2"/>
  <c r="U228" i="2"/>
  <c r="V228" i="2"/>
  <c r="W228" i="2"/>
  <c r="X228" i="2"/>
  <c r="Y228" i="2"/>
  <c r="Z228" i="2"/>
  <c r="AA228" i="2"/>
  <c r="AB228" i="2"/>
  <c r="R229" i="2"/>
  <c r="S229" i="2"/>
  <c r="T229" i="2"/>
  <c r="U229" i="2"/>
  <c r="V229" i="2"/>
  <c r="W229" i="2"/>
  <c r="X229" i="2"/>
  <c r="Y229" i="2"/>
  <c r="Z229" i="2"/>
  <c r="AA229" i="2"/>
  <c r="AB229" i="2"/>
  <c r="R243" i="2"/>
  <c r="S243" i="2"/>
  <c r="T243" i="2"/>
  <c r="U243" i="2"/>
  <c r="V243" i="2"/>
  <c r="W243" i="2"/>
  <c r="X243" i="2"/>
  <c r="Y243" i="2"/>
  <c r="Z243" i="2"/>
  <c r="AA243" i="2"/>
  <c r="AB243" i="2"/>
  <c r="R248" i="2"/>
  <c r="S248" i="2"/>
  <c r="T248" i="2"/>
  <c r="U248" i="2"/>
  <c r="V248" i="2"/>
  <c r="W248" i="2"/>
  <c r="X248" i="2"/>
  <c r="Y248" i="2"/>
  <c r="Z248" i="2"/>
  <c r="AA248" i="2"/>
  <c r="AB248" i="2"/>
  <c r="AD248" i="2"/>
  <c r="AE248" i="2"/>
  <c r="AF248" i="2"/>
  <c r="R249" i="2"/>
  <c r="S249" i="2"/>
  <c r="T249" i="2"/>
  <c r="U249" i="2"/>
  <c r="V249" i="2"/>
  <c r="W249" i="2"/>
  <c r="X249" i="2"/>
  <c r="Y249" i="2"/>
  <c r="Z249" i="2"/>
  <c r="AA249" i="2"/>
  <c r="AB249" i="2"/>
  <c r="AD249" i="2"/>
  <c r="AE249" i="2"/>
  <c r="AF249" i="2"/>
  <c r="R250" i="2"/>
  <c r="S250" i="2"/>
  <c r="T250" i="2"/>
  <c r="U250" i="2"/>
  <c r="V250" i="2"/>
  <c r="W250" i="2"/>
  <c r="X250" i="2"/>
  <c r="Y250" i="2"/>
  <c r="Z250" i="2"/>
  <c r="AA250" i="2"/>
  <c r="AB250" i="2"/>
  <c r="AD250" i="2"/>
  <c r="AE250" i="2"/>
  <c r="AF250" i="2"/>
  <c r="R252" i="2"/>
  <c r="S252" i="2"/>
  <c r="T252" i="2"/>
  <c r="U252" i="2"/>
  <c r="V252" i="2"/>
  <c r="W252" i="2"/>
  <c r="X252" i="2"/>
  <c r="Y252" i="2"/>
  <c r="Z252" i="2"/>
  <c r="AA252" i="2"/>
  <c r="AB252" i="2"/>
  <c r="R255" i="2"/>
  <c r="S255" i="2"/>
  <c r="T255" i="2"/>
  <c r="U255" i="2"/>
  <c r="V255" i="2"/>
  <c r="W255" i="2"/>
  <c r="X255" i="2"/>
  <c r="Y255" i="2"/>
  <c r="Z255" i="2"/>
  <c r="AA255" i="2"/>
  <c r="AB255" i="2"/>
  <c r="R256" i="2"/>
  <c r="S256" i="2"/>
  <c r="T256" i="2"/>
  <c r="U256" i="2"/>
  <c r="V256" i="2"/>
  <c r="W256" i="2"/>
  <c r="X256" i="2"/>
  <c r="Y256" i="2"/>
  <c r="Z256" i="2"/>
  <c r="AA256" i="2"/>
  <c r="AB256" i="2"/>
  <c r="AD256" i="2"/>
  <c r="AE256" i="2"/>
  <c r="AF256" i="2"/>
  <c r="R257" i="2"/>
  <c r="S257" i="2"/>
  <c r="T257" i="2"/>
  <c r="U257" i="2"/>
  <c r="V257" i="2"/>
  <c r="W257" i="2"/>
  <c r="X257" i="2"/>
  <c r="Y257" i="2"/>
  <c r="Z257" i="2"/>
  <c r="AA257" i="2"/>
  <c r="AB257" i="2"/>
  <c r="R259" i="2"/>
  <c r="S259" i="2"/>
  <c r="T259" i="2"/>
  <c r="U259" i="2"/>
  <c r="V259" i="2"/>
  <c r="W259" i="2"/>
  <c r="X259" i="2"/>
  <c r="Y259" i="2"/>
  <c r="Z259" i="2"/>
  <c r="AA259" i="2"/>
  <c r="AB259" i="2"/>
  <c r="AD259" i="2"/>
  <c r="AE259" i="2"/>
  <c r="AF259" i="2"/>
  <c r="R261" i="2"/>
  <c r="S261" i="2"/>
  <c r="T261" i="2"/>
  <c r="U261" i="2"/>
  <c r="V261" i="2"/>
  <c r="W261" i="2"/>
  <c r="X261" i="2"/>
  <c r="Y261" i="2"/>
  <c r="Z261" i="2"/>
  <c r="AA261" i="2"/>
  <c r="AB261" i="2"/>
  <c r="AD261" i="2"/>
  <c r="AE261" i="2"/>
  <c r="AF261" i="2"/>
  <c r="R262" i="2"/>
  <c r="S262" i="2"/>
  <c r="T262" i="2"/>
  <c r="U262" i="2"/>
  <c r="V262" i="2"/>
  <c r="W262" i="2"/>
  <c r="X262" i="2"/>
  <c r="Y262" i="2"/>
  <c r="Z262" i="2"/>
  <c r="AA262" i="2"/>
  <c r="AB262" i="2"/>
  <c r="AM270" i="2"/>
  <c r="C6" i="3"/>
  <c r="C7" i="3"/>
  <c r="C8" i="3"/>
  <c r="D13" i="3"/>
  <c r="E13" i="3"/>
  <c r="F13" i="3"/>
  <c r="G13" i="3"/>
  <c r="H13" i="3"/>
  <c r="I13" i="3"/>
  <c r="J13" i="3"/>
  <c r="K13" i="3"/>
  <c r="L13" i="3"/>
  <c r="M13" i="3"/>
  <c r="D14" i="3"/>
  <c r="E14" i="3"/>
  <c r="F14" i="3"/>
  <c r="G14" i="3"/>
  <c r="H14" i="3"/>
  <c r="I14" i="3"/>
  <c r="J14" i="3"/>
  <c r="K14" i="3"/>
  <c r="L14" i="3"/>
  <c r="M14" i="3"/>
  <c r="D17" i="3"/>
  <c r="E17" i="3"/>
  <c r="F17" i="3"/>
  <c r="G17" i="3"/>
  <c r="H17" i="3"/>
  <c r="I17" i="3"/>
  <c r="J17" i="3"/>
  <c r="K17" i="3"/>
  <c r="L17" i="3"/>
  <c r="M17" i="3"/>
  <c r="D18" i="3"/>
  <c r="E18" i="3"/>
  <c r="F18" i="3"/>
  <c r="G18" i="3"/>
  <c r="H18" i="3"/>
  <c r="I18" i="3"/>
  <c r="J18" i="3"/>
  <c r="K18" i="3"/>
  <c r="L18" i="3"/>
  <c r="M18" i="3"/>
  <c r="D19" i="3"/>
  <c r="E19" i="3"/>
  <c r="F19" i="3"/>
  <c r="G19" i="3"/>
  <c r="H19" i="3"/>
  <c r="I19" i="3"/>
  <c r="J19" i="3"/>
  <c r="K19" i="3"/>
  <c r="L19" i="3"/>
  <c r="M19" i="3"/>
  <c r="D20" i="3"/>
  <c r="E20" i="3"/>
  <c r="F20" i="3"/>
  <c r="G20" i="3"/>
  <c r="H20" i="3"/>
  <c r="I20" i="3"/>
  <c r="J20" i="3"/>
  <c r="K20" i="3"/>
  <c r="L20" i="3"/>
  <c r="M20" i="3"/>
  <c r="D21" i="3"/>
  <c r="E21" i="3"/>
  <c r="F21" i="3"/>
  <c r="G21" i="3"/>
  <c r="H21" i="3"/>
  <c r="I21" i="3"/>
  <c r="J21" i="3"/>
  <c r="K21" i="3"/>
  <c r="L21" i="3"/>
  <c r="M21" i="3"/>
  <c r="D22" i="3"/>
  <c r="E22" i="3"/>
  <c r="F22" i="3"/>
  <c r="G22" i="3"/>
  <c r="H22" i="3"/>
  <c r="I22" i="3"/>
  <c r="J22" i="3"/>
  <c r="K22" i="3"/>
  <c r="L22" i="3"/>
  <c r="M22" i="3"/>
  <c r="D24" i="3"/>
  <c r="E24" i="3"/>
  <c r="F24" i="3"/>
  <c r="G24" i="3"/>
  <c r="H24" i="3"/>
  <c r="I24" i="3"/>
  <c r="J24" i="3"/>
  <c r="K24" i="3"/>
  <c r="L24" i="3"/>
  <c r="M24" i="3"/>
  <c r="D25" i="3"/>
  <c r="E25" i="3"/>
  <c r="F25" i="3"/>
  <c r="G25" i="3"/>
  <c r="H25" i="3"/>
  <c r="I25" i="3"/>
  <c r="J25" i="3"/>
  <c r="K25" i="3"/>
  <c r="L25" i="3"/>
  <c r="M25" i="3"/>
  <c r="D26" i="3"/>
  <c r="E26" i="3"/>
  <c r="F26" i="3"/>
  <c r="G26" i="3"/>
  <c r="H26" i="3"/>
  <c r="I26" i="3"/>
  <c r="J26" i="3"/>
  <c r="K26" i="3"/>
  <c r="L26" i="3"/>
  <c r="M26" i="3"/>
  <c r="D29" i="3"/>
  <c r="E29" i="3"/>
  <c r="F29" i="3"/>
  <c r="G29" i="3"/>
  <c r="H29" i="3"/>
  <c r="I29" i="3"/>
  <c r="J29" i="3"/>
  <c r="K29" i="3"/>
  <c r="L29" i="3"/>
  <c r="M29" i="3"/>
  <c r="D30" i="3"/>
  <c r="E30" i="3"/>
  <c r="F30" i="3"/>
  <c r="G30" i="3"/>
  <c r="H30" i="3"/>
  <c r="I30" i="3"/>
  <c r="J30" i="3"/>
  <c r="K30" i="3"/>
  <c r="L30" i="3"/>
  <c r="M30" i="3"/>
  <c r="D31" i="3"/>
  <c r="E31" i="3"/>
  <c r="F31" i="3"/>
  <c r="G31" i="3"/>
  <c r="H31" i="3"/>
  <c r="I31" i="3"/>
  <c r="J31" i="3"/>
  <c r="K31" i="3"/>
  <c r="L31" i="3"/>
  <c r="M31" i="3"/>
  <c r="D32" i="3"/>
  <c r="E32" i="3"/>
  <c r="F32" i="3"/>
  <c r="G32" i="3"/>
  <c r="H32" i="3"/>
  <c r="I32" i="3"/>
  <c r="J32" i="3"/>
  <c r="K32" i="3"/>
  <c r="L32" i="3"/>
  <c r="M32" i="3"/>
  <c r="N32" i="3"/>
  <c r="D34" i="3"/>
  <c r="E34" i="3"/>
  <c r="F34" i="3"/>
  <c r="G34" i="3"/>
  <c r="H34" i="3"/>
  <c r="I34" i="3"/>
  <c r="J34" i="3"/>
  <c r="K34" i="3"/>
  <c r="L34" i="3"/>
  <c r="M34" i="3"/>
  <c r="N34" i="3"/>
  <c r="C37" i="3"/>
  <c r="C39" i="3"/>
  <c r="C42" i="3"/>
  <c r="C43" i="3"/>
</calcChain>
</file>

<file path=xl/sharedStrings.xml><?xml version="1.0" encoding="utf-8"?>
<sst xmlns="http://schemas.openxmlformats.org/spreadsheetml/2006/main" count="701" uniqueCount="391">
  <si>
    <t>Segment Data</t>
  </si>
  <si>
    <t>Summary</t>
  </si>
  <si>
    <t>Automotive Finance</t>
  </si>
  <si>
    <t>Insurance</t>
  </si>
  <si>
    <t>Mortagage Finance</t>
  </si>
  <si>
    <t>Corporate Finance</t>
  </si>
  <si>
    <t>Corporate and Other</t>
  </si>
  <si>
    <t>Net Revenue</t>
  </si>
  <si>
    <t>Mortgage Finance</t>
  </si>
  <si>
    <t>Consumer</t>
  </si>
  <si>
    <t>Commercial</t>
  </si>
  <si>
    <t>Operating leases</t>
  </si>
  <si>
    <t>Other</t>
  </si>
  <si>
    <t>Finance revenue &amp; interest income</t>
  </si>
  <si>
    <t>Interest expense</t>
  </si>
  <si>
    <t>Net depreciation on operating leases</t>
  </si>
  <si>
    <t>Net Finance Revenue</t>
  </si>
  <si>
    <t>Insurance prem. &amp; service revenue</t>
  </si>
  <si>
    <t>Gain on mortgage/auto loans, net</t>
  </si>
  <si>
    <t>Other gain on investments</t>
  </si>
  <si>
    <t>Other income (loss)</t>
  </si>
  <si>
    <t>Total Net Revenue</t>
  </si>
  <si>
    <t>Provision for credit losses</t>
  </si>
  <si>
    <t>Compensation and benefits</t>
  </si>
  <si>
    <t>na</t>
  </si>
  <si>
    <t>Insurance losses and adjustments</t>
  </si>
  <si>
    <t>Goodwill impairment</t>
  </si>
  <si>
    <t>EBT</t>
  </si>
  <si>
    <t>Income Statement</t>
  </si>
  <si>
    <t>Cash Flow Statement</t>
  </si>
  <si>
    <t>Balance Sheet</t>
  </si>
  <si>
    <t>Other interest income</t>
  </si>
  <si>
    <t>Interest/divs on investments</t>
  </si>
  <si>
    <t>Total finance revenue &amp; interest income</t>
  </si>
  <si>
    <t>Interest and fees on receivables/loans</t>
  </si>
  <si>
    <t>Interest on loans held-for-sale</t>
  </si>
  <si>
    <t>Interest/Divies on investments</t>
  </si>
  <si>
    <t>Interest on cash</t>
  </si>
  <si>
    <t>Check</t>
  </si>
  <si>
    <t>Total noninterest expense</t>
  </si>
  <si>
    <t>Direct Compensation and benefits</t>
  </si>
  <si>
    <t>Other (including corporate comp/benefits)</t>
  </si>
  <si>
    <t>Loss on debt extinguishment</t>
  </si>
  <si>
    <t>Current Tax</t>
  </si>
  <si>
    <t>Current Tax Rate</t>
  </si>
  <si>
    <t>Deferred Tax</t>
  </si>
  <si>
    <t>Deferred Tax Rate</t>
  </si>
  <si>
    <t>Net Income</t>
  </si>
  <si>
    <t>Discontinued operations</t>
  </si>
  <si>
    <t>DD&amp;A</t>
  </si>
  <si>
    <t>Goodwill Impairment</t>
  </si>
  <si>
    <t>Gain on mortgage/auto loans</t>
  </si>
  <si>
    <t>Other gain on investment</t>
  </si>
  <si>
    <t>Loss (Gain) on extinguishment of debt</t>
  </si>
  <si>
    <t>Originations and purchases of loans for sale</t>
  </si>
  <si>
    <t>Proceeds from sale/repay of loans for sale</t>
  </si>
  <si>
    <t>CFO ex. NWC</t>
  </si>
  <si>
    <t>NWC</t>
  </si>
  <si>
    <t>Cash Flow from Operations</t>
  </si>
  <si>
    <t>Purchase of equity securities</t>
  </si>
  <si>
    <t>Proceeds from sale of equity securities</t>
  </si>
  <si>
    <t>Purchase of available-for-sale securities</t>
  </si>
  <si>
    <t>Proceeds from sale available-for-sale securities</t>
  </si>
  <si>
    <t>Proceeds from repay available-for-sale securities</t>
  </si>
  <si>
    <t>Purchase of held-to-maturity securities</t>
  </si>
  <si>
    <t>Proceeds from repay of held-to-maturity securities</t>
  </si>
  <si>
    <t>Purchase of receivables held-for-investment</t>
  </si>
  <si>
    <t>Proceeds from receivables held-for-investment</t>
  </si>
  <si>
    <t>Originations and repayment of receivables</t>
  </si>
  <si>
    <t>Purchsaes of operating lease assets</t>
  </si>
  <si>
    <t>Disposal of operating lease assets</t>
  </si>
  <si>
    <t>M&amp;A</t>
  </si>
  <si>
    <t>Change in nonmarketable equity investments</t>
  </si>
  <si>
    <t>Cash Flow from Investing</t>
  </si>
  <si>
    <t>Change in short-term borrowings</t>
  </si>
  <si>
    <t>Net increase in deposits</t>
  </si>
  <si>
    <t>Proceeds from issuance of long-term debt</t>
  </si>
  <si>
    <t>Repayment of long-term debt</t>
  </si>
  <si>
    <t>Purchase of land/buildings for finance lease</t>
  </si>
  <si>
    <t>Repurchase of common stock</t>
  </si>
  <si>
    <t>Preferred stock issuance</t>
  </si>
  <si>
    <t>Trust preferred security redemption</t>
  </si>
  <si>
    <t>Common dividends</t>
  </si>
  <si>
    <t>Preferred dividends</t>
  </si>
  <si>
    <t>Cash Flow from Financing</t>
  </si>
  <si>
    <t>Change in Cash</t>
  </si>
  <si>
    <t>Impact of FX</t>
  </si>
  <si>
    <t>Non-interesting bearing cash</t>
  </si>
  <si>
    <t>Interest-bearing cash</t>
  </si>
  <si>
    <t>Total Cash</t>
  </si>
  <si>
    <t>Equity securities</t>
  </si>
  <si>
    <t>Available-for-sale securities</t>
  </si>
  <si>
    <t>Held-to-maturity securities</t>
  </si>
  <si>
    <t>Loans held-for-sale</t>
  </si>
  <si>
    <t>Finance receivables and loans, net of unearned income</t>
  </si>
  <si>
    <t>Allowance for loan losses</t>
  </si>
  <si>
    <t>Investment in operating leases</t>
  </si>
  <si>
    <t>Other assets</t>
  </si>
  <si>
    <t>Total Assets</t>
  </si>
  <si>
    <t>Non-interesting bearing deposits</t>
  </si>
  <si>
    <t>Interest-bearing deposits</t>
  </si>
  <si>
    <t>Total Deposits</t>
  </si>
  <si>
    <t>Short-term borrowings</t>
  </si>
  <si>
    <t>Long-term debt</t>
  </si>
  <si>
    <t>Interest payable</t>
  </si>
  <si>
    <t>Unearned insurance premiums and service revenue</t>
  </si>
  <si>
    <t>Accrued expense and other liabilities</t>
  </si>
  <si>
    <t>Total Liabilities</t>
  </si>
  <si>
    <t>Common stock paid-in capital</t>
  </si>
  <si>
    <t>Preferred stock</t>
  </si>
  <si>
    <t>Accumulated deficit</t>
  </si>
  <si>
    <t>Accumulated other comprehensive (loss) income</t>
  </si>
  <si>
    <t>Treasury stock</t>
  </si>
  <si>
    <t>Total Equity and Liabilities</t>
  </si>
  <si>
    <t>Total Equity</t>
  </si>
  <si>
    <t>CECL phase-in adjustment</t>
  </si>
  <si>
    <t>Goodwill and other intangibles</t>
  </si>
  <si>
    <t>Deferred tax asset</t>
  </si>
  <si>
    <t>Unrealized gains and other adjustments</t>
  </si>
  <si>
    <t>Common Equity Tier 1 capital</t>
  </si>
  <si>
    <t>Trust preferred securities</t>
  </si>
  <si>
    <t>Other adjustments</t>
  </si>
  <si>
    <t>Tier 1 capital</t>
  </si>
  <si>
    <t>Qualifying subordinate debt</t>
  </si>
  <si>
    <t>Qualifying allowance for loan losses and other</t>
  </si>
  <si>
    <t>Total capital</t>
  </si>
  <si>
    <t>RWA Calculation</t>
  </si>
  <si>
    <t>Cash</t>
  </si>
  <si>
    <t>Securities</t>
  </si>
  <si>
    <t>Total Earning Assets</t>
  </si>
  <si>
    <t>Premiums receivable and other insurance assets</t>
  </si>
  <si>
    <t>Risk weights</t>
  </si>
  <si>
    <t>Finance receivables and loans, net (Auto)</t>
  </si>
  <si>
    <t>Finance receivables and loans, net (Mortgage)</t>
  </si>
  <si>
    <t>Finance receivables and loans, net (Other)</t>
  </si>
  <si>
    <t>Auto Assets</t>
  </si>
  <si>
    <t>Mortgage Assets</t>
  </si>
  <si>
    <t>Other Assets</t>
  </si>
  <si>
    <t>Risk weights (reported)</t>
  </si>
  <si>
    <t>Delta</t>
  </si>
  <si>
    <t>Off-balance sheet</t>
  </si>
  <si>
    <t>Risk-weighted assets (RWA; reported for Basel III)</t>
  </si>
  <si>
    <t>Risk-weighted assets (RWA; reported for Basel I)</t>
  </si>
  <si>
    <t>CET1 using Basel III (year-end)</t>
  </si>
  <si>
    <t>RWA - calculated using Basel III rules</t>
  </si>
  <si>
    <t>CET1 Minimum</t>
  </si>
  <si>
    <t>Total CET1 Regulatory Requirement</t>
  </si>
  <si>
    <t>Excess Capital Buffer (%)</t>
  </si>
  <si>
    <t>Excess Capital Buffer ($ mn)</t>
  </si>
  <si>
    <t>Stress Capital Buffer for Ally (not Ally Bank)</t>
  </si>
  <si>
    <t>CET1, RWA, and Capital Ratios</t>
  </si>
  <si>
    <t>Finance receivables and loans, net</t>
  </si>
  <si>
    <t>Consumer automotive</t>
  </si>
  <si>
    <t>Commercial (Wholesale floorplan)</t>
  </si>
  <si>
    <t>Commercial (Other)</t>
  </si>
  <si>
    <t>Operating Lease Investments, net</t>
  </si>
  <si>
    <t>Total Average Balance</t>
  </si>
  <si>
    <t>Yield (Reported)</t>
  </si>
  <si>
    <t>Yield (Calculated)</t>
  </si>
  <si>
    <t>Commercial (Total)</t>
  </si>
  <si>
    <t>Total Dealer Relationshps</t>
  </si>
  <si>
    <t>GM/Stellantis</t>
  </si>
  <si>
    <t>Growth</t>
  </si>
  <si>
    <t>% of Growth that are franchised dealers</t>
  </si>
  <si>
    <t>Consumer Auto Allowance for loan losses (beginning)</t>
  </si>
  <si>
    <t>Charge-offs</t>
  </si>
  <si>
    <t>Recoveries</t>
  </si>
  <si>
    <t>Provision for loan loss</t>
  </si>
  <si>
    <t>Consumer Auto Allowance for loan losses (ending)</t>
  </si>
  <si>
    <t>Delta - for all other businesses</t>
  </si>
  <si>
    <t>Total Allowance for loan losses</t>
  </si>
  <si>
    <t>CECL Impact</t>
  </si>
  <si>
    <t>Ignoring CECL</t>
  </si>
  <si>
    <t>Recovery Rate</t>
  </si>
  <si>
    <t>Gross Charge-off Rate</t>
  </si>
  <si>
    <t>Net Charge-off Rate</t>
  </si>
  <si>
    <t>Net Charge-off (Consumer Auto; Reported)</t>
  </si>
  <si>
    <t>Recovery Rate as % of Charge Offs</t>
  </si>
  <si>
    <t>ALLL (Reported; Consumer Auto)</t>
  </si>
  <si>
    <t>ALLL</t>
  </si>
  <si>
    <t>Provission for loan losses</t>
  </si>
  <si>
    <t>Period End</t>
  </si>
  <si>
    <t>Current</t>
  </si>
  <si>
    <t>30-59 days past due</t>
  </si>
  <si>
    <t>60-89 days past due</t>
  </si>
  <si>
    <t>90 or more days past due</t>
  </si>
  <si>
    <t>Total Consumer Auto Receivables</t>
  </si>
  <si>
    <t>Average</t>
  </si>
  <si>
    <t>Average (reported)</t>
  </si>
  <si>
    <t>Nonperforming Loans in Consumer Auto</t>
  </si>
  <si>
    <t>CECL</t>
  </si>
  <si>
    <t>CET1</t>
  </si>
  <si>
    <t>Consumer Automotive</t>
  </si>
  <si>
    <t>Return on Assets</t>
  </si>
  <si>
    <t>Insurance prems/service rev written</t>
  </si>
  <si>
    <t>Combined ratio (reported)</t>
  </si>
  <si>
    <t>Combined ratio (calculated)</t>
  </si>
  <si>
    <t>Net Underwriting Profit</t>
  </si>
  <si>
    <t>Profit from Float</t>
  </si>
  <si>
    <t>Equities</t>
  </si>
  <si>
    <t>Debt</t>
  </si>
  <si>
    <t>Total Cash &amp; Investments</t>
  </si>
  <si>
    <t>Intercompany Loan</t>
  </si>
  <si>
    <t>Return on Float</t>
  </si>
  <si>
    <t>% Equities</t>
  </si>
  <si>
    <t>WAC</t>
  </si>
  <si>
    <t>Avg refreshed FICO</t>
  </si>
  <si>
    <t>Fixed-rate</t>
  </si>
  <si>
    <t>Adjustable-rate</t>
  </si>
  <si>
    <t>Avg refreshed LTV</t>
  </si>
  <si>
    <t>DTC Originations</t>
  </si>
  <si>
    <t>DTC Mortgage Loans Originated (Held for Investment)</t>
  </si>
  <si>
    <t>DTC Mortgage Loans Originated (Held for Sale)</t>
  </si>
  <si>
    <t>Total DTC Originations</t>
  </si>
  <si>
    <t>UPB (Purchased/Originated Held for Investment)</t>
  </si>
  <si>
    <t>Bulk Loan Purchases (Held for Investment)</t>
  </si>
  <si>
    <t>Unpaid Principal Balance Outstanding (Held for Investment)</t>
  </si>
  <si>
    <t>UPB Opening Balance</t>
  </si>
  <si>
    <t>Purchases</t>
  </si>
  <si>
    <t>Ending Balance</t>
  </si>
  <si>
    <t>Amortization/Prepayment/Sale</t>
  </si>
  <si>
    <t>Double Check</t>
  </si>
  <si>
    <t>Implied NIM</t>
  </si>
  <si>
    <t>Estimated ROE</t>
  </si>
  <si>
    <t>Finance Receivables and Loans</t>
  </si>
  <si>
    <t>Finance Receivables</t>
  </si>
  <si>
    <t>Equity Financed</t>
  </si>
  <si>
    <t>Debt/Deposit Financed</t>
  </si>
  <si>
    <t>Debt/Deposit Cost</t>
  </si>
  <si>
    <t>Finance Receivables Loan Interest</t>
  </si>
  <si>
    <t>Net Interest Margin</t>
  </si>
  <si>
    <t>Gross Charge Offs</t>
  </si>
  <si>
    <t>%</t>
  </si>
  <si>
    <t>$</t>
  </si>
  <si>
    <t>Taxes</t>
  </si>
  <si>
    <t>Return on Equity</t>
  </si>
  <si>
    <t>NIM -1%</t>
  </si>
  <si>
    <t>Steady State</t>
  </si>
  <si>
    <t>NCO 2x</t>
  </si>
  <si>
    <t>Overhead (vs. NIM)</t>
  </si>
  <si>
    <t>NCO 2x and NIM -1%</t>
  </si>
  <si>
    <t>* Assumes that NCO = Provision for Loan Losses</t>
  </si>
  <si>
    <t>Net Charge Offs*</t>
  </si>
  <si>
    <t>Total Interest-Bearing Assets</t>
  </si>
  <si>
    <t>Operating lease investments, net</t>
  </si>
  <si>
    <t>Total Finance Receivables, gross</t>
  </si>
  <si>
    <t>Interest-bearing assets</t>
  </si>
  <si>
    <t>Deposits</t>
  </si>
  <si>
    <t>Prefs</t>
  </si>
  <si>
    <t>Total Liabilities &amp; Equity</t>
  </si>
  <si>
    <t>Common Equity</t>
  </si>
  <si>
    <t>Total interest-bearing liabilities interest expense</t>
  </si>
  <si>
    <t>Deposit Cost</t>
  </si>
  <si>
    <t>Debt Cost</t>
  </si>
  <si>
    <t>Investment securities</t>
  </si>
  <si>
    <t>Total interest-bearing assets interest revenue</t>
  </si>
  <si>
    <t>Finance Revenue</t>
  </si>
  <si>
    <t>Interest Expense</t>
  </si>
  <si>
    <t>Automotive Finance Total</t>
  </si>
  <si>
    <t>Operating Leases</t>
  </si>
  <si>
    <t>CET1 Capital</t>
  </si>
  <si>
    <t>Non-interest-bearing cash</t>
  </si>
  <si>
    <t>Risk Weights (Estimate)</t>
  </si>
  <si>
    <t>Risk-weighted assets (RWA; Estimate)</t>
  </si>
  <si>
    <t>CET1 Ratio</t>
  </si>
  <si>
    <t>Loan/Deposit Growth</t>
  </si>
  <si>
    <t>Other Revenue</t>
  </si>
  <si>
    <t>Total Revenue</t>
  </si>
  <si>
    <t>Tax Rate</t>
  </si>
  <si>
    <t>Discontinued Operations</t>
  </si>
  <si>
    <t>Net Income from continuing operations</t>
  </si>
  <si>
    <t>(-) Common Dividends</t>
  </si>
  <si>
    <t>(-) Preferred Dividends</t>
  </si>
  <si>
    <t>(-) Buybacks</t>
  </si>
  <si>
    <t>(+) SBC</t>
  </si>
  <si>
    <t>Other comprehensive income (loss)</t>
  </si>
  <si>
    <t>Change in Book Value of Equity</t>
  </si>
  <si>
    <t>Dividend/Share</t>
  </si>
  <si>
    <t>Shares Outstanding (basic)</t>
  </si>
  <si>
    <t>Shares Outstanding (f.d.)</t>
  </si>
  <si>
    <t>DPS Growth</t>
  </si>
  <si>
    <t>NCOs and Provisions</t>
  </si>
  <si>
    <t>Compensation, Benefits, and Other as % of Rev (Overhead)</t>
  </si>
  <si>
    <t>Total Assets for RWA Calculation</t>
  </si>
  <si>
    <t>Book Value of Common Equity (ending)</t>
  </si>
  <si>
    <t>Key Drivers</t>
  </si>
  <si>
    <t>Net Interest Margins</t>
  </si>
  <si>
    <t>Return on Equity (Book Value of Equity)</t>
  </si>
  <si>
    <t>ALLL Opening Balance</t>
  </si>
  <si>
    <t>ALLL Ending Balance</t>
  </si>
  <si>
    <t>Provision for loan losses</t>
  </si>
  <si>
    <t>Net Charge offs</t>
  </si>
  <si>
    <t>Total provision for loan losses</t>
  </si>
  <si>
    <t>Total NCO</t>
  </si>
  <si>
    <t>ALLL - Everything Else</t>
  </si>
  <si>
    <t>Total NCO Rate</t>
  </si>
  <si>
    <t>Consumer Automotive NCO Rate</t>
  </si>
  <si>
    <t>ALLL % of Receivables - Everything Else</t>
  </si>
  <si>
    <t>ALLL % of Receivables - Consumer Automotive</t>
  </si>
  <si>
    <t>ALLL - Consumer Automotive</t>
  </si>
  <si>
    <t>Everything Else NCO Rate</t>
  </si>
  <si>
    <t>Other (Personal Lending, Credit Card, Commercial etc.)</t>
  </si>
  <si>
    <t>ALLL % of Receivables - Consumer Automotive ex CECL</t>
  </si>
  <si>
    <t>ALLL % of Receivables - Consumer Automotive CECL portion</t>
  </si>
  <si>
    <t>Average Share Price</t>
  </si>
  <si>
    <t>EPS</t>
  </si>
  <si>
    <t>Shares Repurchased/Issued</t>
  </si>
  <si>
    <t>Deposit Mix</t>
  </si>
  <si>
    <t>Total ALLY NCO Rate Implied</t>
  </si>
  <si>
    <t>Consumer Automotive NCOs were 1.30% in 2019 and 1.03% in 3Q22</t>
  </si>
  <si>
    <t>Total ALLY NCOs were 0.76% in 2019 and 0.83% in 3Q22</t>
  </si>
  <si>
    <t>Net Interest Margins were 3.83% in 3Q22 and averaged roughly 3.0% in the T5Y pre-COVID based on ALLY's current deposit mix</t>
  </si>
  <si>
    <t>= Below the regulatory floor</t>
  </si>
  <si>
    <t>= CET1 Ratio if ALLY generates $0; below this they generate negative net income, and above this they generate positive net income</t>
  </si>
  <si>
    <t>CET1 Ratio Sensitivity by Jan 1, 2025 based on average NIM/NCO rates for FY23 and FY24</t>
  </si>
  <si>
    <t>ALLY Market Share</t>
  </si>
  <si>
    <t>y/y growth</t>
  </si>
  <si>
    <t>Cost of Equity</t>
  </si>
  <si>
    <t>Terminal ROE</t>
  </si>
  <si>
    <t>Terminal P/B</t>
  </si>
  <si>
    <t>Revenue</t>
  </si>
  <si>
    <t>Terminal</t>
  </si>
  <si>
    <t>Shares Outstanding</t>
  </si>
  <si>
    <t>Value per Share</t>
  </si>
  <si>
    <t>Net distributions to shareholders</t>
  </si>
  <si>
    <t>Current Price</t>
  </si>
  <si>
    <t>Delta to Current Price</t>
  </si>
  <si>
    <t>IRR</t>
  </si>
  <si>
    <t>NIM</t>
  </si>
  <si>
    <t>NCOs</t>
  </si>
  <si>
    <t>BVPS (ex. OCI)</t>
  </si>
  <si>
    <t>2015-22</t>
  </si>
  <si>
    <t>2022-32</t>
  </si>
  <si>
    <t>Total finance receivables, loans, and securities</t>
  </si>
  <si>
    <t>2019-32</t>
  </si>
  <si>
    <t>Other Revenue/Expenses</t>
  </si>
  <si>
    <t>Total Other Revenue</t>
  </si>
  <si>
    <t>Gain on mortgage/auto loans, net as % of UPB</t>
  </si>
  <si>
    <t>Insurance Float</t>
  </si>
  <si>
    <t>Insurance Premiums as % of Float</t>
  </si>
  <si>
    <t>Insurance Losses as % of Float</t>
  </si>
  <si>
    <t>Other income (loss) as % of Net Revenue</t>
  </si>
  <si>
    <t>Net as % of Float</t>
  </si>
  <si>
    <t>Float as % of Consumer Auto Finance Receivables</t>
  </si>
  <si>
    <t>Other gain on investments ex Insurance Float</t>
  </si>
  <si>
    <t>Float Return (ex interest/divs; %)</t>
  </si>
  <si>
    <t>Float Return (ex interest/divs; $)</t>
  </si>
  <si>
    <t>Return on Securities</t>
  </si>
  <si>
    <t>Total Other Revenue as % of Net Revenue</t>
  </si>
  <si>
    <t>Implied P/E</t>
  </si>
  <si>
    <t>Discount Factor</t>
  </si>
  <si>
    <t>PV of net distributions to shareholders</t>
  </si>
  <si>
    <t>Date</t>
  </si>
  <si>
    <t>Tangible Common Equity</t>
  </si>
  <si>
    <t>Average GAAP Equity</t>
  </si>
  <si>
    <t>Average Prefs</t>
  </si>
  <si>
    <t>Goodwill and Intangibles, net of DTL</t>
  </si>
  <si>
    <t>Average Tangible Common Equity (Reported)</t>
  </si>
  <si>
    <t>Average GAAP Common Equity</t>
  </si>
  <si>
    <t>Average CET1</t>
  </si>
  <si>
    <t>Allowance vs. Average Consumer Auto Assets</t>
  </si>
  <si>
    <t>US 10Y</t>
  </si>
  <si>
    <t>Interest Income on Interest-Bearing Assets</t>
  </si>
  <si>
    <t>Spread</t>
  </si>
  <si>
    <t>Fed Funds Rate</t>
  </si>
  <si>
    <t>Interest Expense on Deposits</t>
  </si>
  <si>
    <t>Interest Expense on Debt</t>
  </si>
  <si>
    <t>Net Interest Margin Calculation</t>
  </si>
  <si>
    <t>Net Interest Margin Using 2021 Deposit Mix</t>
  </si>
  <si>
    <t>Year-End Deposit Mix (as % of Interest-bearing liabilities)</t>
  </si>
  <si>
    <t>Nonperforming Loans as % of Receivables</t>
  </si>
  <si>
    <t>Deposit growth</t>
  </si>
  <si>
    <t>Total Receivables and Leases growth</t>
  </si>
  <si>
    <t>Net Interest Margin (Calculation Below)</t>
  </si>
  <si>
    <t>Net Interest Margin (Override)</t>
  </si>
  <si>
    <t>ROE (CET1)</t>
  </si>
  <si>
    <t>Tangible Equity</t>
  </si>
  <si>
    <t>GAAP Equity</t>
  </si>
  <si>
    <t>ROE (Tangible Equity)</t>
  </si>
  <si>
    <t>ROE (GAAP Equity)</t>
  </si>
  <si>
    <t>Current period adjustment</t>
  </si>
  <si>
    <t>Half-year adjustemnt</t>
  </si>
  <si>
    <t>Period</t>
  </si>
  <si>
    <t>Year</t>
  </si>
  <si>
    <t>Summary Stats</t>
  </si>
  <si>
    <t>PV of Distributions + Terminal</t>
  </si>
  <si>
    <t>= Regulatory floor under old SCB requirement</t>
  </si>
  <si>
    <r>
      <t xml:space="preserve">*** </t>
    </r>
    <r>
      <rPr>
        <b/>
        <sz val="11"/>
        <color theme="1"/>
        <rFont val="Calibri"/>
        <family val="2"/>
        <scheme val="minor"/>
      </rPr>
      <t>Assumes zero buybacks, but continued dividend payments</t>
    </r>
  </si>
  <si>
    <t>Industry Auto Loan Balances (avg; $bn)</t>
  </si>
  <si>
    <t>ALLY Consumer Automotive Loan Balances (avg; $mn)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</si>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</sst>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%"/>
    <numFmt numFmtId="165" formatCode="0&quot;E&quot;"/>
    <numFmt numFmtId="166" formatCode="&quot;$&quot;#,##0.00"/>
    <numFmt numFmtId="167" formatCode="#,##0.0"/>
    <numFmt numFmtId="168" formatCode=";;;"/>
    <numFmt numFmtId="169" formatCode="0.00\x"/>
    <numFmt numFmtId="170" formatCode="0.0\x"/>
  </numFmts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sz val="11"/>
      <color theme="4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2" borderId="0" xfId="0" applyFont="1" applyFill="1"/>
    <xf numFmtId="0" fontId="0" fillId="0" borderId="0" xfId="0" applyAlignment="1">
      <alignment horizontal="left" indent="1"/>
    </xf>
    <xf numFmtId="0" fontId="2" fillId="0" borderId="1" xfId="0" applyFont="1" applyBorder="1"/>
    <xf numFmtId="3" fontId="2" fillId="0" borderId="1" xfId="0" applyNumberFormat="1" applyFont="1" applyBorder="1"/>
    <xf numFmtId="3" fontId="3" fillId="0" borderId="0" xfId="0" applyNumberFormat="1" applyFont="1"/>
    <xf numFmtId="3" fontId="0" fillId="0" borderId="0" xfId="0" applyNumberFormat="1"/>
    <xf numFmtId="3" fontId="4" fillId="0" borderId="0" xfId="0" applyNumberFormat="1" applyFont="1"/>
    <xf numFmtId="3" fontId="3" fillId="0" borderId="0" xfId="0" applyNumberFormat="1" applyFont="1" applyAlignment="1">
      <alignment horizontal="right"/>
    </xf>
    <xf numFmtId="3" fontId="5" fillId="0" borderId="1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10" fontId="0" fillId="0" borderId="0" xfId="0" applyNumberFormat="1"/>
    <xf numFmtId="0" fontId="0" fillId="0" borderId="0" xfId="0" applyAlignment="1">
      <alignment horizontal="left"/>
    </xf>
    <xf numFmtId="0" fontId="6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9" fontId="2" fillId="0" borderId="1" xfId="0" applyNumberFormat="1" applyFont="1" applyBorder="1"/>
    <xf numFmtId="9" fontId="3" fillId="0" borderId="0" xfId="0" applyNumberFormat="1" applyFont="1"/>
    <xf numFmtId="0" fontId="2" fillId="0" borderId="0" xfId="0" applyFont="1"/>
    <xf numFmtId="3" fontId="2" fillId="0" borderId="0" xfId="0" applyNumberFormat="1" applyFont="1"/>
    <xf numFmtId="9" fontId="2" fillId="0" borderId="0" xfId="0" applyNumberFormat="1" applyFont="1"/>
    <xf numFmtId="4" fontId="0" fillId="0" borderId="0" xfId="0" applyNumberFormat="1"/>
    <xf numFmtId="164" fontId="2" fillId="0" borderId="0" xfId="0" applyNumberFormat="1" applyFont="1"/>
    <xf numFmtId="10" fontId="8" fillId="0" borderId="0" xfId="0" applyNumberFormat="1" applyFont="1"/>
    <xf numFmtId="10" fontId="9" fillId="0" borderId="0" xfId="0" applyNumberFormat="1" applyFont="1"/>
    <xf numFmtId="10" fontId="2" fillId="0" borderId="0" xfId="0" applyNumberFormat="1" applyFont="1"/>
    <xf numFmtId="164" fontId="3" fillId="0" borderId="0" xfId="0" applyNumberFormat="1" applyFont="1"/>
    <xf numFmtId="164" fontId="0" fillId="0" borderId="0" xfId="0" applyNumberFormat="1"/>
    <xf numFmtId="164" fontId="2" fillId="0" borderId="1" xfId="0" applyNumberFormat="1" applyFont="1" applyBorder="1"/>
    <xf numFmtId="3" fontId="8" fillId="0" borderId="0" xfId="0" applyNumberFormat="1" applyFont="1" applyAlignment="1">
      <alignment horizontal="right"/>
    </xf>
    <xf numFmtId="10" fontId="3" fillId="0" borderId="0" xfId="0" applyNumberFormat="1" applyFont="1" applyAlignment="1">
      <alignment horizontal="right"/>
    </xf>
    <xf numFmtId="10" fontId="3" fillId="0" borderId="0" xfId="0" applyNumberFormat="1" applyFont="1"/>
    <xf numFmtId="10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10" fontId="4" fillId="0" borderId="0" xfId="0" applyNumberFormat="1" applyFont="1"/>
    <xf numFmtId="3" fontId="8" fillId="0" borderId="0" xfId="0" applyNumberFormat="1" applyFont="1"/>
    <xf numFmtId="0" fontId="2" fillId="0" borderId="0" xfId="0" applyFont="1" applyAlignment="1">
      <alignment horizontal="left"/>
    </xf>
    <xf numFmtId="164" fontId="5" fillId="0" borderId="0" xfId="0" applyNumberFormat="1" applyFont="1"/>
    <xf numFmtId="3" fontId="9" fillId="0" borderId="1" xfId="0" applyNumberFormat="1" applyFont="1" applyBorder="1"/>
    <xf numFmtId="10" fontId="5" fillId="0" borderId="0" xfId="0" applyNumberFormat="1" applyFont="1"/>
    <xf numFmtId="164" fontId="4" fillId="0" borderId="0" xfId="0" applyNumberFormat="1" applyFont="1"/>
    <xf numFmtId="0" fontId="2" fillId="0" borderId="1" xfId="0" applyFont="1" applyBorder="1" applyAlignment="1">
      <alignment horizontal="left" indent="1"/>
    </xf>
    <xf numFmtId="0" fontId="3" fillId="0" borderId="0" xfId="0" applyFont="1"/>
    <xf numFmtId="9" fontId="0" fillId="0" borderId="0" xfId="0" applyNumberFormat="1"/>
    <xf numFmtId="10" fontId="2" fillId="2" borderId="0" xfId="0" applyNumberFormat="1" applyFont="1" applyFill="1"/>
    <xf numFmtId="164" fontId="10" fillId="0" borderId="1" xfId="0" applyNumberFormat="1" applyFont="1" applyBorder="1"/>
    <xf numFmtId="0" fontId="2" fillId="0" borderId="0" xfId="0" applyFont="1" applyAlignment="1">
      <alignment horizontal="right"/>
    </xf>
    <xf numFmtId="3" fontId="5" fillId="0" borderId="0" xfId="0" applyNumberFormat="1" applyFont="1"/>
    <xf numFmtId="0" fontId="2" fillId="0" borderId="2" xfId="0" applyFont="1" applyBorder="1" applyAlignment="1">
      <alignment horizontal="centerContinuous"/>
    </xf>
    <xf numFmtId="10" fontId="10" fillId="0" borderId="1" xfId="0" applyNumberFormat="1" applyFont="1" applyBorder="1"/>
    <xf numFmtId="0" fontId="0" fillId="0" borderId="0" xfId="0" applyAlignment="1">
      <alignment horizontal="center"/>
    </xf>
    <xf numFmtId="0" fontId="11" fillId="3" borderId="0" xfId="0" applyFont="1" applyFill="1"/>
    <xf numFmtId="0" fontId="1" fillId="3" borderId="0" xfId="0" applyFont="1" applyFill="1"/>
    <xf numFmtId="0" fontId="2" fillId="4" borderId="0" xfId="0" applyFont="1" applyFill="1"/>
    <xf numFmtId="3" fontId="9" fillId="0" borderId="0" xfId="0" applyNumberFormat="1" applyFont="1"/>
    <xf numFmtId="10" fontId="9" fillId="0" borderId="1" xfId="0" applyNumberFormat="1" applyFont="1" applyBorder="1"/>
    <xf numFmtId="10" fontId="2" fillId="0" borderId="1" xfId="0" applyNumberFormat="1" applyFont="1" applyBorder="1"/>
    <xf numFmtId="3" fontId="12" fillId="0" borderId="0" xfId="0" applyNumberFormat="1" applyFont="1"/>
    <xf numFmtId="3" fontId="13" fillId="0" borderId="0" xfId="0" applyNumberFormat="1" applyFont="1"/>
    <xf numFmtId="3" fontId="10" fillId="0" borderId="1" xfId="0" applyNumberFormat="1" applyFont="1" applyBorder="1"/>
    <xf numFmtId="3" fontId="2" fillId="4" borderId="0" xfId="0" applyNumberFormat="1" applyFont="1" applyFill="1"/>
    <xf numFmtId="0" fontId="2" fillId="0" borderId="0" xfId="0" applyFont="1" applyAlignment="1">
      <alignment horizontal="left" indent="1"/>
    </xf>
    <xf numFmtId="3" fontId="0" fillId="0" borderId="0" xfId="0" applyNumberFormat="1" applyAlignment="1">
      <alignment horizontal="right"/>
    </xf>
    <xf numFmtId="4" fontId="3" fillId="0" borderId="0" xfId="0" applyNumberFormat="1" applyFont="1"/>
    <xf numFmtId="10" fontId="4" fillId="0" borderId="0" xfId="0" applyNumberFormat="1" applyFont="1" applyAlignment="1">
      <alignment horizontal="right"/>
    </xf>
    <xf numFmtId="2" fontId="0" fillId="0" borderId="0" xfId="0" applyNumberFormat="1"/>
    <xf numFmtId="166" fontId="3" fillId="0" borderId="0" xfId="0" applyNumberFormat="1" applyFont="1"/>
    <xf numFmtId="167" fontId="0" fillId="0" borderId="0" xfId="0" applyNumberFormat="1"/>
    <xf numFmtId="168" fontId="11" fillId="3" borderId="0" xfId="0" applyNumberFormat="1" applyFont="1" applyFill="1"/>
    <xf numFmtId="10" fontId="11" fillId="3" borderId="0" xfId="0" applyNumberFormat="1" applyFont="1" applyFill="1"/>
    <xf numFmtId="10" fontId="1" fillId="3" borderId="0" xfId="0" applyNumberFormat="1" applyFont="1" applyFill="1"/>
    <xf numFmtId="0" fontId="0" fillId="0" borderId="0" xfId="0" quotePrefix="1"/>
    <xf numFmtId="168" fontId="0" fillId="0" borderId="0" xfId="0" applyNumberFormat="1"/>
    <xf numFmtId="164" fontId="8" fillId="0" borderId="0" xfId="0" applyNumberFormat="1" applyFont="1"/>
    <xf numFmtId="3" fontId="14" fillId="0" borderId="0" xfId="0" applyNumberFormat="1" applyFont="1"/>
    <xf numFmtId="10" fontId="6" fillId="0" borderId="0" xfId="0" applyNumberFormat="1" applyFont="1"/>
    <xf numFmtId="10" fontId="14" fillId="0" borderId="0" xfId="0" applyNumberFormat="1" applyFont="1"/>
    <xf numFmtId="169" fontId="0" fillId="0" borderId="0" xfId="0" applyNumberFormat="1"/>
    <xf numFmtId="0" fontId="1" fillId="3" borderId="0" xfId="0" applyFont="1" applyFill="1" applyAlignment="1">
      <alignment horizontal="right"/>
    </xf>
    <xf numFmtId="166" fontId="0" fillId="0" borderId="0" xfId="0" applyNumberFormat="1"/>
    <xf numFmtId="166" fontId="8" fillId="0" borderId="0" xfId="0" applyNumberFormat="1" applyFont="1"/>
    <xf numFmtId="166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65" fontId="1" fillId="3" borderId="0" xfId="0" applyNumberFormat="1" applyFont="1" applyFill="1"/>
    <xf numFmtId="165" fontId="1" fillId="3" borderId="0" xfId="0" quotePrefix="1" applyNumberFormat="1" applyFont="1" applyFill="1" applyAlignment="1">
      <alignment horizontal="right"/>
    </xf>
    <xf numFmtId="166" fontId="5" fillId="0" borderId="0" xfId="0" applyNumberFormat="1" applyFont="1"/>
    <xf numFmtId="3" fontId="6" fillId="0" borderId="0" xfId="0" applyNumberFormat="1" applyFont="1" applyAlignment="1">
      <alignment horizontal="right"/>
    </xf>
    <xf numFmtId="170" fontId="0" fillId="0" borderId="0" xfId="0" applyNumberFormat="1"/>
    <xf numFmtId="14" fontId="3" fillId="0" borderId="0" xfId="0" applyNumberFormat="1" applyFont="1"/>
    <xf numFmtId="0" fontId="15" fillId="0" borderId="0" xfId="0" applyFont="1"/>
    <xf numFmtId="166" fontId="2" fillId="0" borderId="0" xfId="0" applyNumberFormat="1" applyFont="1"/>
    <xf numFmtId="10" fontId="5" fillId="2" borderId="3" xfId="0" applyNumberFormat="1" applyFont="1" applyFill="1" applyBorder="1"/>
    <xf numFmtId="10" fontId="5" fillId="2" borderId="4" xfId="0" applyNumberFormat="1" applyFont="1" applyFill="1" applyBorder="1"/>
    <xf numFmtId="10" fontId="5" fillId="2" borderId="5" xfId="0" applyNumberFormat="1" applyFont="1" applyFill="1" applyBorder="1"/>
    <xf numFmtId="10" fontId="10" fillId="0" borderId="0" xfId="0" applyNumberFormat="1" applyFont="1"/>
    <xf numFmtId="0" fontId="15" fillId="2" borderId="0" xfId="0" applyFont="1" applyFill="1"/>
    <xf numFmtId="3" fontId="9" fillId="2" borderId="0" xfId="0" applyNumberFormat="1" applyFont="1" applyFill="1"/>
    <xf numFmtId="3" fontId="2" fillId="2" borderId="0" xfId="0" applyNumberFormat="1" applyFont="1" applyFill="1"/>
    <xf numFmtId="3" fontId="0" fillId="2" borderId="0" xfId="0" applyNumberFormat="1" applyFill="1"/>
    <xf numFmtId="0" fontId="0" fillId="2" borderId="0" xfId="0" applyFill="1"/>
    <xf numFmtId="10" fontId="6" fillId="0" borderId="0" xfId="0" applyNumberFormat="1" applyFont="1" applyAlignment="1">
      <alignment horizontal="right"/>
    </xf>
    <xf numFmtId="2" fontId="4" fillId="0" borderId="0" xfId="0" applyNumberFormat="1" applyFont="1"/>
    <xf numFmtId="2" fontId="3" fillId="0" borderId="0" xfId="0" applyNumberFormat="1" applyFont="1"/>
    <xf numFmtId="0" fontId="0" fillId="4" borderId="0" xfId="0" applyFill="1"/>
    <xf numFmtId="3" fontId="0" fillId="4" borderId="0" xfId="0" applyNumberFormat="1" applyFill="1"/>
    <xf numFmtId="13" fontId="0" fillId="0" borderId="0" xfId="0" applyNumberFormat="1"/>
    <xf numFmtId="0" fontId="0" fillId="5" borderId="0" xfId="0" applyFill="1"/>
    <xf numFmtId="10" fontId="2" fillId="4" borderId="0" xfId="0" applyNumberFormat="1" applyFont="1" applyFill="1"/>
    <xf numFmtId="0" fontId="1" fillId="3" borderId="0" xfId="0" applyFont="1" applyFill="1" applyAlignment="1">
      <alignment textRotation="90"/>
    </xf>
    <xf numFmtId="3" fontId="2" fillId="0" borderId="0" xfId="0" applyNumberFormat="1" applyFont="1" applyFill="1"/>
    <xf numFmtId="10" fontId="2" fillId="0" borderId="0" xfId="0" applyNumberFormat="1" applyFont="1" applyFill="1"/>
    <xf numFmtId="10" fontId="5" fillId="0" borderId="0" xfId="0" applyNumberFormat="1" applyFont="1" applyFill="1"/>
    <xf numFmtId="164" fontId="0" fillId="0" borderId="0" xfId="0" applyNumberFormat="1" applyFill="1"/>
    <xf numFmtId="10" fontId="0" fillId="0" borderId="0" xfId="0" applyNumberFormat="1" applyFill="1"/>
    <xf numFmtId="3" fontId="3" fillId="0" borderId="0" xfId="0" applyNumberFormat="1" applyFont="1" applyFill="1" applyAlignment="1">
      <alignment horizontal="right"/>
    </xf>
    <xf numFmtId="3" fontId="3" fillId="0" borderId="0" xfId="0" applyNumberFormat="1" applyFont="1" applyFill="1"/>
  </cellXfs>
  <cellStyles count="1">
    <cellStyle name="Normal" xfId="0" builtinId="0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D9D9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D9D9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D9D9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2373B-7E84-4D09-BB92-1177BAC16428}">
  <sheetPr>
    <tabColor theme="9" tint="-0.499984740745262"/>
  </sheetPr>
  <dimension ref="B2:O49"/>
  <sheetViews>
    <sheetView showGridLines="0" tabSelected="1" zoomScale="85" zoomScaleNormal="85" workbookViewId="0">
      <selection activeCell="P10" sqref="P10"/>
    </sheetView>
  </sheetViews>
  <sheetFormatPr defaultRowHeight="14.5" x14ac:dyDescent="0.35"/>
  <cols>
    <col min="2" max="2" width="31.1796875" bestFit="1" customWidth="1"/>
    <col min="3" max="3" width="10.54296875" bestFit="1" customWidth="1"/>
    <col min="14" max="14" width="10.81640625" customWidth="1"/>
  </cols>
  <sheetData>
    <row r="2" spans="2:14" x14ac:dyDescent="0.35">
      <c r="B2" t="s">
        <v>352</v>
      </c>
      <c r="C2" s="88">
        <f ca="1">TODAY()</f>
        <v>44904</v>
      </c>
    </row>
    <row r="3" spans="2:14" x14ac:dyDescent="0.35">
      <c r="B3" t="s">
        <v>380</v>
      </c>
      <c r="C3" s="101">
        <f ca="1">IF($D$11&lt;YEAR(C2),YEAR($C$2)-D11+(DAY(C2)+MONTH(C2)*30-30)/365,(DAY(C2)+MONTH(C2)*30-30)/365-D11+YEAR(C2))</f>
        <v>-7.1232876712429061E-2</v>
      </c>
      <c r="D3" s="101"/>
    </row>
    <row r="4" spans="2:14" x14ac:dyDescent="0.35">
      <c r="B4" t="s">
        <v>381</v>
      </c>
      <c r="C4" s="102">
        <v>0.5</v>
      </c>
    </row>
    <row r="5" spans="2:14" x14ac:dyDescent="0.35">
      <c r="B5" t="s">
        <v>317</v>
      </c>
      <c r="C5" s="26">
        <v>0.09</v>
      </c>
      <c r="D5" s="27"/>
    </row>
    <row r="6" spans="2:14" x14ac:dyDescent="0.35">
      <c r="B6" t="s">
        <v>318</v>
      </c>
      <c r="C6" s="73">
        <f ca="1">MIN(M20:M22)</f>
        <v>0.12660640979188972</v>
      </c>
    </row>
    <row r="7" spans="2:14" x14ac:dyDescent="0.35">
      <c r="B7" t="s">
        <v>319</v>
      </c>
      <c r="C7" s="77">
        <f ca="1">+C6/C5</f>
        <v>1.4067378865765525</v>
      </c>
    </row>
    <row r="8" spans="2:14" x14ac:dyDescent="0.35">
      <c r="B8" t="s">
        <v>349</v>
      </c>
      <c r="C8" s="87">
        <f ca="1">+N32/M31</f>
        <v>10.788959010064699</v>
      </c>
    </row>
    <row r="10" spans="2:14" x14ac:dyDescent="0.35">
      <c r="B10" s="52" t="s">
        <v>382</v>
      </c>
      <c r="C10" s="51"/>
      <c r="D10" s="52">
        <v>1</v>
      </c>
      <c r="E10" s="52">
        <f>+D10+1</f>
        <v>2</v>
      </c>
      <c r="F10" s="52">
        <f t="shared" ref="F10:N10" si="0">+E10+1</f>
        <v>3</v>
      </c>
      <c r="G10" s="52">
        <f t="shared" si="0"/>
        <v>4</v>
      </c>
      <c r="H10" s="52">
        <f t="shared" si="0"/>
        <v>5</v>
      </c>
      <c r="I10" s="52">
        <f t="shared" si="0"/>
        <v>6</v>
      </c>
      <c r="J10" s="52">
        <f t="shared" si="0"/>
        <v>7</v>
      </c>
      <c r="K10" s="52">
        <f t="shared" si="0"/>
        <v>8</v>
      </c>
      <c r="L10" s="52">
        <f t="shared" si="0"/>
        <v>9</v>
      </c>
      <c r="M10" s="52">
        <f t="shared" si="0"/>
        <v>10</v>
      </c>
      <c r="N10" s="52">
        <f t="shared" si="0"/>
        <v>11</v>
      </c>
    </row>
    <row r="11" spans="2:14" x14ac:dyDescent="0.35">
      <c r="B11" s="52" t="s">
        <v>383</v>
      </c>
      <c r="C11" s="51"/>
      <c r="D11" s="52">
        <v>2023</v>
      </c>
      <c r="E11" s="52">
        <f>+D11+1</f>
        <v>2024</v>
      </c>
      <c r="F11" s="52">
        <f t="shared" ref="F11:M11" si="1">+E11+1</f>
        <v>2025</v>
      </c>
      <c r="G11" s="52">
        <f t="shared" si="1"/>
        <v>2026</v>
      </c>
      <c r="H11" s="52">
        <f t="shared" si="1"/>
        <v>2027</v>
      </c>
      <c r="I11" s="52">
        <f t="shared" si="1"/>
        <v>2028</v>
      </c>
      <c r="J11" s="52">
        <f t="shared" si="1"/>
        <v>2029</v>
      </c>
      <c r="K11" s="52">
        <f t="shared" si="1"/>
        <v>2030</v>
      </c>
      <c r="L11" s="52">
        <f t="shared" si="1"/>
        <v>2031</v>
      </c>
      <c r="M11" s="52">
        <f t="shared" si="1"/>
        <v>2032</v>
      </c>
      <c r="N11" s="78" t="s">
        <v>321</v>
      </c>
    </row>
    <row r="12" spans="2:14" x14ac:dyDescent="0.35">
      <c r="B12" s="53" t="s">
        <v>384</v>
      </c>
      <c r="C12" s="103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3"/>
    </row>
    <row r="13" spans="2:14" x14ac:dyDescent="0.35">
      <c r="B13" t="s">
        <v>264</v>
      </c>
      <c r="C13" s="35"/>
      <c r="D13" s="27">
        <f ca="1">+Model!S25</f>
        <v>9.2349663569857285E-2</v>
      </c>
      <c r="E13" s="27">
        <f ca="1">+Model!T25</f>
        <v>8.8912056743548809E-2</v>
      </c>
      <c r="F13" s="27">
        <f ca="1">+Model!U25</f>
        <v>8.8980671398962652E-2</v>
      </c>
      <c r="G13" s="27">
        <f ca="1">+Model!V25</f>
        <v>8.9737543885714824E-2</v>
      </c>
      <c r="H13" s="27">
        <f ca="1">+Model!W25</f>
        <v>9.0104449735407835E-2</v>
      </c>
      <c r="I13" s="27">
        <f ca="1">+Model!X25</f>
        <v>9.0032905594260845E-2</v>
      </c>
      <c r="J13" s="27">
        <f ca="1">+Model!Y25</f>
        <v>8.9973330081766598E-2</v>
      </c>
      <c r="K13" s="27">
        <f ca="1">+Model!Z25</f>
        <v>9.0141829147363767E-2</v>
      </c>
      <c r="L13" s="27">
        <f ca="1">+Model!AA25</f>
        <v>9.0188293808415379E-2</v>
      </c>
      <c r="M13" s="27">
        <f ca="1">+Model!AB25</f>
        <v>9.0053663819274779E-2</v>
      </c>
      <c r="N13" s="35"/>
    </row>
    <row r="14" spans="2:14" x14ac:dyDescent="0.35">
      <c r="B14" t="s">
        <v>328</v>
      </c>
      <c r="D14" s="27">
        <f ca="1">+Model!S6</f>
        <v>3.1425754553700933E-2</v>
      </c>
      <c r="E14" s="27">
        <f ca="1">+Model!T6</f>
        <v>3.2441724394623325E-2</v>
      </c>
      <c r="F14" s="27">
        <f ca="1">+Model!U6</f>
        <v>3.4909213375038231E-2</v>
      </c>
      <c r="G14" s="27">
        <f ca="1">+Model!V6</f>
        <v>3.5354303057575406E-2</v>
      </c>
      <c r="H14" s="27">
        <f ca="1">+Model!W6</f>
        <v>3.5716604895512989E-2</v>
      </c>
      <c r="I14" s="27">
        <f ca="1">+Model!X6</f>
        <v>3.6007940475116497E-2</v>
      </c>
      <c r="J14" s="27">
        <f ca="1">+Model!Y6</f>
        <v>3.625959777662463E-2</v>
      </c>
      <c r="K14" s="27">
        <f ca="1">+Model!Z6</f>
        <v>3.6487363311982622E-2</v>
      </c>
      <c r="L14" s="27">
        <f ca="1">+Model!AA6</f>
        <v>3.6693506803860458E-2</v>
      </c>
      <c r="M14" s="27">
        <f ca="1">+Model!AB6</f>
        <v>3.6883069219802375E-2</v>
      </c>
    </row>
    <row r="15" spans="2:14" x14ac:dyDescent="0.35">
      <c r="B15" t="s">
        <v>329</v>
      </c>
      <c r="D15" s="27">
        <f>+Model!S10</f>
        <v>2.2013296504915125E-2</v>
      </c>
      <c r="E15" s="27">
        <f>+Model!T10</f>
        <v>2.1084656608825608E-2</v>
      </c>
      <c r="F15" s="27">
        <f>+Model!U10</f>
        <v>1.1889570834286172E-2</v>
      </c>
      <c r="G15" s="27">
        <f>+Model!V10</f>
        <v>1.085964191169329E-2</v>
      </c>
      <c r="H15" s="27">
        <f>+Model!W10</f>
        <v>1.0805941684368848E-2</v>
      </c>
      <c r="I15" s="27">
        <f>+Model!X10</f>
        <v>1.0815517623856881E-2</v>
      </c>
      <c r="J15" s="27">
        <f>+Model!Y10</f>
        <v>1.0811545983765788E-2</v>
      </c>
      <c r="K15" s="27">
        <f>+Model!Z10</f>
        <v>1.0811189378516533E-2</v>
      </c>
      <c r="L15" s="27">
        <f>+Model!AA10</f>
        <v>1.0765943189159008E-2</v>
      </c>
      <c r="M15" s="27">
        <f>+Model!AB10</f>
        <v>1.072318666283514E-2</v>
      </c>
    </row>
    <row r="16" spans="2:14" x14ac:dyDescent="0.35"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2:15" x14ac:dyDescent="0.35">
      <c r="B17" t="s">
        <v>376</v>
      </c>
      <c r="D17" s="6">
        <f ca="1">+Model!S89</f>
        <v>10050.270156781335</v>
      </c>
      <c r="E17" s="6">
        <f ca="1">+Model!T89</f>
        <v>10596.203591828322</v>
      </c>
      <c r="F17" s="6">
        <f ca="1">+Model!U89</f>
        <v>11696.758266940436</v>
      </c>
      <c r="G17" s="6">
        <f ca="1">+Model!V89</f>
        <v>13140.102130328472</v>
      </c>
      <c r="H17" s="6">
        <f ca="1">+Model!W89</f>
        <v>14327.834282183805</v>
      </c>
      <c r="I17" s="6">
        <f ca="1">+Model!X89</f>
        <v>15281.641886154313</v>
      </c>
      <c r="J17" s="6">
        <f ca="1">+Model!Y89</f>
        <v>16154.24383567155</v>
      </c>
      <c r="K17" s="6">
        <f ca="1">+Model!Z89</f>
        <v>17026.832761904978</v>
      </c>
      <c r="L17" s="6">
        <f ca="1">+Model!AA89</f>
        <v>17884.44165122079</v>
      </c>
      <c r="M17" s="6">
        <f ca="1">+Model!AB89</f>
        <v>18718.628190779051</v>
      </c>
    </row>
    <row r="18" spans="2:15" x14ac:dyDescent="0.35">
      <c r="B18" t="s">
        <v>377</v>
      </c>
      <c r="D18" s="6">
        <f ca="1">+Model!S91</f>
        <v>10539.270156781335</v>
      </c>
      <c r="E18" s="6">
        <f ca="1">+Model!T91</f>
        <v>11085.203591828322</v>
      </c>
      <c r="F18" s="6">
        <f ca="1">+Model!U91</f>
        <v>12185.758266940436</v>
      </c>
      <c r="G18" s="6">
        <f ca="1">+Model!V91</f>
        <v>13629.102130328471</v>
      </c>
      <c r="H18" s="6">
        <f ca="1">+Model!W91</f>
        <v>14816.834282183805</v>
      </c>
      <c r="I18" s="6">
        <f ca="1">+Model!X91</f>
        <v>15770.641886154313</v>
      </c>
      <c r="J18" s="6">
        <f ca="1">+Model!Y91</f>
        <v>16643.24383567155</v>
      </c>
      <c r="K18" s="6">
        <f ca="1">+Model!Z91</f>
        <v>17515.832761904978</v>
      </c>
      <c r="L18" s="6">
        <f ca="1">+Model!AA91</f>
        <v>18373.44165122079</v>
      </c>
      <c r="M18" s="6">
        <f ca="1">+Model!AB91</f>
        <v>19207.628190779051</v>
      </c>
    </row>
    <row r="19" spans="2:15" x14ac:dyDescent="0.35">
      <c r="B19" t="s">
        <v>191</v>
      </c>
      <c r="D19" s="6">
        <f ca="1">+Model!S92</f>
        <v>14485.295156781334</v>
      </c>
      <c r="E19" s="6">
        <f ca="1">+Model!T92</f>
        <v>14317.278591828323</v>
      </c>
      <c r="F19" s="6">
        <f ca="1">+Model!U92</f>
        <v>14703.883266940436</v>
      </c>
      <c r="G19" s="6">
        <f ca="1">+Model!V92</f>
        <v>15581.277130328472</v>
      </c>
      <c r="H19" s="6">
        <f ca="1">+Model!W92</f>
        <v>16350.934282183805</v>
      </c>
      <c r="I19" s="6">
        <f ca="1">+Model!X92</f>
        <v>16886.541886154315</v>
      </c>
      <c r="J19" s="6">
        <f ca="1">+Model!Y92</f>
        <v>17340.943835671551</v>
      </c>
      <c r="K19" s="6">
        <f ca="1">+Model!Z92</f>
        <v>17795.332761904981</v>
      </c>
      <c r="L19" s="6">
        <f ca="1">+Model!AA92</f>
        <v>18234.741651220789</v>
      </c>
      <c r="M19" s="6">
        <f ca="1">+Model!AB92</f>
        <v>18650.728190779053</v>
      </c>
    </row>
    <row r="20" spans="2:15" x14ac:dyDescent="0.35">
      <c r="B20" t="s">
        <v>378</v>
      </c>
      <c r="D20" s="27">
        <f ca="1">+Model!S95</f>
        <v>3.7692060293606312E-2</v>
      </c>
      <c r="E20" s="27">
        <f ca="1">+Model!T95</f>
        <v>5.601161395497796E-2</v>
      </c>
      <c r="F20" s="27">
        <f ca="1">+Model!U95</f>
        <v>0.13764962644849746</v>
      </c>
      <c r="G20" s="27">
        <f ca="1">+Model!V95</f>
        <v>0.13731544426088987</v>
      </c>
      <c r="H20" s="27">
        <f ca="1">+Model!W95</f>
        <v>0.13682539594280796</v>
      </c>
      <c r="I20" s="27">
        <f ca="1">+Model!X95</f>
        <v>0.13650613254240873</v>
      </c>
      <c r="J20" s="27">
        <f ca="1">+Model!Y95</f>
        <v>0.13526478379892976</v>
      </c>
      <c r="K20" s="27">
        <f ca="1">+Model!Z95</f>
        <v>0.13336926465116361</v>
      </c>
      <c r="L20" s="27">
        <f ca="1">+Model!AA95</f>
        <v>0.13146259226308182</v>
      </c>
      <c r="M20" s="27">
        <f ca="1">+Model!AB95</f>
        <v>0.12991383882767407</v>
      </c>
    </row>
    <row r="21" spans="2:15" x14ac:dyDescent="0.35">
      <c r="B21" t="s">
        <v>379</v>
      </c>
      <c r="D21" s="27">
        <f ca="1">+Model!S96</f>
        <v>3.5943227859349551E-2</v>
      </c>
      <c r="E21" s="27">
        <f ca="1">+Model!T96</f>
        <v>5.3540781642599407E-2</v>
      </c>
      <c r="F21" s="27">
        <f ca="1">+Model!U96</f>
        <v>0.13212591049592298</v>
      </c>
      <c r="G21" s="27">
        <f ca="1">+Model!V96</f>
        <v>0.13238868888100655</v>
      </c>
      <c r="H21" s="27">
        <f ca="1">+Model!W96</f>
        <v>0.13230974723257807</v>
      </c>
      <c r="I21" s="27">
        <f ca="1">+Model!X96</f>
        <v>0.13227348942647815</v>
      </c>
      <c r="J21" s="27">
        <f ca="1">+Model!Y96</f>
        <v>0.13129052974540753</v>
      </c>
      <c r="K21" s="27">
        <f ca="1">+Model!Z96</f>
        <v>0.12964591496514355</v>
      </c>
      <c r="L21" s="27">
        <f ca="1">+Model!AA96</f>
        <v>0.12796378083531779</v>
      </c>
      <c r="M21" s="27">
        <f ca="1">+Model!AB96</f>
        <v>0.12660640979188972</v>
      </c>
    </row>
    <row r="22" spans="2:15" x14ac:dyDescent="0.35">
      <c r="B22" t="s">
        <v>375</v>
      </c>
      <c r="D22" s="27">
        <f ca="1">+Model!S97</f>
        <v>2.6151720390667405E-2</v>
      </c>
      <c r="E22" s="27">
        <f ca="1">+Model!T97</f>
        <v>4.1454139567598317E-2</v>
      </c>
      <c r="F22" s="27">
        <f ca="1">+Model!U97</f>
        <v>0.10949858461694273</v>
      </c>
      <c r="G22" s="27">
        <f ca="1">+Model!V97</f>
        <v>0.11580173733945273</v>
      </c>
      <c r="H22" s="27">
        <f ca="1">+Model!W97</f>
        <v>0.11989599889706774</v>
      </c>
      <c r="I22" s="27">
        <f ca="1">+Model!X97</f>
        <v>0.12353256497633769</v>
      </c>
      <c r="J22" s="27">
        <f ca="1">+Model!Y97</f>
        <v>0.12600815276112018</v>
      </c>
      <c r="K22" s="27">
        <f ca="1">+Model!Z97</f>
        <v>0.12760964884314499</v>
      </c>
      <c r="L22" s="27">
        <f ca="1">+Model!AA97</f>
        <v>0.12893711935260194</v>
      </c>
      <c r="M22" s="27">
        <f ca="1">+Model!AB97</f>
        <v>0.13038680425648558</v>
      </c>
    </row>
    <row r="23" spans="2:15" x14ac:dyDescent="0.35"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2:15" x14ac:dyDescent="0.35">
      <c r="B24" t="s">
        <v>322</v>
      </c>
      <c r="D24" s="6">
        <f ca="1">+Model!S30</f>
        <v>310.32906894071147</v>
      </c>
      <c r="E24" s="6">
        <f ca="1">+Model!T30</f>
        <v>312.29303666320061</v>
      </c>
      <c r="F24" s="6">
        <f ca="1">+Model!U30</f>
        <v>312.71708594130911</v>
      </c>
      <c r="G24" s="6">
        <f ca="1">+Model!V30</f>
        <v>307.80343704550461</v>
      </c>
      <c r="H24" s="6">
        <f ca="1">+Model!W30</f>
        <v>297.5347501283448</v>
      </c>
      <c r="I24" s="6">
        <f ca="1">+Model!X30</f>
        <v>284.2659249446333</v>
      </c>
      <c r="J24" s="6">
        <f ca="1">+Model!Y30</f>
        <v>270.62251102045406</v>
      </c>
      <c r="K24" s="6">
        <f ca="1">+Model!Z30</f>
        <v>256.56580360422214</v>
      </c>
      <c r="L24" s="6">
        <f ca="1">+Model!AA30</f>
        <v>242.05711258707603</v>
      </c>
      <c r="M24" s="6">
        <f ca="1">+Model!AB30</f>
        <v>227.05737450956889</v>
      </c>
    </row>
    <row r="25" spans="2:15" x14ac:dyDescent="0.35">
      <c r="B25" t="s">
        <v>330</v>
      </c>
      <c r="D25" s="79">
        <f t="shared" ref="D25:M25" ca="1" si="2">+D18/D24</f>
        <v>33.961595002222843</v>
      </c>
      <c r="E25" s="79">
        <f t="shared" ca="1" si="2"/>
        <v>35.496159985736114</v>
      </c>
      <c r="F25" s="79">
        <f t="shared" ca="1" si="2"/>
        <v>38.967356805145805</v>
      </c>
      <c r="G25" s="79">
        <f t="shared" ca="1" si="2"/>
        <v>44.278589807668688</v>
      </c>
      <c r="H25" s="79">
        <f t="shared" ca="1" si="2"/>
        <v>49.798668141426859</v>
      </c>
      <c r="I25" s="79">
        <f t="shared" ca="1" si="2"/>
        <v>55.478481598615708</v>
      </c>
      <c r="J25" s="79">
        <f t="shared" ca="1" si="2"/>
        <v>61.499850004767815</v>
      </c>
      <c r="K25" s="79">
        <f t="shared" ca="1" si="2"/>
        <v>68.270332662589993</v>
      </c>
      <c r="L25" s="79">
        <f t="shared" ca="1" si="2"/>
        <v>75.905398750103856</v>
      </c>
      <c r="M25" s="79">
        <f t="shared" ca="1" si="2"/>
        <v>84.593721002308087</v>
      </c>
      <c r="N25" s="79"/>
      <c r="O25" s="79"/>
    </row>
    <row r="26" spans="2:15" x14ac:dyDescent="0.35">
      <c r="B26" t="s">
        <v>305</v>
      </c>
      <c r="D26" s="79">
        <f t="shared" ref="D26:M26" ca="1" si="3">+D31/D24</f>
        <v>1.2206893476318426</v>
      </c>
      <c r="E26" s="79">
        <f t="shared" ca="1" si="3"/>
        <v>1.9004921509470716</v>
      </c>
      <c r="F26" s="79">
        <f t="shared" ca="1" si="3"/>
        <v>5.1485974974993898</v>
      </c>
      <c r="G26" s="79">
        <f t="shared" ca="1" si="3"/>
        <v>5.8619844501371574</v>
      </c>
      <c r="H26" s="79">
        <f t="shared" ca="1" si="3"/>
        <v>6.5888491943112264</v>
      </c>
      <c r="I26" s="79">
        <f t="shared" ca="1" si="3"/>
        <v>7.3383323491315577</v>
      </c>
      <c r="J26" s="79">
        <f t="shared" ca="1" si="3"/>
        <v>8.0743478863890701</v>
      </c>
      <c r="K26" s="79">
        <f t="shared" ca="1" si="3"/>
        <v>8.8509697430162042</v>
      </c>
      <c r="L26" s="79">
        <f t="shared" ca="1" si="3"/>
        <v>9.7131418098756956</v>
      </c>
      <c r="M26" s="79">
        <f t="shared" ca="1" si="3"/>
        <v>10.710107307039006</v>
      </c>
      <c r="O26" s="79"/>
    </row>
    <row r="27" spans="2:15" x14ac:dyDescent="0.35">
      <c r="D27" s="27"/>
      <c r="E27" s="27"/>
      <c r="F27" s="27"/>
      <c r="G27" s="27"/>
      <c r="H27" s="27"/>
      <c r="I27" s="27"/>
      <c r="J27" s="27"/>
      <c r="K27" s="27"/>
      <c r="L27" s="27"/>
      <c r="M27" s="27"/>
    </row>
    <row r="28" spans="2:15" x14ac:dyDescent="0.35">
      <c r="B28" s="53" t="s">
        <v>384</v>
      </c>
      <c r="C28" s="103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3"/>
    </row>
    <row r="29" spans="2:15" x14ac:dyDescent="0.35">
      <c r="B29" t="s">
        <v>320</v>
      </c>
      <c r="D29" s="6">
        <f ca="1">+Model!S250</f>
        <v>7241.2459480402504</v>
      </c>
      <c r="E29" s="6">
        <f ca="1">+Model!T250</f>
        <v>7715.7436485295311</v>
      </c>
      <c r="F29" s="6">
        <f ca="1">+Model!U250</f>
        <v>8549.7869681133634</v>
      </c>
      <c r="G29" s="6">
        <f ca="1">+Model!V250</f>
        <v>9035.2168911808349</v>
      </c>
      <c r="H29" s="6">
        <f ca="1">+Model!W250</f>
        <v>9480.0643803354651</v>
      </c>
      <c r="I29" s="6">
        <f ca="1">+Model!X250</f>
        <v>9876.5383011481626</v>
      </c>
      <c r="J29" s="6">
        <f ca="1">+Model!Y250</f>
        <v>10243.751671323418</v>
      </c>
      <c r="K29" s="6">
        <f ca="1">+Model!Z250</f>
        <v>10582.670762987818</v>
      </c>
      <c r="L29" s="6">
        <f ca="1">+Model!AA250</f>
        <v>10890.087699526837</v>
      </c>
      <c r="M29" s="6">
        <f ca="1">+Model!AB250</f>
        <v>11203.348269511509</v>
      </c>
    </row>
    <row r="30" spans="2:15" x14ac:dyDescent="0.35">
      <c r="B30" t="s">
        <v>27</v>
      </c>
      <c r="D30" s="6">
        <f ca="1">+Model!S256</f>
        <v>479.51315027396731</v>
      </c>
      <c r="E30" s="6">
        <f ca="1">+Model!T256</f>
        <v>751.27906958713766</v>
      </c>
      <c r="F30" s="6">
        <f ca="1">+Model!U256</f>
        <v>2038.0435520287665</v>
      </c>
      <c r="G30" s="6">
        <f ca="1">+Model!V256</f>
        <v>2283.9733691892652</v>
      </c>
      <c r="H30" s="6">
        <f ca="1">+Model!W256</f>
        <v>2481.5336691933376</v>
      </c>
      <c r="I30" s="6">
        <f ca="1">+Model!X256</f>
        <v>2640.554218705071</v>
      </c>
      <c r="J30" s="6">
        <f ca="1">+Model!Y256</f>
        <v>2765.9497466674761</v>
      </c>
      <c r="K30" s="6">
        <f ca="1">+Model!Z256</f>
        <v>2874.5014744222885</v>
      </c>
      <c r="L30" s="6">
        <f ca="1">+Model!AA256</f>
        <v>2976.120329933312</v>
      </c>
      <c r="M30" s="6">
        <f ca="1">+Model!AB256</f>
        <v>3078.2390453823114</v>
      </c>
    </row>
    <row r="31" spans="2:15" x14ac:dyDescent="0.35">
      <c r="B31" t="s">
        <v>47</v>
      </c>
      <c r="D31" s="6">
        <f ca="1">+Model!S261</f>
        <v>378.8153887164342</v>
      </c>
      <c r="E31" s="6">
        <f ca="1">+Model!T261</f>
        <v>593.51046497383879</v>
      </c>
      <c r="F31" s="6">
        <f ca="1">+Model!U261</f>
        <v>1610.0544061027256</v>
      </c>
      <c r="G31" s="6">
        <f ca="1">+Model!V261</f>
        <v>1804.3389616595196</v>
      </c>
      <c r="H31" s="6">
        <f ca="1">+Model!W261</f>
        <v>1960.4115986627367</v>
      </c>
      <c r="I31" s="6">
        <f ca="1">+Model!X261</f>
        <v>2086.0378327770059</v>
      </c>
      <c r="J31" s="6">
        <f ca="1">+Model!Y261</f>
        <v>2185.1002998673061</v>
      </c>
      <c r="K31" s="6">
        <f ca="1">+Model!Z261</f>
        <v>2270.8561647936081</v>
      </c>
      <c r="L31" s="6">
        <f ca="1">+Model!AA261</f>
        <v>2351.1350606473165</v>
      </c>
      <c r="M31" s="6">
        <f ca="1">+Model!AB261</f>
        <v>2431.808845852026</v>
      </c>
    </row>
    <row r="32" spans="2:15" x14ac:dyDescent="0.35">
      <c r="B32" s="3" t="s">
        <v>324</v>
      </c>
      <c r="C32" s="38">
        <f>-C41*C38</f>
        <v>-7465.062527</v>
      </c>
      <c r="D32" s="4">
        <f ca="1">-(Model!S15+Model!S17+Model!S18)</f>
        <v>246.11883155614231</v>
      </c>
      <c r="E32" s="4">
        <f ca="1">-(Model!T15+Model!T17+Model!T18)</f>
        <v>252.2841520401571</v>
      </c>
      <c r="F32" s="4">
        <f ca="1">-(Model!U15+Model!U17+Model!U18)</f>
        <v>368.11536881217427</v>
      </c>
      <c r="G32" s="4">
        <f ca="1">-(Model!V15+Model!V17+Model!V18)</f>
        <v>777.5342721740044</v>
      </c>
      <c r="H32" s="4">
        <f ca="1">-(Model!W15+Model!W17+Model!W18)</f>
        <v>1229.6959844375856</v>
      </c>
      <c r="I32" s="4">
        <f ca="1">-(Model!X15+Model!X17+Model!X18)</f>
        <v>1527.0822390611368</v>
      </c>
      <c r="J32" s="4">
        <f ca="1">-(Model!Y15+Model!Y17+Model!Y18)</f>
        <v>1616.7959945486998</v>
      </c>
      <c r="K32" s="4">
        <f ca="1">-(Model!Z15+Model!Z17+Model!Z18)</f>
        <v>1711.9266176453609</v>
      </c>
      <c r="L32" s="4">
        <f ca="1">-(Model!AA15+Model!AA17+Model!AA18)</f>
        <v>1812.7908291639442</v>
      </c>
      <c r="M32" s="4">
        <f ca="1">-(Model!AB15+Model!AB17+Model!AB18)</f>
        <v>1919.7239982188726</v>
      </c>
      <c r="N32" s="38">
        <f ca="1">MIN(M17:M19)*C7</f>
        <v>26236.685958210255</v>
      </c>
    </row>
    <row r="33" spans="2:14" x14ac:dyDescent="0.35">
      <c r="B33" t="s">
        <v>350</v>
      </c>
      <c r="D33" s="21">
        <f ca="1">(1+$C$5)^(D10-$C$3-$C$4)</f>
        <v>1.0504593380637639</v>
      </c>
      <c r="E33" s="21">
        <f t="shared" ref="E33:N33" ca="1" si="4">(1+$C$5)^(E10-$C$3-$C$4)</f>
        <v>1.1450006784895026</v>
      </c>
      <c r="F33" s="21">
        <f t="shared" ca="1" si="4"/>
        <v>1.2480507395535581</v>
      </c>
      <c r="G33" s="21">
        <f t="shared" ca="1" si="4"/>
        <v>1.3603753061133783</v>
      </c>
      <c r="H33" s="21">
        <f t="shared" ca="1" si="4"/>
        <v>1.4828090836635826</v>
      </c>
      <c r="I33" s="21">
        <f t="shared" ca="1" si="4"/>
        <v>1.616261901193305</v>
      </c>
      <c r="J33" s="21">
        <f t="shared" ca="1" si="4"/>
        <v>1.7617254723007028</v>
      </c>
      <c r="K33" s="21">
        <f t="shared" ca="1" si="4"/>
        <v>1.9202807648077662</v>
      </c>
      <c r="L33" s="21">
        <f t="shared" ca="1" si="4"/>
        <v>2.0931060336404652</v>
      </c>
      <c r="M33" s="21">
        <f t="shared" ca="1" si="4"/>
        <v>2.2814855766681075</v>
      </c>
      <c r="N33" s="21">
        <f t="shared" ca="1" si="4"/>
        <v>2.486819278568237</v>
      </c>
    </row>
    <row r="34" spans="2:14" x14ac:dyDescent="0.35">
      <c r="B34" t="s">
        <v>351</v>
      </c>
      <c r="D34" s="6">
        <f t="shared" ref="D34:N34" ca="1" si="5">+D32/D33</f>
        <v>234.29639076729561</v>
      </c>
      <c r="E34" s="6">
        <f t="shared" ca="1" si="5"/>
        <v>220.33537340167615</v>
      </c>
      <c r="F34" s="6">
        <f t="shared" ca="1" si="5"/>
        <v>294.95224604718663</v>
      </c>
      <c r="G34" s="6">
        <f t="shared" ca="1" si="5"/>
        <v>571.55864905798433</v>
      </c>
      <c r="H34" s="6">
        <f t="shared" ca="1" si="5"/>
        <v>829.30162620758335</v>
      </c>
      <c r="I34" s="6">
        <f t="shared" ca="1" si="5"/>
        <v>944.82350783228515</v>
      </c>
      <c r="J34" s="6">
        <f t="shared" ca="1" si="5"/>
        <v>917.73435757687366</v>
      </c>
      <c r="K34" s="6">
        <f t="shared" ca="1" si="5"/>
        <v>891.49808143640757</v>
      </c>
      <c r="L34" s="6">
        <f t="shared" ca="1" si="5"/>
        <v>866.07692110610435</v>
      </c>
      <c r="M34" s="6">
        <f t="shared" ca="1" si="5"/>
        <v>841.43595640102478</v>
      </c>
      <c r="N34" s="6">
        <f t="shared" ca="1" si="5"/>
        <v>10550.298602042278</v>
      </c>
    </row>
    <row r="35" spans="2:14" x14ac:dyDescent="0.35">
      <c r="D35" s="21"/>
      <c r="E35" s="21"/>
      <c r="F35" s="21"/>
      <c r="G35" s="21"/>
      <c r="H35" s="21"/>
      <c r="I35" s="21"/>
      <c r="J35" s="21"/>
      <c r="K35" s="21"/>
      <c r="L35" s="21"/>
      <c r="M35" s="21"/>
    </row>
    <row r="37" spans="2:14" x14ac:dyDescent="0.35">
      <c r="B37" t="s">
        <v>385</v>
      </c>
      <c r="C37" s="6">
        <f ca="1">SUM(D34:N34)</f>
        <v>17162.3117118767</v>
      </c>
      <c r="D37" s="6"/>
    </row>
    <row r="38" spans="2:14" x14ac:dyDescent="0.35">
      <c r="B38" t="s">
        <v>322</v>
      </c>
      <c r="C38" s="5">
        <f>298.6469+2</f>
        <v>300.64690000000002</v>
      </c>
    </row>
    <row r="39" spans="2:14" x14ac:dyDescent="0.35">
      <c r="B39" s="18" t="s">
        <v>323</v>
      </c>
      <c r="C39" s="90">
        <f ca="1">+C37/C38</f>
        <v>57.084612254031889</v>
      </c>
    </row>
    <row r="41" spans="2:14" x14ac:dyDescent="0.35">
      <c r="B41" t="s">
        <v>325</v>
      </c>
      <c r="C41" s="66">
        <v>24.83</v>
      </c>
    </row>
    <row r="42" spans="2:14" x14ac:dyDescent="0.35">
      <c r="B42" t="s">
        <v>326</v>
      </c>
      <c r="C42" s="27">
        <f ca="1">+C39/C41-1</f>
        <v>1.2990178112779658</v>
      </c>
    </row>
    <row r="43" spans="2:14" x14ac:dyDescent="0.35">
      <c r="B43" s="18" t="s">
        <v>327</v>
      </c>
      <c r="C43" s="25">
        <f ca="1">IRR(C32:N32)+SUM(C3:C4)/100</f>
        <v>0.19559813810968679</v>
      </c>
    </row>
    <row r="45" spans="2:14" x14ac:dyDescent="0.35">
      <c r="B45" s="27"/>
      <c r="C45" s="6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9" spans="4:4" x14ac:dyDescent="0.35">
      <c r="D49" s="21"/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07961-5344-42C0-9A6C-835ED4570998}">
  <sheetPr>
    <tabColor theme="9" tint="-0.499984740745262"/>
  </sheetPr>
  <dimension ref="A1:AY293"/>
  <sheetViews>
    <sheetView showGridLines="0" zoomScale="85" zoomScaleNormal="85" workbookViewId="0">
      <pane xSplit="2" ySplit="3" topLeftCell="J4" activePane="bottomRight" state="frozen"/>
      <selection pane="topRight" activeCell="C1" sqref="C1"/>
      <selection pane="bottomLeft" activeCell="A4" sqref="A4"/>
      <selection pane="bottomRight" activeCell="J35" sqref="J35"/>
    </sheetView>
  </sheetViews>
  <sheetFormatPr defaultRowHeight="14.5" outlineLevelRow="1" outlineLevelCol="1" x14ac:dyDescent="0.35"/>
  <cols>
    <col min="1" max="1" width="1.54296875" customWidth="1"/>
    <col min="2" max="2" width="53.81640625" bestFit="1" customWidth="1"/>
    <col min="3" max="9" width="8.7265625" hidden="1" customWidth="1" outlineLevel="1"/>
    <col min="10" max="10" width="8.7265625" collapsed="1"/>
    <col min="35" max="35" width="4.7265625" customWidth="1"/>
    <col min="36" max="36" width="8.7265625" hidden="1" customWidth="1" outlineLevel="1"/>
    <col min="37" max="37" width="8.7265625" collapsed="1"/>
    <col min="38" max="38" width="4.7265625" customWidth="1"/>
  </cols>
  <sheetData>
    <row r="1" spans="2:32" x14ac:dyDescent="0.35">
      <c r="B1" s="81">
        <f ca="1">+Valuation!C39</f>
        <v>57.084612254031889</v>
      </c>
    </row>
    <row r="2" spans="2:32" x14ac:dyDescent="0.35">
      <c r="B2" s="82">
        <f ca="1">+Valuation!C43</f>
        <v>0.19559813810968679</v>
      </c>
    </row>
    <row r="3" spans="2:32" x14ac:dyDescent="0.35">
      <c r="B3" s="51"/>
      <c r="C3" s="52">
        <v>2007</v>
      </c>
      <c r="D3" s="52">
        <f>+C3+1</f>
        <v>2008</v>
      </c>
      <c r="E3" s="52">
        <f t="shared" ref="E3:AB3" si="0">+D3+1</f>
        <v>2009</v>
      </c>
      <c r="F3" s="52">
        <f t="shared" si="0"/>
        <v>2010</v>
      </c>
      <c r="G3" s="52">
        <f t="shared" si="0"/>
        <v>2011</v>
      </c>
      <c r="H3" s="52">
        <f t="shared" si="0"/>
        <v>2012</v>
      </c>
      <c r="I3" s="52">
        <f t="shared" si="0"/>
        <v>2013</v>
      </c>
      <c r="J3" s="52">
        <f t="shared" si="0"/>
        <v>2014</v>
      </c>
      <c r="K3" s="52">
        <f t="shared" si="0"/>
        <v>2015</v>
      </c>
      <c r="L3" s="52">
        <f t="shared" si="0"/>
        <v>2016</v>
      </c>
      <c r="M3" s="52">
        <f t="shared" si="0"/>
        <v>2017</v>
      </c>
      <c r="N3" s="52">
        <f t="shared" si="0"/>
        <v>2018</v>
      </c>
      <c r="O3" s="52">
        <f t="shared" si="0"/>
        <v>2019</v>
      </c>
      <c r="P3" s="52">
        <f t="shared" si="0"/>
        <v>2020</v>
      </c>
      <c r="Q3" s="52">
        <f t="shared" si="0"/>
        <v>2021</v>
      </c>
      <c r="R3" s="83">
        <f t="shared" si="0"/>
        <v>2022</v>
      </c>
      <c r="S3" s="83">
        <f t="shared" si="0"/>
        <v>2023</v>
      </c>
      <c r="T3" s="83">
        <f t="shared" si="0"/>
        <v>2024</v>
      </c>
      <c r="U3" s="83">
        <f t="shared" si="0"/>
        <v>2025</v>
      </c>
      <c r="V3" s="83">
        <f t="shared" si="0"/>
        <v>2026</v>
      </c>
      <c r="W3" s="83">
        <f t="shared" si="0"/>
        <v>2027</v>
      </c>
      <c r="X3" s="83">
        <f t="shared" si="0"/>
        <v>2028</v>
      </c>
      <c r="Y3" s="83">
        <f t="shared" si="0"/>
        <v>2029</v>
      </c>
      <c r="Z3" s="83">
        <f t="shared" si="0"/>
        <v>2030</v>
      </c>
      <c r="AA3" s="83">
        <f t="shared" si="0"/>
        <v>2031</v>
      </c>
      <c r="AB3" s="83">
        <f t="shared" si="0"/>
        <v>2032</v>
      </c>
      <c r="AC3" s="18"/>
      <c r="AD3" s="84" t="s">
        <v>331</v>
      </c>
      <c r="AE3" s="84" t="s">
        <v>332</v>
      </c>
      <c r="AF3" s="84" t="s">
        <v>334</v>
      </c>
    </row>
    <row r="4" spans="2:32" x14ac:dyDescent="0.35">
      <c r="B4" s="53" t="s">
        <v>285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</row>
    <row r="5" spans="2:32" ht="5.15" customHeight="1" x14ac:dyDescent="0.35"/>
    <row r="6" spans="2:32" outlineLevel="1" x14ac:dyDescent="0.35">
      <c r="B6" t="s">
        <v>286</v>
      </c>
      <c r="D6" s="12">
        <f t="shared" ref="D6:Q6" si="1">+D169</f>
        <v>1.1569337745841679E-2</v>
      </c>
      <c r="E6" s="12">
        <f t="shared" si="1"/>
        <v>1.454452494836761E-2</v>
      </c>
      <c r="F6" s="12">
        <f t="shared" si="1"/>
        <v>9.0644086618545255E-3</v>
      </c>
      <c r="G6" s="12">
        <f t="shared" si="1"/>
        <v>7.3249092532372342E-3</v>
      </c>
      <c r="H6" s="12">
        <f t="shared" si="1"/>
        <v>1.283325924744573E-2</v>
      </c>
      <c r="I6" s="12">
        <f t="shared" si="1"/>
        <v>2.0200551717119587E-2</v>
      </c>
      <c r="J6" s="12">
        <f t="shared" si="1"/>
        <v>2.4006999374039717E-2</v>
      </c>
      <c r="K6" s="12">
        <f t="shared" si="1"/>
        <v>2.5543371876191226E-2</v>
      </c>
      <c r="L6" s="12">
        <f t="shared" si="1"/>
        <v>2.5709782812546267E-2</v>
      </c>
      <c r="M6" s="12">
        <f t="shared" si="1"/>
        <v>2.6848070831584171E-2</v>
      </c>
      <c r="N6" s="12">
        <f t="shared" si="1"/>
        <v>2.6550385252742732E-2</v>
      </c>
      <c r="O6" s="12">
        <f t="shared" si="1"/>
        <v>2.6976903973750944E-2</v>
      </c>
      <c r="P6" s="12">
        <f t="shared" si="1"/>
        <v>2.7006463060636775E-2</v>
      </c>
      <c r="Q6" s="12">
        <f t="shared" si="1"/>
        <v>3.5267407814072643E-2</v>
      </c>
      <c r="R6" s="24">
        <f ca="1">IF(ISBLANK(R8)=TRUE,R7,R8)</f>
        <v>3.745350302157649E-2</v>
      </c>
      <c r="S6" s="24">
        <f t="shared" ref="S6:AB6" ca="1" si="2">IF(ISBLANK(S8)=TRUE,S7,S8)</f>
        <v>3.1425754553700933E-2</v>
      </c>
      <c r="T6" s="24">
        <f t="shared" ca="1" si="2"/>
        <v>3.2441724394623325E-2</v>
      </c>
      <c r="U6" s="24">
        <f t="shared" ca="1" si="2"/>
        <v>3.4909213375038231E-2</v>
      </c>
      <c r="V6" s="24">
        <f t="shared" ca="1" si="2"/>
        <v>3.5354303057575406E-2</v>
      </c>
      <c r="W6" s="24">
        <f t="shared" ca="1" si="2"/>
        <v>3.5716604895512989E-2</v>
      </c>
      <c r="X6" s="24">
        <f t="shared" ca="1" si="2"/>
        <v>3.6007940475116497E-2</v>
      </c>
      <c r="Y6" s="24">
        <f t="shared" ca="1" si="2"/>
        <v>3.625959777662463E-2</v>
      </c>
      <c r="Z6" s="24">
        <f t="shared" ca="1" si="2"/>
        <v>3.6487363311982622E-2</v>
      </c>
      <c r="AA6" s="24">
        <f t="shared" ca="1" si="2"/>
        <v>3.6693506803860458E-2</v>
      </c>
      <c r="AB6" s="24">
        <f t="shared" ca="1" si="2"/>
        <v>3.6883069219802375E-2</v>
      </c>
      <c r="AD6" s="12">
        <f ca="1">AVERAGE(K6:R6)</f>
        <v>2.8919486080387656E-2</v>
      </c>
      <c r="AE6" s="12">
        <f ca="1">AVERAGE(S6:AB6)</f>
        <v>3.5217907786383743E-2</v>
      </c>
      <c r="AF6" s="12"/>
    </row>
    <row r="7" spans="2:32" outlineLevel="1" x14ac:dyDescent="0.35">
      <c r="B7" t="s">
        <v>373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94">
        <f ca="1">+R187</f>
        <v>3.745350302157649E-2</v>
      </c>
      <c r="S7" s="94">
        <f t="shared" ref="S7:AB7" ca="1" si="3">+S187</f>
        <v>3.1425754553700933E-2</v>
      </c>
      <c r="T7" s="94">
        <f t="shared" ca="1" si="3"/>
        <v>3.2441724394623325E-2</v>
      </c>
      <c r="U7" s="94">
        <f t="shared" ca="1" si="3"/>
        <v>3.4909213375038231E-2</v>
      </c>
      <c r="V7" s="94">
        <f t="shared" ca="1" si="3"/>
        <v>3.5354303057575406E-2</v>
      </c>
      <c r="W7" s="94">
        <f t="shared" ca="1" si="3"/>
        <v>3.5716604895512989E-2</v>
      </c>
      <c r="X7" s="94">
        <f t="shared" ca="1" si="3"/>
        <v>3.6007940475116497E-2</v>
      </c>
      <c r="Y7" s="94">
        <f t="shared" ca="1" si="3"/>
        <v>3.625959777662463E-2</v>
      </c>
      <c r="Z7" s="94">
        <f t="shared" ca="1" si="3"/>
        <v>3.6487363311982622E-2</v>
      </c>
      <c r="AA7" s="94">
        <f t="shared" ca="1" si="3"/>
        <v>3.6693506803860458E-2</v>
      </c>
      <c r="AB7" s="94">
        <f t="shared" ca="1" si="3"/>
        <v>3.6883069219802375E-2</v>
      </c>
      <c r="AD7" s="12"/>
      <c r="AE7" s="12"/>
      <c r="AF7" s="12"/>
    </row>
    <row r="8" spans="2:32" outlineLevel="1" x14ac:dyDescent="0.35">
      <c r="B8" t="s">
        <v>374</v>
      </c>
      <c r="D8" s="12"/>
      <c r="E8" s="12"/>
      <c r="F8" s="12"/>
      <c r="G8" s="12"/>
      <c r="H8" s="12"/>
      <c r="I8" s="12"/>
      <c r="J8" s="12"/>
      <c r="K8" s="12"/>
      <c r="L8" s="105"/>
      <c r="M8" s="12"/>
      <c r="N8" s="12"/>
      <c r="O8" s="12"/>
      <c r="P8" s="12"/>
      <c r="Q8" s="12"/>
      <c r="R8" s="91"/>
      <c r="S8" s="92"/>
      <c r="T8" s="92"/>
      <c r="U8" s="92"/>
      <c r="V8" s="92"/>
      <c r="W8" s="92"/>
      <c r="X8" s="92"/>
      <c r="Y8" s="92"/>
      <c r="Z8" s="92"/>
      <c r="AA8" s="92"/>
      <c r="AB8" s="93"/>
      <c r="AD8" s="12"/>
      <c r="AE8" s="12"/>
      <c r="AF8" s="12"/>
    </row>
    <row r="9" spans="2:32" outlineLevel="1" x14ac:dyDescent="0.35"/>
    <row r="10" spans="2:32" outlineLevel="1" x14ac:dyDescent="0.35">
      <c r="B10" s="18" t="s">
        <v>295</v>
      </c>
      <c r="C10" s="19"/>
      <c r="D10" s="25"/>
      <c r="E10" s="25"/>
      <c r="F10" s="25">
        <f t="shared" ref="F10:AB10" si="4">+F203</f>
        <v>6.4403655462651433E-3</v>
      </c>
      <c r="G10" s="25">
        <f t="shared" si="4"/>
        <v>5.0928313563692621E-3</v>
      </c>
      <c r="H10" s="25">
        <f t="shared" si="4"/>
        <v>3.2178102053224827E-3</v>
      </c>
      <c r="I10" s="25">
        <f t="shared" si="4"/>
        <v>4.734606260313066E-3</v>
      </c>
      <c r="J10" s="25">
        <f t="shared" si="4"/>
        <v>5.3625996125347018E-3</v>
      </c>
      <c r="K10" s="25">
        <f t="shared" si="4"/>
        <v>5.7575585682681941E-3</v>
      </c>
      <c r="L10" s="25">
        <f t="shared" si="4"/>
        <v>6.9487820112429733E-3</v>
      </c>
      <c r="M10" s="25">
        <f t="shared" si="4"/>
        <v>8.3527334526974778E-3</v>
      </c>
      <c r="N10" s="25">
        <f t="shared" si="4"/>
        <v>7.4757039621231001E-3</v>
      </c>
      <c r="O10" s="25">
        <f t="shared" si="4"/>
        <v>7.5612902226164696E-3</v>
      </c>
      <c r="P10" s="25">
        <f t="shared" si="4"/>
        <v>6.1921261118878289E-3</v>
      </c>
      <c r="Q10" s="25">
        <f t="shared" si="4"/>
        <v>2.2342007126186659E-3</v>
      </c>
      <c r="R10" s="25">
        <f t="shared" si="4"/>
        <v>7.2514261746242734E-3</v>
      </c>
      <c r="S10" s="25">
        <f t="shared" si="4"/>
        <v>2.2013296504915125E-2</v>
      </c>
      <c r="T10" s="25">
        <f t="shared" si="4"/>
        <v>2.1084656608825608E-2</v>
      </c>
      <c r="U10" s="25">
        <f t="shared" si="4"/>
        <v>1.1889570834286172E-2</v>
      </c>
      <c r="V10" s="25">
        <f t="shared" si="4"/>
        <v>1.085964191169329E-2</v>
      </c>
      <c r="W10" s="25">
        <f t="shared" si="4"/>
        <v>1.0805941684368848E-2</v>
      </c>
      <c r="X10" s="25">
        <f t="shared" si="4"/>
        <v>1.0815517623856881E-2</v>
      </c>
      <c r="Y10" s="25">
        <f t="shared" si="4"/>
        <v>1.0811545983765788E-2</v>
      </c>
      <c r="Z10" s="25">
        <f t="shared" si="4"/>
        <v>1.0811189378516533E-2</v>
      </c>
      <c r="AA10" s="25">
        <f t="shared" si="4"/>
        <v>1.0765943189159008E-2</v>
      </c>
      <c r="AB10" s="25">
        <f t="shared" si="4"/>
        <v>1.072318666283514E-2</v>
      </c>
      <c r="AD10" s="12">
        <f>AVERAGE(K10:R10)</f>
        <v>6.4717276520098732E-3</v>
      </c>
      <c r="AE10" s="12">
        <f>AVERAGE(S10:AB10)</f>
        <v>1.3058049038222238E-2</v>
      </c>
      <c r="AF10" s="12"/>
    </row>
    <row r="11" spans="2:32" outlineLevel="1" x14ac:dyDescent="0.35">
      <c r="B11" t="s">
        <v>300</v>
      </c>
      <c r="C11" s="6"/>
      <c r="D11" s="12"/>
      <c r="E11" s="12"/>
      <c r="F11" s="12">
        <f t="shared" ref="F11:Q11" si="5">+F204</f>
        <v>0</v>
      </c>
      <c r="G11" s="12">
        <f t="shared" si="5"/>
        <v>4.5288175296471622E-3</v>
      </c>
      <c r="H11" s="12">
        <f t="shared" si="5"/>
        <v>-5.1740552175172816E-4</v>
      </c>
      <c r="I11" s="12">
        <f t="shared" si="5"/>
        <v>1.568609875519602E-3</v>
      </c>
      <c r="J11" s="12">
        <f t="shared" si="5"/>
        <v>8.2484620055218874E-4</v>
      </c>
      <c r="K11" s="12">
        <f t="shared" si="5"/>
        <v>6.8453886614981956E-4</v>
      </c>
      <c r="L11" s="12">
        <f t="shared" si="5"/>
        <v>1.2178740203924904E-4</v>
      </c>
      <c r="M11" s="12">
        <f t="shared" si="5"/>
        <v>4.4886522615308975E-4</v>
      </c>
      <c r="N11" s="12">
        <f t="shared" si="5"/>
        <v>3.1684263643056663E-4</v>
      </c>
      <c r="O11" s="12">
        <f t="shared" si="5"/>
        <v>8.0112836586639167E-4</v>
      </c>
      <c r="P11" s="12">
        <f t="shared" si="5"/>
        <v>1.2001478047915333E-3</v>
      </c>
      <c r="Q11" s="12">
        <f t="shared" si="5"/>
        <v>7.0103749902872845E-4</v>
      </c>
      <c r="R11" s="31">
        <v>2.5000000000000001E-3</v>
      </c>
      <c r="S11" s="31">
        <v>5.0000000000000001E-3</v>
      </c>
      <c r="T11" s="31">
        <v>5.0000000000000001E-3</v>
      </c>
      <c r="U11" s="31">
        <v>3.0000000000000001E-3</v>
      </c>
      <c r="V11" s="31">
        <f>+U11+0.0001</f>
        <v>3.0999999999999999E-3</v>
      </c>
      <c r="W11" s="31">
        <f>+V11+0.0001</f>
        <v>3.1999999999999997E-3</v>
      </c>
      <c r="X11" s="31">
        <f>+W11+0.0001</f>
        <v>3.2999999999999995E-3</v>
      </c>
      <c r="Y11" s="31">
        <f>+X11+0.0001</f>
        <v>3.3999999999999994E-3</v>
      </c>
      <c r="Z11" s="31">
        <f>+Y11+0.0001</f>
        <v>3.4999999999999992E-3</v>
      </c>
      <c r="AA11" s="31">
        <f>+Z11</f>
        <v>3.4999999999999992E-3</v>
      </c>
      <c r="AB11" s="31">
        <f>+AA11</f>
        <v>3.4999999999999992E-3</v>
      </c>
      <c r="AD11" s="12">
        <f>AVERAGE(K11:R11)</f>
        <v>8.4679347505742242E-4</v>
      </c>
      <c r="AE11" s="12">
        <f>AVERAGE(S11:AB11)</f>
        <v>3.6499999999999992E-3</v>
      </c>
      <c r="AF11" s="12"/>
    </row>
    <row r="12" spans="2:32" outlineLevel="1" x14ac:dyDescent="0.35">
      <c r="B12" t="s">
        <v>296</v>
      </c>
      <c r="C12" s="6"/>
      <c r="D12" s="12"/>
      <c r="E12" s="12"/>
      <c r="F12" s="12">
        <f t="shared" ref="F12:Q12" si="6">+F205</f>
        <v>1.2733260153677277E-2</v>
      </c>
      <c r="G12" s="12">
        <f t="shared" si="6"/>
        <v>5.5965758022194527E-3</v>
      </c>
      <c r="H12" s="12">
        <f t="shared" si="6"/>
        <v>6.2983255671053302E-3</v>
      </c>
      <c r="I12" s="12">
        <f t="shared" si="6"/>
        <v>7.3003305124759374E-3</v>
      </c>
      <c r="J12" s="12">
        <f t="shared" si="6"/>
        <v>8.8682768814111364E-3</v>
      </c>
      <c r="K12" s="12">
        <f t="shared" si="6"/>
        <v>9.5556080844331689E-3</v>
      </c>
      <c r="L12" s="12">
        <f t="shared" si="6"/>
        <v>1.2044392343252126E-2</v>
      </c>
      <c r="M12" s="12">
        <f t="shared" si="6"/>
        <v>1.4618163139196142E-2</v>
      </c>
      <c r="N12" s="12">
        <f t="shared" si="6"/>
        <v>1.3319163771782385E-2</v>
      </c>
      <c r="O12" s="12">
        <f t="shared" si="6"/>
        <v>1.2978044332350972E-2</v>
      </c>
      <c r="P12" s="12">
        <f t="shared" si="6"/>
        <v>9.7877649536527965E-3</v>
      </c>
      <c r="Q12" s="12">
        <f t="shared" si="6"/>
        <v>3.1703832566660497E-3</v>
      </c>
      <c r="R12" s="31">
        <v>0.01</v>
      </c>
      <c r="S12" s="39">
        <v>3.2500000000000001E-2</v>
      </c>
      <c r="T12" s="39">
        <f>+S12</f>
        <v>3.2500000000000001E-2</v>
      </c>
      <c r="U12" s="31">
        <v>1.9E-2</v>
      </c>
      <c r="V12" s="31">
        <v>1.7500000000000002E-2</v>
      </c>
      <c r="W12" s="31">
        <v>1.7500000000000002E-2</v>
      </c>
      <c r="X12" s="31">
        <v>1.7500000000000002E-2</v>
      </c>
      <c r="Y12" s="31">
        <v>1.7500000000000002E-2</v>
      </c>
      <c r="Z12" s="31">
        <v>1.7500000000000002E-2</v>
      </c>
      <c r="AA12" s="31">
        <v>1.7500000000000002E-2</v>
      </c>
      <c r="AB12" s="31">
        <v>1.7500000000000002E-2</v>
      </c>
      <c r="AD12" s="12">
        <f>AVERAGE(K12:R12)</f>
        <v>1.0684189985166704E-2</v>
      </c>
      <c r="AE12" s="12">
        <f>AVERAGE(S12:AB12)</f>
        <v>2.0650000000000009E-2</v>
      </c>
      <c r="AF12" s="12"/>
    </row>
    <row r="13" spans="2:32" outlineLevel="1" x14ac:dyDescent="0.35"/>
    <row r="14" spans="2:32" outlineLevel="1" x14ac:dyDescent="0.35">
      <c r="B14" s="18" t="s">
        <v>47</v>
      </c>
      <c r="C14" s="19">
        <f t="shared" ref="C14:AB14" si="7">+C261</f>
        <v>-2332</v>
      </c>
      <c r="D14" s="19">
        <f t="shared" si="7"/>
        <v>1868</v>
      </c>
      <c r="E14" s="19">
        <f t="shared" si="7"/>
        <v>-10298</v>
      </c>
      <c r="F14" s="19">
        <f t="shared" si="7"/>
        <v>1029</v>
      </c>
      <c r="G14" s="19">
        <f t="shared" si="7"/>
        <v>-157</v>
      </c>
      <c r="H14" s="19">
        <f t="shared" si="7"/>
        <v>1196</v>
      </c>
      <c r="I14" s="19">
        <f t="shared" si="7"/>
        <v>361</v>
      </c>
      <c r="J14" s="19">
        <f t="shared" si="7"/>
        <v>1150</v>
      </c>
      <c r="K14" s="19">
        <f t="shared" si="7"/>
        <v>1289</v>
      </c>
      <c r="L14" s="19">
        <f t="shared" si="7"/>
        <v>1067</v>
      </c>
      <c r="M14" s="19">
        <f t="shared" si="7"/>
        <v>929</v>
      </c>
      <c r="N14" s="19">
        <f t="shared" si="7"/>
        <v>1263</v>
      </c>
      <c r="O14" s="19">
        <f t="shared" si="7"/>
        <v>1715</v>
      </c>
      <c r="P14" s="19">
        <f t="shared" si="7"/>
        <v>1085</v>
      </c>
      <c r="Q14" s="19">
        <f t="shared" si="7"/>
        <v>3060</v>
      </c>
      <c r="R14" s="19">
        <f t="shared" ca="1" si="7"/>
        <v>1772.5278782011871</v>
      </c>
      <c r="S14" s="19">
        <f t="shared" ca="1" si="7"/>
        <v>378.8153887164342</v>
      </c>
      <c r="T14" s="19">
        <f t="shared" ca="1" si="7"/>
        <v>593.51046497383879</v>
      </c>
      <c r="U14" s="19">
        <f t="shared" ca="1" si="7"/>
        <v>1610.0544061027256</v>
      </c>
      <c r="V14" s="19">
        <f t="shared" ca="1" si="7"/>
        <v>1804.3389616595196</v>
      </c>
      <c r="W14" s="19">
        <f t="shared" ca="1" si="7"/>
        <v>1960.4115986627367</v>
      </c>
      <c r="X14" s="19">
        <f t="shared" ca="1" si="7"/>
        <v>2086.0378327770059</v>
      </c>
      <c r="Y14" s="19">
        <f t="shared" ca="1" si="7"/>
        <v>2185.1002998673061</v>
      </c>
      <c r="Z14" s="19">
        <f t="shared" ca="1" si="7"/>
        <v>2270.8561647936081</v>
      </c>
      <c r="AA14" s="19">
        <f t="shared" ca="1" si="7"/>
        <v>2351.1350606473165</v>
      </c>
      <c r="AB14" s="19">
        <f t="shared" ca="1" si="7"/>
        <v>2431.808845852026</v>
      </c>
    </row>
    <row r="15" spans="2:32" outlineLevel="1" x14ac:dyDescent="0.35">
      <c r="B15" s="2" t="s">
        <v>271</v>
      </c>
      <c r="C15" s="6">
        <f>+'Historical Detailed'!D307</f>
        <v>0</v>
      </c>
      <c r="D15" s="6">
        <f>+'Historical Detailed'!E307</f>
        <v>0</v>
      </c>
      <c r="E15" s="6">
        <f>+'Historical Detailed'!F307</f>
        <v>0</v>
      </c>
      <c r="F15" s="6">
        <f>+'Historical Detailed'!G307</f>
        <v>0</v>
      </c>
      <c r="G15" s="6">
        <f>+'Historical Detailed'!H307</f>
        <v>0</v>
      </c>
      <c r="H15" s="6">
        <f>+'Historical Detailed'!I307</f>
        <v>0</v>
      </c>
      <c r="I15" s="6">
        <f>+'Historical Detailed'!J307</f>
        <v>0</v>
      </c>
      <c r="J15" s="6">
        <f>+'Historical Detailed'!K307</f>
        <v>0</v>
      </c>
      <c r="K15" s="6">
        <f>+'Historical Detailed'!L307</f>
        <v>0</v>
      </c>
      <c r="L15" s="6">
        <f>+'Historical Detailed'!M307</f>
        <v>-108</v>
      </c>
      <c r="M15" s="6">
        <f>+'Historical Detailed'!N307</f>
        <v>-184</v>
      </c>
      <c r="N15" s="6">
        <f>+'Historical Detailed'!O307</f>
        <v>-242</v>
      </c>
      <c r="O15" s="6">
        <f>+'Historical Detailed'!P307</f>
        <v>-273</v>
      </c>
      <c r="P15" s="6">
        <f>+'Historical Detailed'!Q307</f>
        <v>-289</v>
      </c>
      <c r="Q15" s="6">
        <f>+'Historical Detailed'!R307</f>
        <v>-324</v>
      </c>
      <c r="R15" s="35">
        <f>-R28*R30</f>
        <v>-369.86400000000003</v>
      </c>
      <c r="S15" s="35">
        <f t="shared" ref="S15:AB15" ca="1" si="8">-S28*S30</f>
        <v>-376.11883155614231</v>
      </c>
      <c r="T15" s="35">
        <f t="shared" ca="1" si="8"/>
        <v>-382.2841520401571</v>
      </c>
      <c r="U15" s="35">
        <f t="shared" ca="1" si="8"/>
        <v>-398.11536881217427</v>
      </c>
      <c r="V15" s="35">
        <f t="shared" ca="1" si="8"/>
        <v>-407.53427217400434</v>
      </c>
      <c r="W15" s="35">
        <f t="shared" ca="1" si="8"/>
        <v>-409.69598443758565</v>
      </c>
      <c r="X15" s="35">
        <f t="shared" ca="1" si="8"/>
        <v>-407.08223906113682</v>
      </c>
      <c r="Y15" s="35">
        <f t="shared" ca="1" si="8"/>
        <v>-403.04599454869975</v>
      </c>
      <c r="Z15" s="35">
        <f t="shared" ca="1" si="8"/>
        <v>-397.39536764536098</v>
      </c>
      <c r="AA15" s="35">
        <f t="shared" ca="1" si="8"/>
        <v>-389.91973541394407</v>
      </c>
      <c r="AB15" s="35">
        <f t="shared" ca="1" si="8"/>
        <v>-380.38757243762257</v>
      </c>
    </row>
    <row r="16" spans="2:32" outlineLevel="1" x14ac:dyDescent="0.35">
      <c r="B16" s="2" t="s">
        <v>272</v>
      </c>
      <c r="C16" s="6">
        <f>+'Historical Detailed'!D308</f>
        <v>-179</v>
      </c>
      <c r="D16" s="6">
        <f>+'Historical Detailed'!E308</f>
        <v>-113</v>
      </c>
      <c r="E16" s="6">
        <f>+'Historical Detailed'!F308</f>
        <v>-1592</v>
      </c>
      <c r="F16" s="6">
        <f>+'Historical Detailed'!G308</f>
        <v>-1253</v>
      </c>
      <c r="G16" s="6">
        <f>+'Historical Detailed'!H308</f>
        <v>-819</v>
      </c>
      <c r="H16" s="6">
        <f>+'Historical Detailed'!I308</f>
        <v>-802</v>
      </c>
      <c r="I16" s="6">
        <f>+'Historical Detailed'!J308</f>
        <v>-810</v>
      </c>
      <c r="J16" s="6">
        <f>+'Historical Detailed'!K308</f>
        <v>-268</v>
      </c>
      <c r="K16" s="6">
        <f>+'Historical Detailed'!L308</f>
        <v>-2571</v>
      </c>
      <c r="L16" s="6">
        <f>+'Historical Detailed'!M308</f>
        <v>0</v>
      </c>
      <c r="M16" s="6">
        <f>+'Historical Detailed'!N308</f>
        <v>0</v>
      </c>
      <c r="N16" s="6">
        <f>+'Historical Detailed'!O308</f>
        <v>0</v>
      </c>
      <c r="O16" s="6">
        <f>+'Historical Detailed'!P308</f>
        <v>0</v>
      </c>
      <c r="P16" s="6">
        <f>+'Historical Detailed'!Q308</f>
        <v>0</v>
      </c>
      <c r="Q16" s="6">
        <f>+'Historical Detailed'!R308</f>
        <v>-57</v>
      </c>
      <c r="R16" s="5">
        <f t="shared" ref="R16:AB16" si="9">-0.047*R80</f>
        <v>-109.22799999999999</v>
      </c>
      <c r="S16" s="5">
        <f t="shared" si="9"/>
        <v>-109.22799999999999</v>
      </c>
      <c r="T16" s="5">
        <f t="shared" si="9"/>
        <v>-109.22799999999999</v>
      </c>
      <c r="U16" s="5">
        <f t="shared" si="9"/>
        <v>-109.22799999999999</v>
      </c>
      <c r="V16" s="5">
        <f t="shared" si="9"/>
        <v>-109.22799999999999</v>
      </c>
      <c r="W16" s="5">
        <f t="shared" si="9"/>
        <v>-109.22799999999999</v>
      </c>
      <c r="X16" s="5">
        <f t="shared" si="9"/>
        <v>-109.22799999999999</v>
      </c>
      <c r="Y16" s="5">
        <f t="shared" si="9"/>
        <v>-109.22799999999999</v>
      </c>
      <c r="Z16" s="5">
        <f t="shared" si="9"/>
        <v>-109.22799999999999</v>
      </c>
      <c r="AA16" s="5">
        <f t="shared" si="9"/>
        <v>-109.22799999999999</v>
      </c>
      <c r="AB16" s="5">
        <f t="shared" si="9"/>
        <v>-109.22799999999999</v>
      </c>
    </row>
    <row r="17" spans="2:43" outlineLevel="1" x14ac:dyDescent="0.35">
      <c r="B17" s="2" t="s">
        <v>273</v>
      </c>
      <c r="C17" s="6">
        <f>+'Historical Detailed'!D304</f>
        <v>0</v>
      </c>
      <c r="D17" s="6">
        <f>+'Historical Detailed'!E304</f>
        <v>0</v>
      </c>
      <c r="E17" s="6">
        <f>+'Historical Detailed'!F304</f>
        <v>1247</v>
      </c>
      <c r="F17" s="6">
        <f>+'Historical Detailed'!G304</f>
        <v>0</v>
      </c>
      <c r="G17" s="6">
        <f>+'Historical Detailed'!H304</f>
        <v>0</v>
      </c>
      <c r="H17" s="6">
        <f>+'Historical Detailed'!I304</f>
        <v>0</v>
      </c>
      <c r="I17" s="6">
        <f>+'Historical Detailed'!J304</f>
        <v>1270</v>
      </c>
      <c r="J17" s="6">
        <f>+'Historical Detailed'!K304</f>
        <v>0</v>
      </c>
      <c r="K17" s="6">
        <f>+'Historical Detailed'!L304</f>
        <v>-16</v>
      </c>
      <c r="L17" s="6">
        <f>+'Historical Detailed'!M304</f>
        <v>-341</v>
      </c>
      <c r="M17" s="6">
        <f>+'Historical Detailed'!N304</f>
        <v>-753</v>
      </c>
      <c r="N17" s="6">
        <f>+'Historical Detailed'!O304</f>
        <v>-939</v>
      </c>
      <c r="O17" s="6">
        <f>+'Historical Detailed'!P304</f>
        <v>-1039</v>
      </c>
      <c r="P17" s="6">
        <f>+'Historical Detailed'!Q304</f>
        <v>-106</v>
      </c>
      <c r="Q17" s="6">
        <f>+'Historical Detailed'!R304</f>
        <v>-1994</v>
      </c>
      <c r="R17" s="5">
        <f>-1599-50</f>
        <v>-1649</v>
      </c>
      <c r="S17" s="5">
        <v>0</v>
      </c>
      <c r="T17" s="5">
        <v>0</v>
      </c>
      <c r="U17" s="5">
        <v>-100</v>
      </c>
      <c r="V17" s="5">
        <v>-500</v>
      </c>
      <c r="W17" s="5">
        <v>-950</v>
      </c>
      <c r="X17" s="5">
        <v>-1250</v>
      </c>
      <c r="Y17" s="5">
        <f t="shared" ref="Y17:AB17" si="10">+X17*1.075</f>
        <v>-1343.75</v>
      </c>
      <c r="Z17" s="5">
        <f t="shared" si="10"/>
        <v>-1444.53125</v>
      </c>
      <c r="AA17" s="5">
        <f t="shared" si="10"/>
        <v>-1552.87109375</v>
      </c>
      <c r="AB17" s="5">
        <f t="shared" si="10"/>
        <v>-1669.33642578125</v>
      </c>
    </row>
    <row r="18" spans="2:43" outlineLevel="1" x14ac:dyDescent="0.35">
      <c r="B18" s="2" t="s">
        <v>274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100</v>
      </c>
      <c r="O18" s="5">
        <v>93</v>
      </c>
      <c r="P18" s="5">
        <v>106</v>
      </c>
      <c r="Q18" s="5">
        <v>127</v>
      </c>
      <c r="R18" s="5">
        <v>130</v>
      </c>
      <c r="S18" s="5">
        <v>130</v>
      </c>
      <c r="T18" s="5">
        <v>130</v>
      </c>
      <c r="U18" s="5">
        <v>130</v>
      </c>
      <c r="V18" s="5">
        <v>130</v>
      </c>
      <c r="W18" s="5">
        <v>130</v>
      </c>
      <c r="X18" s="5">
        <v>130</v>
      </c>
      <c r="Y18" s="5">
        <v>130</v>
      </c>
      <c r="Z18" s="5">
        <v>130</v>
      </c>
      <c r="AA18" s="5">
        <v>130</v>
      </c>
      <c r="AB18" s="5">
        <v>130</v>
      </c>
    </row>
    <row r="19" spans="2:43" outlineLevel="1" x14ac:dyDescent="0.35">
      <c r="B19" s="2" t="s">
        <v>275</v>
      </c>
      <c r="C19" s="6"/>
      <c r="D19" s="6">
        <f>+'Historical Detailed'!E344-'Historical Detailed'!D344</f>
        <v>-1341</v>
      </c>
      <c r="E19" s="6">
        <f>+'Historical Detailed'!F344-'Historical Detailed'!E344</f>
        <v>849</v>
      </c>
      <c r="F19" s="6">
        <f>+'Historical Detailed'!G344-'Historical Detailed'!F344</f>
        <v>-201</v>
      </c>
      <c r="G19" s="6">
        <f>+'Historical Detailed'!H344-'Historical Detailed'!G344</f>
        <v>-172</v>
      </c>
      <c r="H19" s="6">
        <f>+'Historical Detailed'!I344-'Historical Detailed'!H344</f>
        <v>224</v>
      </c>
      <c r="I19" s="6">
        <f>+'Historical Detailed'!J344-'Historical Detailed'!I344</f>
        <v>-587</v>
      </c>
      <c r="J19" s="6">
        <f>+'Historical Detailed'!K344-'Historical Detailed'!J344</f>
        <v>210</v>
      </c>
      <c r="K19" s="6">
        <f>+'Historical Detailed'!L344-'Historical Detailed'!K344</f>
        <v>-165</v>
      </c>
      <c r="L19" s="6">
        <f>+'Historical Detailed'!M344-'Historical Detailed'!L344</f>
        <v>-110</v>
      </c>
      <c r="M19" s="6">
        <f>+'Historical Detailed'!N344-'Historical Detailed'!M344</f>
        <v>106</v>
      </c>
      <c r="N19" s="6">
        <f>+'Historical Detailed'!O344-'Historical Detailed'!N344</f>
        <v>-304</v>
      </c>
      <c r="O19" s="6">
        <f>+'Historical Detailed'!P344-'Historical Detailed'!O344</f>
        <v>662</v>
      </c>
      <c r="P19" s="6">
        <f>+'Historical Detailed'!Q344-'Historical Detailed'!P344</f>
        <v>508</v>
      </c>
      <c r="Q19" s="6">
        <f>+'Historical Detailed'!R344-'Historical Detailed'!Q344</f>
        <v>-789</v>
      </c>
      <c r="R19" s="5">
        <v>-4182</v>
      </c>
      <c r="S19" s="5">
        <f>+-$R$19/10</f>
        <v>418.2</v>
      </c>
      <c r="T19" s="5">
        <f t="shared" ref="T19:AB19" si="11">+-$R$19/10</f>
        <v>418.2</v>
      </c>
      <c r="U19" s="5">
        <f t="shared" si="11"/>
        <v>418.2</v>
      </c>
      <c r="V19" s="5">
        <f t="shared" si="11"/>
        <v>418.2</v>
      </c>
      <c r="W19" s="5">
        <f t="shared" si="11"/>
        <v>418.2</v>
      </c>
      <c r="X19" s="5">
        <f t="shared" si="11"/>
        <v>418.2</v>
      </c>
      <c r="Y19" s="5">
        <f t="shared" si="11"/>
        <v>418.2</v>
      </c>
      <c r="Z19" s="5">
        <f t="shared" si="11"/>
        <v>418.2</v>
      </c>
      <c r="AA19" s="5">
        <f t="shared" si="11"/>
        <v>418.2</v>
      </c>
      <c r="AB19" s="5">
        <f t="shared" si="11"/>
        <v>418.2</v>
      </c>
    </row>
    <row r="20" spans="2:43" outlineLevel="1" x14ac:dyDescent="0.35">
      <c r="B20" s="2" t="s">
        <v>190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-1183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</row>
    <row r="21" spans="2:43" outlineLevel="1" x14ac:dyDescent="0.35">
      <c r="B21" s="2" t="s">
        <v>12</v>
      </c>
      <c r="D21" s="6">
        <f t="shared" ref="D21:P21" si="12">+D22-SUM(D14:D20)</f>
        <v>640</v>
      </c>
      <c r="E21" s="6">
        <f t="shared" si="12"/>
        <v>2886</v>
      </c>
      <c r="F21" s="6">
        <f t="shared" si="12"/>
        <v>5283</v>
      </c>
      <c r="G21" s="6">
        <f t="shared" si="12"/>
        <v>-29</v>
      </c>
      <c r="H21" s="6">
        <f t="shared" si="12"/>
        <v>0</v>
      </c>
      <c r="I21" s="6">
        <f t="shared" si="12"/>
        <v>-239</v>
      </c>
      <c r="J21" s="6">
        <f t="shared" si="12"/>
        <v>99</v>
      </c>
      <c r="K21" s="6">
        <f t="shared" si="12"/>
        <v>62</v>
      </c>
      <c r="L21" s="6">
        <f t="shared" si="12"/>
        <v>66</v>
      </c>
      <c r="M21" s="6">
        <f t="shared" si="12"/>
        <v>79</v>
      </c>
      <c r="N21" s="6">
        <f t="shared" si="12"/>
        <v>-104</v>
      </c>
      <c r="O21" s="6">
        <f t="shared" si="12"/>
        <v>-10</v>
      </c>
      <c r="P21" s="6">
        <f t="shared" si="12"/>
        <v>166</v>
      </c>
      <c r="Q21" s="6">
        <f>+Q22-SUM(Q14:Q20)</f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E21" s="50"/>
      <c r="AF21" s="50"/>
      <c r="AG21" s="50"/>
    </row>
    <row r="22" spans="2:43" outlineLevel="1" x14ac:dyDescent="0.35">
      <c r="B22" s="3" t="s">
        <v>276</v>
      </c>
      <c r="C22" s="4"/>
      <c r="D22" s="4">
        <f t="shared" ref="D22:Q22" si="13">+D81-C81</f>
        <v>1054</v>
      </c>
      <c r="E22" s="4">
        <f t="shared" si="13"/>
        <v>-6908</v>
      </c>
      <c r="F22" s="4">
        <f t="shared" si="13"/>
        <v>4858</v>
      </c>
      <c r="G22" s="4">
        <f t="shared" si="13"/>
        <v>-1177</v>
      </c>
      <c r="H22" s="4">
        <f t="shared" si="13"/>
        <v>618</v>
      </c>
      <c r="I22" s="4">
        <f t="shared" si="13"/>
        <v>-5</v>
      </c>
      <c r="J22" s="4">
        <f t="shared" si="13"/>
        <v>1191</v>
      </c>
      <c r="K22" s="4">
        <f t="shared" si="13"/>
        <v>-1401</v>
      </c>
      <c r="L22" s="4">
        <f t="shared" si="13"/>
        <v>574</v>
      </c>
      <c r="M22" s="4">
        <f t="shared" si="13"/>
        <v>177</v>
      </c>
      <c r="N22" s="4">
        <f t="shared" si="13"/>
        <v>-226</v>
      </c>
      <c r="O22" s="4">
        <f t="shared" si="13"/>
        <v>1148</v>
      </c>
      <c r="P22" s="4">
        <f t="shared" si="13"/>
        <v>287</v>
      </c>
      <c r="Q22" s="4">
        <f t="shared" si="13"/>
        <v>23</v>
      </c>
      <c r="R22" s="38">
        <f ca="1">SUM(R14:R21)</f>
        <v>-4407.5641217988132</v>
      </c>
      <c r="S22" s="38">
        <f t="shared" ref="S22:AB22" ca="1" si="14">SUM(S14:S21)</f>
        <v>441.66855716029187</v>
      </c>
      <c r="T22" s="38">
        <f ca="1">SUM(T14:T21)</f>
        <v>650.19831293368168</v>
      </c>
      <c r="U22" s="38">
        <f ca="1">SUM(U14:U21)</f>
        <v>1550.9110372905513</v>
      </c>
      <c r="V22" s="38">
        <f t="shared" ca="1" si="14"/>
        <v>1335.7766894855151</v>
      </c>
      <c r="W22" s="38">
        <f t="shared" ca="1" si="14"/>
        <v>1039.687614225151</v>
      </c>
      <c r="X22" s="38">
        <f t="shared" ca="1" si="14"/>
        <v>867.92759371586908</v>
      </c>
      <c r="Y22" s="38">
        <f t="shared" ca="1" si="14"/>
        <v>877.27630531860632</v>
      </c>
      <c r="Z22" s="38">
        <f t="shared" ca="1" si="14"/>
        <v>867.90154714824712</v>
      </c>
      <c r="AA22" s="38">
        <f t="shared" ca="1" si="14"/>
        <v>847.31623148337235</v>
      </c>
      <c r="AB22" s="38">
        <f t="shared" ca="1" si="14"/>
        <v>821.05684763315344</v>
      </c>
      <c r="AH22" s="50"/>
    </row>
    <row r="23" spans="2:43" outlineLevel="1" x14ac:dyDescent="0.35">
      <c r="B23" t="s">
        <v>284</v>
      </c>
      <c r="D23" s="6">
        <f t="shared" ref="D23:AB23" si="15">D81</f>
        <v>15567</v>
      </c>
      <c r="E23" s="6">
        <f t="shared" si="15"/>
        <v>8659</v>
      </c>
      <c r="F23" s="6">
        <f t="shared" si="15"/>
        <v>13517</v>
      </c>
      <c r="G23" s="6">
        <f t="shared" si="15"/>
        <v>12340</v>
      </c>
      <c r="H23" s="6">
        <f t="shared" si="15"/>
        <v>12958</v>
      </c>
      <c r="I23" s="6">
        <f t="shared" si="15"/>
        <v>12953</v>
      </c>
      <c r="J23" s="6">
        <f t="shared" si="15"/>
        <v>14144</v>
      </c>
      <c r="K23" s="6">
        <f t="shared" si="15"/>
        <v>12743</v>
      </c>
      <c r="L23" s="6">
        <f t="shared" si="15"/>
        <v>13317</v>
      </c>
      <c r="M23" s="6">
        <f t="shared" si="15"/>
        <v>13494</v>
      </c>
      <c r="N23" s="6">
        <f t="shared" si="15"/>
        <v>13268</v>
      </c>
      <c r="O23" s="6">
        <f t="shared" si="15"/>
        <v>14416</v>
      </c>
      <c r="P23" s="6">
        <f t="shared" si="15"/>
        <v>14703</v>
      </c>
      <c r="Q23" s="6">
        <f t="shared" si="15"/>
        <v>14726</v>
      </c>
      <c r="R23" s="6">
        <f t="shared" ca="1" si="15"/>
        <v>10318.435878201188</v>
      </c>
      <c r="S23" s="6">
        <f t="shared" ca="1" si="15"/>
        <v>10760.10443536148</v>
      </c>
      <c r="T23" s="6">
        <f t="shared" ca="1" si="15"/>
        <v>11410.302748295162</v>
      </c>
      <c r="U23" s="6">
        <f t="shared" ca="1" si="15"/>
        <v>12961.213785585713</v>
      </c>
      <c r="V23" s="6">
        <f t="shared" ca="1" si="15"/>
        <v>14296.990475071229</v>
      </c>
      <c r="W23" s="6">
        <f t="shared" ca="1" si="15"/>
        <v>15336.67808929638</v>
      </c>
      <c r="X23" s="6">
        <f t="shared" ca="1" si="15"/>
        <v>16204.605683012249</v>
      </c>
      <c r="Y23" s="6">
        <f t="shared" ca="1" si="15"/>
        <v>17081.881988330853</v>
      </c>
      <c r="Z23" s="6">
        <f t="shared" ca="1" si="15"/>
        <v>17949.783535479102</v>
      </c>
      <c r="AA23" s="6">
        <f t="shared" ca="1" si="15"/>
        <v>18797.099766962474</v>
      </c>
      <c r="AB23" s="6">
        <f t="shared" ca="1" si="15"/>
        <v>19618.156614595628</v>
      </c>
      <c r="AI23" s="50"/>
      <c r="AJ23" s="50"/>
      <c r="AK23" s="50"/>
      <c r="AL23" s="50"/>
      <c r="AM23" s="50"/>
      <c r="AO23" s="50"/>
      <c r="AP23" s="50"/>
      <c r="AQ23" s="50"/>
    </row>
    <row r="24" spans="2:43" outlineLevel="1" x14ac:dyDescent="0.35">
      <c r="B24" t="s">
        <v>191</v>
      </c>
      <c r="D24" s="6">
        <f t="shared" ref="D24:AB24" si="16">+D110</f>
        <v>13810</v>
      </c>
      <c r="E24" s="6">
        <f t="shared" si="16"/>
        <v>7678</v>
      </c>
      <c r="F24" s="6">
        <f t="shared" si="16"/>
        <v>12676</v>
      </c>
      <c r="G24" s="6">
        <f t="shared" si="16"/>
        <v>11585</v>
      </c>
      <c r="H24" s="6">
        <f t="shared" si="16"/>
        <v>10749</v>
      </c>
      <c r="I24" s="6">
        <f t="shared" si="16"/>
        <v>11366</v>
      </c>
      <c r="J24" s="6">
        <f t="shared" si="16"/>
        <v>12588</v>
      </c>
      <c r="K24" s="6">
        <f t="shared" si="16"/>
        <v>11919</v>
      </c>
      <c r="L24" s="6">
        <f t="shared" si="16"/>
        <v>12978</v>
      </c>
      <c r="M24" s="6">
        <f t="shared" si="16"/>
        <v>13237</v>
      </c>
      <c r="N24" s="6">
        <f t="shared" si="16"/>
        <v>13397</v>
      </c>
      <c r="O24" s="6">
        <f t="shared" si="16"/>
        <v>13837</v>
      </c>
      <c r="P24" s="6">
        <f t="shared" si="16"/>
        <v>14878</v>
      </c>
      <c r="Q24" s="6">
        <f t="shared" si="16"/>
        <v>15143</v>
      </c>
      <c r="R24" s="6">
        <f t="shared" ca="1" si="16"/>
        <v>14621.435878201188</v>
      </c>
      <c r="S24" s="6">
        <f t="shared" ca="1" si="16"/>
        <v>14349.154435361481</v>
      </c>
      <c r="T24" s="6">
        <f t="shared" ca="1" si="16"/>
        <v>14285.402748295162</v>
      </c>
      <c r="U24" s="6">
        <f t="shared" ca="1" si="16"/>
        <v>15122.363785585712</v>
      </c>
      <c r="V24" s="6">
        <f t="shared" ca="1" si="16"/>
        <v>16040.190475071231</v>
      </c>
      <c r="W24" s="6">
        <f t="shared" ca="1" si="16"/>
        <v>16661.67808929638</v>
      </c>
      <c r="X24" s="6">
        <f t="shared" ca="1" si="16"/>
        <v>17111.405683012246</v>
      </c>
      <c r="Y24" s="6">
        <f t="shared" ca="1" si="16"/>
        <v>17570.481988330856</v>
      </c>
      <c r="Z24" s="6">
        <f t="shared" ca="1" si="16"/>
        <v>18020.183535479104</v>
      </c>
      <c r="AA24" s="6">
        <f t="shared" ca="1" si="16"/>
        <v>18449.299766962475</v>
      </c>
      <c r="AB24" s="6">
        <f t="shared" ca="1" si="16"/>
        <v>18852.156614595628</v>
      </c>
    </row>
    <row r="25" spans="2:43" outlineLevel="1" x14ac:dyDescent="0.35">
      <c r="B25" s="18" t="s">
        <v>264</v>
      </c>
      <c r="C25" s="18"/>
      <c r="D25" s="25">
        <f t="shared" ref="D25:AB25" si="17">+D137</f>
        <v>5.0569308850262361E-2</v>
      </c>
      <c r="E25" s="25">
        <f t="shared" si="17"/>
        <v>3.2759918227972085E-2</v>
      </c>
      <c r="F25" s="25">
        <f t="shared" si="17"/>
        <v>7.0998097061986079E-2</v>
      </c>
      <c r="G25" s="25">
        <f t="shared" si="17"/>
        <v>6.2211227456417537E-2</v>
      </c>
      <c r="H25" s="25">
        <f t="shared" si="17"/>
        <v>7.6745910253398608E-2</v>
      </c>
      <c r="I25" s="25">
        <f t="shared" si="17"/>
        <v>8.9955667852173946E-2</v>
      </c>
      <c r="J25" s="25">
        <f t="shared" si="17"/>
        <v>9.3721382144691875E-2</v>
      </c>
      <c r="K25" s="25">
        <f t="shared" si="17"/>
        <v>8.741217712718366E-2</v>
      </c>
      <c r="L25" s="25">
        <f t="shared" si="17"/>
        <v>9.3677592591255895E-2</v>
      </c>
      <c r="M25" s="25">
        <f t="shared" si="17"/>
        <v>9.52761402978414E-2</v>
      </c>
      <c r="N25" s="25">
        <f t="shared" si="17"/>
        <v>9.1409037875014504E-2</v>
      </c>
      <c r="O25" s="25">
        <f t="shared" si="17"/>
        <v>9.5380224991728241E-2</v>
      </c>
      <c r="P25" s="25">
        <f t="shared" si="17"/>
        <v>0.10643335932525914</v>
      </c>
      <c r="Q25" s="25">
        <f t="shared" si="17"/>
        <v>0.10343649888318909</v>
      </c>
      <c r="R25" s="25">
        <f t="shared" ca="1" si="17"/>
        <v>9.4103535413975758E-2</v>
      </c>
      <c r="S25" s="25">
        <f t="shared" ca="1" si="17"/>
        <v>9.2349663569857285E-2</v>
      </c>
      <c r="T25" s="25">
        <f t="shared" ca="1" si="17"/>
        <v>8.8912056743548809E-2</v>
      </c>
      <c r="U25" s="25">
        <f t="shared" ca="1" si="17"/>
        <v>8.8980671398962652E-2</v>
      </c>
      <c r="V25" s="25">
        <f t="shared" ca="1" si="17"/>
        <v>8.9737543885714824E-2</v>
      </c>
      <c r="W25" s="25">
        <f t="shared" ca="1" si="17"/>
        <v>9.0104449735407835E-2</v>
      </c>
      <c r="X25" s="25">
        <f t="shared" ca="1" si="17"/>
        <v>9.0032905594260845E-2</v>
      </c>
      <c r="Y25" s="25">
        <f t="shared" ca="1" si="17"/>
        <v>8.9973330081766598E-2</v>
      </c>
      <c r="Z25" s="25">
        <f t="shared" ca="1" si="17"/>
        <v>9.0141829147363767E-2</v>
      </c>
      <c r="AA25" s="25">
        <f t="shared" ca="1" si="17"/>
        <v>9.0188293808415379E-2</v>
      </c>
      <c r="AB25" s="25">
        <f t="shared" ca="1" si="17"/>
        <v>9.0053663819274779E-2</v>
      </c>
    </row>
    <row r="26" spans="2:43" outlineLevel="1" x14ac:dyDescent="0.35">
      <c r="B26" t="s">
        <v>287</v>
      </c>
      <c r="D26" s="12">
        <f t="shared" ref="D26:AB26" si="18">+D$14/AVERAGE(C23:D23)</f>
        <v>0.11999743046187447</v>
      </c>
      <c r="E26" s="12">
        <f t="shared" si="18"/>
        <v>-0.85016098406670515</v>
      </c>
      <c r="F26" s="12">
        <f t="shared" si="18"/>
        <v>9.2803030303030304E-2</v>
      </c>
      <c r="G26" s="12">
        <f t="shared" si="18"/>
        <v>-1.2143713501179565E-2</v>
      </c>
      <c r="H26" s="12">
        <f t="shared" si="18"/>
        <v>9.4552929085303189E-2</v>
      </c>
      <c r="I26" s="12">
        <f t="shared" si="18"/>
        <v>2.786461348462043E-2</v>
      </c>
      <c r="J26" s="12">
        <f t="shared" si="18"/>
        <v>8.4880245045577007E-2</v>
      </c>
      <c r="K26" s="12">
        <f t="shared" si="18"/>
        <v>9.5882768624242193E-2</v>
      </c>
      <c r="L26" s="12">
        <f t="shared" si="18"/>
        <v>8.1887950882578664E-2</v>
      </c>
      <c r="M26" s="12">
        <f t="shared" si="18"/>
        <v>6.9299914214315014E-2</v>
      </c>
      <c r="N26" s="12">
        <f t="shared" si="18"/>
        <v>9.4387564457065989E-2</v>
      </c>
      <c r="O26" s="12">
        <f t="shared" si="18"/>
        <v>0.12389828059528969</v>
      </c>
      <c r="P26" s="12">
        <f t="shared" si="18"/>
        <v>7.4521789896631066E-2</v>
      </c>
      <c r="Q26" s="12">
        <f t="shared" si="18"/>
        <v>0.20795813653199224</v>
      </c>
      <c r="R26" s="12">
        <f t="shared" ca="1" si="18"/>
        <v>0.14155063318826877</v>
      </c>
      <c r="S26" s="12">
        <f t="shared" ca="1" si="18"/>
        <v>3.5943227859349551E-2</v>
      </c>
      <c r="T26" s="12">
        <f t="shared" ca="1" si="18"/>
        <v>5.3540781642599407E-2</v>
      </c>
      <c r="U26" s="12">
        <f t="shared" ca="1" si="18"/>
        <v>0.13212591049592298</v>
      </c>
      <c r="V26" s="12">
        <f t="shared" ca="1" si="18"/>
        <v>0.13238868888100655</v>
      </c>
      <c r="W26" s="12">
        <f t="shared" ca="1" si="18"/>
        <v>0.13230974723257807</v>
      </c>
      <c r="X26" s="12">
        <f t="shared" ca="1" si="18"/>
        <v>0.13227348942647815</v>
      </c>
      <c r="Y26" s="12">
        <f t="shared" ca="1" si="18"/>
        <v>0.13129052974540753</v>
      </c>
      <c r="Z26" s="12">
        <f t="shared" ca="1" si="18"/>
        <v>0.12964591496514355</v>
      </c>
      <c r="AA26" s="12">
        <f t="shared" ca="1" si="18"/>
        <v>0.12796378083531779</v>
      </c>
      <c r="AB26" s="12">
        <f t="shared" ca="1" si="18"/>
        <v>0.12660640979188972</v>
      </c>
    </row>
    <row r="27" spans="2:43" outlineLevel="1" x14ac:dyDescent="0.35"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2:43" outlineLevel="1" x14ac:dyDescent="0.35">
      <c r="B28" t="s">
        <v>277</v>
      </c>
      <c r="I28" s="63">
        <v>0</v>
      </c>
      <c r="J28" s="63">
        <v>0</v>
      </c>
      <c r="K28" s="63">
        <v>0</v>
      </c>
      <c r="L28" s="63">
        <v>0.16</v>
      </c>
      <c r="M28" s="63">
        <v>0.4</v>
      </c>
      <c r="N28" s="63">
        <v>0.56000000000000005</v>
      </c>
      <c r="O28" s="63">
        <v>0.68</v>
      </c>
      <c r="P28" s="63">
        <v>0.76</v>
      </c>
      <c r="Q28" s="63">
        <v>0.88</v>
      </c>
      <c r="R28" s="63">
        <f>0.3*4</f>
        <v>1.2</v>
      </c>
      <c r="S28" s="65">
        <f>R28*(1+S29)</f>
        <v>1.212</v>
      </c>
      <c r="T28" s="65">
        <f t="shared" ref="T28:AB28" si="19">S28*(1+T29)</f>
        <v>1.2241199999999999</v>
      </c>
      <c r="U28" s="65">
        <f t="shared" si="19"/>
        <v>1.2730847999999999</v>
      </c>
      <c r="V28" s="65">
        <f t="shared" si="19"/>
        <v>1.324008192</v>
      </c>
      <c r="W28" s="65">
        <f t="shared" si="19"/>
        <v>1.3769685196800001</v>
      </c>
      <c r="X28" s="65">
        <f t="shared" si="19"/>
        <v>1.4320472604672001</v>
      </c>
      <c r="Y28" s="65">
        <f t="shared" si="19"/>
        <v>1.4893291508858881</v>
      </c>
      <c r="Z28" s="65">
        <f t="shared" si="19"/>
        <v>1.5489023169213236</v>
      </c>
      <c r="AA28" s="65">
        <f t="shared" si="19"/>
        <v>1.6108584095981766</v>
      </c>
      <c r="AB28" s="65">
        <f t="shared" si="19"/>
        <v>1.6752927459821036</v>
      </c>
      <c r="AD28" s="12"/>
      <c r="AE28" s="12"/>
      <c r="AF28" s="12"/>
    </row>
    <row r="29" spans="2:43" outlineLevel="1" x14ac:dyDescent="0.35">
      <c r="B29" t="s">
        <v>280</v>
      </c>
      <c r="I29" s="64" t="str">
        <f t="shared" ref="I29:Q29" si="20">IFERROR(I28/H28-1,"na")</f>
        <v>na</v>
      </c>
      <c r="J29" s="64" t="str">
        <f t="shared" si="20"/>
        <v>na</v>
      </c>
      <c r="K29" s="64" t="str">
        <f t="shared" si="20"/>
        <v>na</v>
      </c>
      <c r="L29" s="64" t="str">
        <f t="shared" si="20"/>
        <v>na</v>
      </c>
      <c r="M29" s="64">
        <f t="shared" si="20"/>
        <v>1.5</v>
      </c>
      <c r="N29" s="64">
        <f t="shared" si="20"/>
        <v>0.40000000000000013</v>
      </c>
      <c r="O29" s="64">
        <f t="shared" si="20"/>
        <v>0.21428571428571419</v>
      </c>
      <c r="P29" s="64">
        <f t="shared" si="20"/>
        <v>0.11764705882352944</v>
      </c>
      <c r="Q29" s="64">
        <f t="shared" si="20"/>
        <v>0.15789473684210531</v>
      </c>
      <c r="R29" s="64">
        <f>IFERROR(R28/Q28-1,"na")</f>
        <v>0.36363636363636354</v>
      </c>
      <c r="S29" s="30">
        <v>0.01</v>
      </c>
      <c r="T29" s="30">
        <v>0.01</v>
      </c>
      <c r="U29" s="30">
        <v>0.04</v>
      </c>
      <c r="V29" s="30">
        <v>0.04</v>
      </c>
      <c r="W29" s="30">
        <v>0.04</v>
      </c>
      <c r="X29" s="30">
        <v>0.04</v>
      </c>
      <c r="Y29" s="30">
        <v>0.04</v>
      </c>
      <c r="Z29" s="30">
        <v>0.04</v>
      </c>
      <c r="AA29" s="30">
        <v>0.04</v>
      </c>
      <c r="AB29" s="30">
        <v>0.04</v>
      </c>
    </row>
    <row r="30" spans="2:43" outlineLevel="1" x14ac:dyDescent="0.35">
      <c r="B30" t="s">
        <v>278</v>
      </c>
      <c r="I30" s="5">
        <v>420.166</v>
      </c>
      <c r="J30" s="5">
        <v>481.15499999999997</v>
      </c>
      <c r="K30" s="5">
        <v>482.87299999999999</v>
      </c>
      <c r="L30" s="5">
        <v>481.10500000000002</v>
      </c>
      <c r="M30" s="5">
        <v>453.70400000000001</v>
      </c>
      <c r="N30" s="5">
        <v>425.16500000000002</v>
      </c>
      <c r="O30" s="5">
        <v>393.23399999999998</v>
      </c>
      <c r="P30" s="5">
        <v>375.62900000000002</v>
      </c>
      <c r="Q30" s="5">
        <v>362.58300000000003</v>
      </c>
      <c r="R30" s="5">
        <v>308.22000000000003</v>
      </c>
      <c r="S30" s="6">
        <f t="shared" ref="S30:AB30" ca="1" si="21">+R30-S$34</f>
        <v>310.32906894071147</v>
      </c>
      <c r="T30" s="6">
        <f t="shared" ca="1" si="21"/>
        <v>312.29303666320061</v>
      </c>
      <c r="U30" s="6">
        <f t="shared" ca="1" si="21"/>
        <v>312.71708594130911</v>
      </c>
      <c r="V30" s="6">
        <f t="shared" ca="1" si="21"/>
        <v>307.80343704550461</v>
      </c>
      <c r="W30" s="6">
        <f t="shared" ca="1" si="21"/>
        <v>297.5347501283448</v>
      </c>
      <c r="X30" s="6">
        <f t="shared" ca="1" si="21"/>
        <v>284.2659249446333</v>
      </c>
      <c r="Y30" s="6">
        <f t="shared" ca="1" si="21"/>
        <v>270.62251102045406</v>
      </c>
      <c r="Z30" s="6">
        <f t="shared" ca="1" si="21"/>
        <v>256.56580360422214</v>
      </c>
      <c r="AA30" s="6">
        <f t="shared" ca="1" si="21"/>
        <v>242.05711258707603</v>
      </c>
      <c r="AB30" s="6">
        <f t="shared" ca="1" si="21"/>
        <v>227.05737450956889</v>
      </c>
      <c r="AD30" s="12">
        <f>(R30/K30)^(1/7)-1</f>
        <v>-6.2120934651185622E-2</v>
      </c>
      <c r="AE30" s="12">
        <f ca="1">(AB30/R30)^(1/10)-1</f>
        <v>-3.0098838174730136E-2</v>
      </c>
      <c r="AF30" s="12"/>
    </row>
    <row r="31" spans="2:43" outlineLevel="1" x14ac:dyDescent="0.35">
      <c r="B31" t="s">
        <v>279</v>
      </c>
      <c r="I31" s="5">
        <v>420.166</v>
      </c>
      <c r="J31" s="5">
        <v>481.834</v>
      </c>
      <c r="K31" s="5">
        <v>482.87299999999999</v>
      </c>
      <c r="L31" s="5">
        <v>482.18200000000002</v>
      </c>
      <c r="M31" s="5">
        <v>455.35</v>
      </c>
      <c r="N31" s="5">
        <v>427.68</v>
      </c>
      <c r="O31" s="5">
        <v>395.39499999999998</v>
      </c>
      <c r="P31" s="5">
        <v>377.101</v>
      </c>
      <c r="Q31" s="5">
        <v>365.18</v>
      </c>
      <c r="R31" s="5">
        <v>310.08600000000001</v>
      </c>
      <c r="S31" s="6">
        <f t="shared" ref="S31:AB31" ca="1" si="22">+R31-S$34</f>
        <v>312.19506894071145</v>
      </c>
      <c r="T31" s="6">
        <f t="shared" ca="1" si="22"/>
        <v>314.1590366632006</v>
      </c>
      <c r="U31" s="6">
        <f t="shared" ca="1" si="22"/>
        <v>314.58308594130909</v>
      </c>
      <c r="V31" s="6">
        <f t="shared" ca="1" si="22"/>
        <v>309.66943704550459</v>
      </c>
      <c r="W31" s="6">
        <f t="shared" ca="1" si="22"/>
        <v>299.40075012834478</v>
      </c>
      <c r="X31" s="6">
        <f t="shared" ca="1" si="22"/>
        <v>286.13192494463328</v>
      </c>
      <c r="Y31" s="6">
        <f t="shared" ca="1" si="22"/>
        <v>272.48851102045404</v>
      </c>
      <c r="Z31" s="6">
        <f t="shared" ca="1" si="22"/>
        <v>258.43180360422213</v>
      </c>
      <c r="AA31" s="6">
        <f t="shared" ca="1" si="22"/>
        <v>243.92311258707602</v>
      </c>
      <c r="AB31" s="6">
        <f t="shared" ca="1" si="22"/>
        <v>228.92337450956887</v>
      </c>
      <c r="AD31" s="12">
        <f>(R31/K31)^(1/7)-1</f>
        <v>-6.1311884307217568E-2</v>
      </c>
      <c r="AE31" s="12">
        <f ca="1">(AB31/R31)^(1/10)-1</f>
        <v>-2.9890409522633665E-2</v>
      </c>
      <c r="AF31" s="12"/>
    </row>
    <row r="32" spans="2:43" outlineLevel="1" x14ac:dyDescent="0.35"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2:32" outlineLevel="1" x14ac:dyDescent="0.35">
      <c r="B33" t="s">
        <v>304</v>
      </c>
      <c r="R33" s="85">
        <f ca="1">+Valuation!C39</f>
        <v>57.084612254031889</v>
      </c>
      <c r="S33" s="66">
        <f t="shared" ref="S33:Z33" ca="1" si="23">AVERAGE(T33,R33)</f>
        <v>61.63857306444784</v>
      </c>
      <c r="T33" s="66">
        <f t="shared" ca="1" si="23"/>
        <v>66.192533874863784</v>
      </c>
      <c r="U33" s="66">
        <f t="shared" ca="1" si="23"/>
        <v>70.746494685279742</v>
      </c>
      <c r="V33" s="66">
        <f t="shared" ca="1" si="23"/>
        <v>75.300455495695701</v>
      </c>
      <c r="W33" s="66">
        <f t="shared" ca="1" si="23"/>
        <v>79.854416306111673</v>
      </c>
      <c r="X33" s="66">
        <f t="shared" ca="1" si="23"/>
        <v>84.408377116527646</v>
      </c>
      <c r="Y33" s="66">
        <f t="shared" ca="1" si="23"/>
        <v>88.962337926943633</v>
      </c>
      <c r="Z33" s="66">
        <f t="shared" ca="1" si="23"/>
        <v>93.516298737359634</v>
      </c>
      <c r="AA33" s="66">
        <f ca="1">AVERAGE(AB33,Z33)</f>
        <v>98.070259547775635</v>
      </c>
      <c r="AB33" s="80">
        <f ca="1">IFERROR(Valuation!$C$39*(1+Valuation!$C$5-(S28/AVERAGE(Valuation!C39,Valuation!C41)))^10,1)</f>
        <v>102.62422035819164</v>
      </c>
      <c r="AD33" s="12"/>
      <c r="AE33" s="12">
        <f ca="1">(AB33/R33)^(1/10)-1</f>
        <v>6.0408210045812982E-2</v>
      </c>
    </row>
    <row r="34" spans="2:32" outlineLevel="1" x14ac:dyDescent="0.35">
      <c r="B34" t="s">
        <v>306</v>
      </c>
      <c r="S34" s="67">
        <f t="shared" ref="S34:AB34" ca="1" si="24">SUM(-S18,-S17)/S33</f>
        <v>-2.1090689407114449</v>
      </c>
      <c r="T34" s="67">
        <f t="shared" ca="1" si="24"/>
        <v>-1.9639677224891177</v>
      </c>
      <c r="U34" s="67">
        <f t="shared" ca="1" si="24"/>
        <v>-0.42404927810850412</v>
      </c>
      <c r="V34" s="67">
        <f t="shared" ca="1" si="24"/>
        <v>4.9136488958044859</v>
      </c>
      <c r="W34" s="67">
        <f t="shared" ca="1" si="24"/>
        <v>10.268686917159785</v>
      </c>
      <c r="X34" s="67">
        <f t="shared" ca="1" si="24"/>
        <v>13.268825183711506</v>
      </c>
      <c r="Y34" s="67">
        <f t="shared" ca="1" si="24"/>
        <v>13.643413924179221</v>
      </c>
      <c r="Z34" s="67">
        <f t="shared" ca="1" si="24"/>
        <v>14.056707416231889</v>
      </c>
      <c r="AA34" s="67">
        <f t="shared" ca="1" si="24"/>
        <v>14.508691017146111</v>
      </c>
      <c r="AB34" s="67">
        <f t="shared" ca="1" si="24"/>
        <v>14.999738077507136</v>
      </c>
    </row>
    <row r="35" spans="2:32" outlineLevel="1" x14ac:dyDescent="0.35">
      <c r="U35" s="6"/>
      <c r="V35" s="6"/>
      <c r="W35" s="6"/>
      <c r="X35" s="6"/>
      <c r="Y35" s="6"/>
      <c r="Z35" s="6"/>
      <c r="AA35" s="6"/>
      <c r="AB35" s="6"/>
    </row>
    <row r="36" spans="2:32" outlineLevel="1" x14ac:dyDescent="0.35">
      <c r="K36" s="12"/>
      <c r="L36" s="12"/>
      <c r="M36" s="12"/>
      <c r="N36" s="12"/>
      <c r="O36" s="12"/>
      <c r="P36" s="12"/>
      <c r="Q36" s="12"/>
    </row>
    <row r="37" spans="2:32" x14ac:dyDescent="0.35">
      <c r="B37" s="53" t="s">
        <v>265</v>
      </c>
      <c r="C37" s="53"/>
      <c r="D37" s="53"/>
      <c r="E37" s="53"/>
      <c r="F37" s="53"/>
      <c r="G37" s="53"/>
      <c r="H37" s="53"/>
      <c r="I37" s="53"/>
      <c r="J37" s="53"/>
      <c r="K37" s="107"/>
      <c r="L37" s="107"/>
      <c r="M37" s="107"/>
      <c r="N37" s="107"/>
      <c r="O37" s="107"/>
      <c r="P37" s="107"/>
      <c r="Q37" s="107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</row>
    <row r="38" spans="2:32" ht="5.15" customHeight="1" x14ac:dyDescent="0.35"/>
    <row r="39" spans="2:32" hidden="1" outlineLevel="1" x14ac:dyDescent="0.35">
      <c r="B39" t="s">
        <v>388</v>
      </c>
      <c r="F39" s="5"/>
      <c r="G39" s="5"/>
      <c r="H39" s="5"/>
      <c r="I39" s="5"/>
      <c r="J39" s="5"/>
      <c r="K39" s="5">
        <v>998.68626999999992</v>
      </c>
      <c r="L39" s="5">
        <v>1050.9332924999999</v>
      </c>
      <c r="M39" s="5">
        <v>1095.619715</v>
      </c>
      <c r="N39" s="5">
        <v>1132.6974325000001</v>
      </c>
      <c r="O39" s="5">
        <v>1175.8576099999998</v>
      </c>
      <c r="P39" s="5">
        <v>1220.2635525000001</v>
      </c>
      <c r="Q39" s="5">
        <v>1305.6103249999999</v>
      </c>
      <c r="R39" s="7">
        <f>+Q39*(1+R40)</f>
        <v>1403.5310993749997</v>
      </c>
      <c r="S39" s="7">
        <f>+R39*(1+S40)</f>
        <v>1333.3545444062497</v>
      </c>
      <c r="T39" s="7">
        <f t="shared" ref="T39:AB39" si="25">+S39*(1+T40)</f>
        <v>1280.0203626299997</v>
      </c>
      <c r="U39" s="7">
        <f t="shared" si="25"/>
        <v>1318.4209735088998</v>
      </c>
      <c r="V39" s="7">
        <f t="shared" si="25"/>
        <v>1371.1578124492557</v>
      </c>
      <c r="W39" s="7">
        <f t="shared" si="25"/>
        <v>1412.2925468227334</v>
      </c>
      <c r="X39" s="7">
        <f t="shared" si="25"/>
        <v>1440.538397759188</v>
      </c>
      <c r="Y39" s="7">
        <f t="shared" si="25"/>
        <v>1469.3491657143718</v>
      </c>
      <c r="Z39" s="7">
        <f t="shared" si="25"/>
        <v>1498.7361490286592</v>
      </c>
      <c r="AA39" s="7">
        <f t="shared" si="25"/>
        <v>1528.7108720092324</v>
      </c>
      <c r="AB39" s="7">
        <f t="shared" si="25"/>
        <v>1559.285089449417</v>
      </c>
      <c r="AD39" s="12">
        <f>(R39/K39)^(1/7)-1</f>
        <v>4.9816224014236132E-2</v>
      </c>
      <c r="AE39" s="12">
        <f>(AB39/R39)^(1/10)-1</f>
        <v>1.0579184527687691E-2</v>
      </c>
      <c r="AF39" s="12">
        <f>(AB39/O39)^(1/13)-1</f>
        <v>2.1947351442329621E-2</v>
      </c>
    </row>
    <row r="40" spans="2:32" hidden="1" outlineLevel="1" x14ac:dyDescent="0.35">
      <c r="B40" s="14" t="s">
        <v>316</v>
      </c>
      <c r="C40" s="10"/>
      <c r="D40" s="10"/>
      <c r="E40" s="10"/>
      <c r="F40" s="74"/>
      <c r="G40" s="74"/>
      <c r="H40" s="75"/>
      <c r="I40" s="75"/>
      <c r="J40" s="75"/>
      <c r="K40" s="75"/>
      <c r="L40" s="75">
        <f t="shared" ref="L40:Q40" si="26">+L39/K39-1</f>
        <v>5.2315751271918343E-2</v>
      </c>
      <c r="M40" s="75">
        <f t="shared" si="26"/>
        <v>4.2520703092104428E-2</v>
      </c>
      <c r="N40" s="75">
        <f t="shared" si="26"/>
        <v>3.384177647807296E-2</v>
      </c>
      <c r="O40" s="75">
        <f t="shared" si="26"/>
        <v>3.8103889230807209E-2</v>
      </c>
      <c r="P40" s="75">
        <f t="shared" si="26"/>
        <v>3.7764727737740422E-2</v>
      </c>
      <c r="Q40" s="75">
        <f t="shared" si="26"/>
        <v>6.994126172591697E-2</v>
      </c>
      <c r="R40" s="76">
        <v>7.4999999999999997E-2</v>
      </c>
      <c r="S40" s="76">
        <v>-0.05</v>
      </c>
      <c r="T40" s="76">
        <v>-0.04</v>
      </c>
      <c r="U40" s="76">
        <v>0.03</v>
      </c>
      <c r="V40" s="76">
        <v>0.04</v>
      </c>
      <c r="W40" s="76">
        <v>0.03</v>
      </c>
      <c r="X40" s="76">
        <v>0.02</v>
      </c>
      <c r="Y40" s="76">
        <v>0.02</v>
      </c>
      <c r="Z40" s="76">
        <v>0.02</v>
      </c>
      <c r="AA40" s="76">
        <v>0.02</v>
      </c>
      <c r="AB40" s="76">
        <v>0.02</v>
      </c>
    </row>
    <row r="41" spans="2:32" hidden="1" outlineLevel="1" x14ac:dyDescent="0.35">
      <c r="B41" t="s">
        <v>315</v>
      </c>
      <c r="F41" s="12"/>
      <c r="G41" s="12"/>
      <c r="H41" s="12"/>
      <c r="I41" s="12"/>
      <c r="J41" s="12"/>
      <c r="K41" s="12">
        <f t="shared" ref="K41:M41" si="27">(K42/1000)/K39</f>
        <v>6.0567609062734777E-2</v>
      </c>
      <c r="L41" s="12">
        <f t="shared" si="27"/>
        <v>6.2806860388507857E-2</v>
      </c>
      <c r="M41" s="12">
        <f t="shared" si="27"/>
        <v>6.1563637474039673E-2</v>
      </c>
      <c r="N41" s="12">
        <f>(N42/1000)/N39</f>
        <v>6.1445326892565363E-2</v>
      </c>
      <c r="O41" s="12">
        <f>(O42/1000)/O39</f>
        <v>6.0942316874441273E-2</v>
      </c>
      <c r="P41" s="12">
        <f>(P42/1000)/P39</f>
        <v>5.87759883674863E-2</v>
      </c>
      <c r="Q41" s="12">
        <f>(Q42/1000)/Q39</f>
        <v>5.7256263694447106E-2</v>
      </c>
      <c r="R41" s="31">
        <v>5.8000000000000003E-2</v>
      </c>
      <c r="S41" s="31">
        <v>5.8000000000000003E-2</v>
      </c>
      <c r="T41" s="31">
        <v>5.8000000000000003E-2</v>
      </c>
      <c r="U41" s="31">
        <v>5.8000000000000003E-2</v>
      </c>
      <c r="V41" s="31">
        <v>5.8000000000000003E-2</v>
      </c>
      <c r="W41" s="31">
        <v>5.8000000000000003E-2</v>
      </c>
      <c r="X41" s="31">
        <v>5.8000000000000003E-2</v>
      </c>
      <c r="Y41" s="31">
        <v>5.8000000000000003E-2</v>
      </c>
      <c r="Z41" s="31">
        <v>5.8000000000000003E-2</v>
      </c>
      <c r="AA41" s="31">
        <v>5.8000000000000003E-2</v>
      </c>
      <c r="AB41" s="31">
        <v>5.8000000000000003E-2</v>
      </c>
    </row>
    <row r="42" spans="2:32" hidden="1" outlineLevel="1" x14ac:dyDescent="0.35">
      <c r="B42" t="s">
        <v>389</v>
      </c>
      <c r="F42" s="35"/>
      <c r="G42" s="35"/>
      <c r="H42" s="35"/>
      <c r="I42" s="35"/>
      <c r="J42" s="35"/>
      <c r="K42" s="7">
        <f>AVERAGE(J60:K60)</f>
        <v>60488.039577680785</v>
      </c>
      <c r="L42" s="7">
        <f t="shared" ref="L42:Q42" si="28">AVERAGE(K60:L60)</f>
        <v>66005.820579682375</v>
      </c>
      <c r="M42" s="7">
        <f t="shared" si="28"/>
        <v>67450.334943670663</v>
      </c>
      <c r="N42" s="7">
        <f t="shared" si="28"/>
        <v>69598.964010331998</v>
      </c>
      <c r="O42" s="7">
        <f t="shared" si="28"/>
        <v>71659.487067843176</v>
      </c>
      <c r="P42" s="7">
        <f t="shared" si="28"/>
        <v>71722.196367007506</v>
      </c>
      <c r="Q42" s="7">
        <f t="shared" si="28"/>
        <v>74754.369050392779</v>
      </c>
      <c r="R42" s="35">
        <f>+R41*R39*1000</f>
        <v>81404.80376374998</v>
      </c>
      <c r="S42" s="35">
        <f>+S41*S39*1000</f>
        <v>77334.563575562483</v>
      </c>
      <c r="T42" s="35">
        <f t="shared" ref="T42:AB42" si="29">+T41*T39*1000</f>
        <v>74241.181032539986</v>
      </c>
      <c r="U42" s="35">
        <f t="shared" si="29"/>
        <v>76468.416463516187</v>
      </c>
      <c r="V42" s="35">
        <f t="shared" si="29"/>
        <v>79527.153122056829</v>
      </c>
      <c r="W42" s="35">
        <f t="shared" si="29"/>
        <v>81912.967715718536</v>
      </c>
      <c r="X42" s="35">
        <f t="shared" si="29"/>
        <v>83551.22707003291</v>
      </c>
      <c r="Y42" s="35">
        <f t="shared" si="29"/>
        <v>85222.251611433559</v>
      </c>
      <c r="Z42" s="35">
        <f t="shared" si="29"/>
        <v>86926.696643662246</v>
      </c>
      <c r="AA42" s="35">
        <f t="shared" si="29"/>
        <v>88665.230576535483</v>
      </c>
      <c r="AB42" s="35">
        <f t="shared" si="29"/>
        <v>90438.535188066191</v>
      </c>
      <c r="AD42" s="12">
        <f>(R42/K42)^(1/7)-1</f>
        <v>4.3339835081130929E-2</v>
      </c>
      <c r="AE42" s="12">
        <f>(AB42/R42)^(1/10)-1</f>
        <v>1.0579184527687691E-2</v>
      </c>
      <c r="AF42" s="12">
        <f>(AB42/O42)^(1/13)-1</f>
        <v>1.8064681163416418E-2</v>
      </c>
    </row>
    <row r="43" spans="2:32" hidden="1" outlineLevel="1" x14ac:dyDescent="0.35">
      <c r="B43" s="2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7"/>
      <c r="S43" s="26"/>
      <c r="T43" s="26"/>
      <c r="U43" s="26"/>
      <c r="V43" s="26"/>
      <c r="W43" s="26"/>
      <c r="X43" s="26"/>
      <c r="Y43" s="26"/>
      <c r="Z43" s="26"/>
      <c r="AA43" s="26"/>
      <c r="AB43" s="26"/>
    </row>
    <row r="44" spans="2:32" hidden="1" outlineLevel="1" x14ac:dyDescent="0.35">
      <c r="B44" s="2" t="s">
        <v>152</v>
      </c>
      <c r="K44" s="27"/>
      <c r="L44" s="27">
        <f t="shared" ref="L44:Q45" si="30">+L60/K60-1</f>
        <v>4.9676721368548948E-2</v>
      </c>
      <c r="M44" s="27">
        <f t="shared" si="30"/>
        <v>-4.5921387451324236E-3</v>
      </c>
      <c r="N44" s="27">
        <f t="shared" si="30"/>
        <v>6.8470240986544972E-2</v>
      </c>
      <c r="O44" s="27">
        <f t="shared" si="30"/>
        <v>-6.7683873599930777E-3</v>
      </c>
      <c r="P44" s="27">
        <f t="shared" si="30"/>
        <v>8.5706762829602656E-3</v>
      </c>
      <c r="Q44" s="27">
        <f t="shared" si="30"/>
        <v>7.5696153691699797E-2</v>
      </c>
      <c r="R44" s="73">
        <f t="shared" ref="R44:AB44" si="31">+R42/Q42-1</f>
        <v>8.8963826433663851E-2</v>
      </c>
      <c r="S44" s="73">
        <f t="shared" si="31"/>
        <v>-4.9999999999999933E-2</v>
      </c>
      <c r="T44" s="73">
        <f t="shared" si="31"/>
        <v>-3.9999999999999925E-2</v>
      </c>
      <c r="U44" s="73">
        <f t="shared" si="31"/>
        <v>3.0000000000000027E-2</v>
      </c>
      <c r="V44" s="73">
        <f t="shared" si="31"/>
        <v>3.9999999999999813E-2</v>
      </c>
      <c r="W44" s="73">
        <f t="shared" si="31"/>
        <v>3.0000000000000027E-2</v>
      </c>
      <c r="X44" s="73">
        <f t="shared" si="31"/>
        <v>2.0000000000000018E-2</v>
      </c>
      <c r="Y44" s="73">
        <f t="shared" si="31"/>
        <v>1.9999999999999796E-2</v>
      </c>
      <c r="Z44" s="73">
        <f t="shared" si="31"/>
        <v>2.000000000000024E-2</v>
      </c>
      <c r="AA44" s="73">
        <f t="shared" si="31"/>
        <v>2.0000000000000018E-2</v>
      </c>
      <c r="AB44" s="73">
        <f t="shared" si="31"/>
        <v>2.0000000000000018E-2</v>
      </c>
    </row>
    <row r="45" spans="2:32" hidden="1" outlineLevel="1" x14ac:dyDescent="0.35">
      <c r="B45" s="2" t="s">
        <v>153</v>
      </c>
      <c r="K45" s="27"/>
      <c r="L45" s="27">
        <f t="shared" si="30"/>
        <v>5.7168442315012946E-2</v>
      </c>
      <c r="M45" s="27">
        <f t="shared" si="30"/>
        <v>1.2597681153128093E-2</v>
      </c>
      <c r="N45" s="27">
        <f t="shared" si="30"/>
        <v>-5.0748649918472277E-2</v>
      </c>
      <c r="O45" s="27">
        <f t="shared" si="30"/>
        <v>-8.1509034022697935E-2</v>
      </c>
      <c r="P45" s="27">
        <f t="shared" si="30"/>
        <v>-0.31454436882848114</v>
      </c>
      <c r="Q45" s="27">
        <f t="shared" si="30"/>
        <v>-0.40070715961674719</v>
      </c>
      <c r="R45" s="26">
        <v>-0.05</v>
      </c>
      <c r="S45" s="26">
        <v>0.15</v>
      </c>
      <c r="T45" s="26">
        <v>0.3</v>
      </c>
      <c r="U45" s="26">
        <v>0.3</v>
      </c>
      <c r="V45" s="26">
        <v>0.2</v>
      </c>
      <c r="W45" s="26">
        <v>0.02</v>
      </c>
      <c r="X45" s="26">
        <v>0.02</v>
      </c>
      <c r="Y45" s="26">
        <v>0.02</v>
      </c>
      <c r="Z45" s="26">
        <v>0.02</v>
      </c>
      <c r="AA45" s="26">
        <v>0.02</v>
      </c>
      <c r="AB45" s="26">
        <v>0.02</v>
      </c>
    </row>
    <row r="46" spans="2:32" hidden="1" outlineLevel="1" x14ac:dyDescent="0.35">
      <c r="B46" s="2" t="s">
        <v>154</v>
      </c>
      <c r="K46" s="27"/>
      <c r="L46" s="27">
        <f t="shared" ref="L46:P46" si="32">+L62/K62-1</f>
        <v>0.11224795642023611</v>
      </c>
      <c r="M46" s="27">
        <f t="shared" si="32"/>
        <v>7.2288524624038342E-2</v>
      </c>
      <c r="N46" s="27">
        <f t="shared" si="32"/>
        <v>5.9332293071989062E-2</v>
      </c>
      <c r="O46" s="27">
        <f t="shared" si="32"/>
        <v>-0.10021601139353675</v>
      </c>
      <c r="P46" s="27">
        <f t="shared" si="32"/>
        <v>1.4744012755442348E-2</v>
      </c>
      <c r="Q46" s="27">
        <f>+Q62/P62-1</f>
        <v>-4.9474147188039108E-2</v>
      </c>
      <c r="R46" s="26">
        <v>0</v>
      </c>
      <c r="S46" s="26">
        <v>0.02</v>
      </c>
      <c r="T46" s="26">
        <v>0.02</v>
      </c>
      <c r="U46" s="26">
        <v>0.02</v>
      </c>
      <c r="V46" s="26">
        <v>0.02</v>
      </c>
      <c r="W46" s="26">
        <v>0.02</v>
      </c>
      <c r="X46" s="26">
        <v>0.02</v>
      </c>
      <c r="Y46" s="26">
        <v>0.02</v>
      </c>
      <c r="Z46" s="26">
        <v>0.02</v>
      </c>
      <c r="AA46" s="26">
        <v>0.02</v>
      </c>
      <c r="AB46" s="26">
        <v>0.02</v>
      </c>
    </row>
    <row r="47" spans="2:32" hidden="1" outlineLevel="1" x14ac:dyDescent="0.35">
      <c r="B47" s="3" t="s">
        <v>258</v>
      </c>
      <c r="C47" s="4"/>
      <c r="D47" s="4"/>
      <c r="E47" s="4"/>
      <c r="F47" s="4"/>
      <c r="G47" s="4"/>
      <c r="H47" s="4"/>
      <c r="I47" s="4"/>
      <c r="J47" s="4"/>
      <c r="K47" s="28"/>
      <c r="L47" s="28">
        <f t="shared" ref="L47:P47" si="33">+L63/K63-1</f>
        <v>5.5037454505126648E-2</v>
      </c>
      <c r="M47" s="28">
        <f t="shared" si="33"/>
        <v>4.6155610343443509E-3</v>
      </c>
      <c r="N47" s="28">
        <f t="shared" si="33"/>
        <v>3.1713418752199685E-2</v>
      </c>
      <c r="O47" s="28">
        <f t="shared" si="33"/>
        <v>-3.3034306629910692E-2</v>
      </c>
      <c r="P47" s="28">
        <f t="shared" si="33"/>
        <v>-7.6954614797864251E-2</v>
      </c>
      <c r="Q47" s="28">
        <f>+Q63/P63-1</f>
        <v>-2.5648441777107456E-2</v>
      </c>
      <c r="R47" s="28">
        <f t="shared" ref="R47:AB47" si="34">+R63/Q63-1</f>
        <v>6.7007792706468949E-2</v>
      </c>
      <c r="S47" s="28">
        <f t="shared" si="34"/>
        <v>-2.4634922899677059E-2</v>
      </c>
      <c r="T47" s="28">
        <f t="shared" si="34"/>
        <v>6.6815125880055337E-3</v>
      </c>
      <c r="U47" s="28">
        <f t="shared" si="34"/>
        <v>7.3852713145051485E-2</v>
      </c>
      <c r="V47" s="28">
        <f t="shared" si="34"/>
        <v>7.0787583979656787E-2</v>
      </c>
      <c r="W47" s="28">
        <f t="shared" si="34"/>
        <v>2.7253788980506899E-2</v>
      </c>
      <c r="X47" s="28">
        <f t="shared" si="34"/>
        <v>2.0000000000000018E-2</v>
      </c>
      <c r="Y47" s="28">
        <f t="shared" si="34"/>
        <v>2.0000000000000018E-2</v>
      </c>
      <c r="Z47" s="28">
        <f t="shared" si="34"/>
        <v>2.000000000000024E-2</v>
      </c>
      <c r="AA47" s="28">
        <f t="shared" si="34"/>
        <v>1.9999999999999796E-2</v>
      </c>
      <c r="AB47" s="28">
        <f t="shared" si="34"/>
        <v>2.0000000000000018E-2</v>
      </c>
    </row>
    <row r="48" spans="2:32" hidden="1" outlineLevel="1" x14ac:dyDescent="0.35">
      <c r="B48" t="s">
        <v>8</v>
      </c>
      <c r="L48" s="27">
        <f t="shared" ref="L48:P48" si="35">+L64/K64-1</f>
        <v>0.29130227381141682</v>
      </c>
      <c r="M48" s="27">
        <f t="shared" si="35"/>
        <v>0.40413742149981524</v>
      </c>
      <c r="N48" s="27">
        <f t="shared" si="35"/>
        <v>0.30404279575550297</v>
      </c>
      <c r="O48" s="27">
        <f t="shared" si="35"/>
        <v>7.0275722932078066E-2</v>
      </c>
      <c r="P48" s="27">
        <f t="shared" si="35"/>
        <v>-9.2491360351869334E-2</v>
      </c>
      <c r="Q48" s="27">
        <f>+Q64/P64-1</f>
        <v>0.21415218444921424</v>
      </c>
      <c r="R48" s="26">
        <v>0.1</v>
      </c>
      <c r="S48" s="26">
        <v>0</v>
      </c>
      <c r="T48" s="26">
        <v>0.05</v>
      </c>
      <c r="U48" s="26">
        <v>0.05</v>
      </c>
      <c r="V48" s="26">
        <v>0.05</v>
      </c>
      <c r="W48" s="26">
        <v>0.05</v>
      </c>
      <c r="X48" s="26">
        <v>0.05</v>
      </c>
      <c r="Y48" s="26">
        <v>0.05</v>
      </c>
      <c r="Z48" s="26">
        <v>0.05</v>
      </c>
      <c r="AA48" s="26">
        <v>0.05</v>
      </c>
      <c r="AB48" s="26">
        <v>0.05</v>
      </c>
    </row>
    <row r="49" spans="1:51" hidden="1" outlineLevel="1" x14ac:dyDescent="0.35">
      <c r="B49" t="s">
        <v>5</v>
      </c>
      <c r="L49" s="27">
        <f t="shared" ref="L49:Q49" si="36">+L65/K65-1</f>
        <v>0.19638826185101577</v>
      </c>
      <c r="M49" s="27">
        <f t="shared" si="36"/>
        <v>0.22955974842767302</v>
      </c>
      <c r="N49" s="27">
        <f t="shared" si="36"/>
        <v>0.18567774936061388</v>
      </c>
      <c r="O49" s="27">
        <f t="shared" si="36"/>
        <v>0.22691975841242451</v>
      </c>
      <c r="P49" s="27">
        <f t="shared" si="36"/>
        <v>5.5907172995780519E-2</v>
      </c>
      <c r="Q49" s="27">
        <f t="shared" si="36"/>
        <v>0.29370629370629375</v>
      </c>
      <c r="R49" s="26">
        <v>0.2</v>
      </c>
      <c r="S49" s="26">
        <v>0.15</v>
      </c>
      <c r="T49" s="26">
        <v>0.1</v>
      </c>
      <c r="U49" s="26">
        <v>0.05</v>
      </c>
      <c r="V49" s="26">
        <v>0.03</v>
      </c>
      <c r="W49" s="26">
        <v>0.03</v>
      </c>
      <c r="X49" s="26">
        <v>0.03</v>
      </c>
      <c r="Y49" s="26">
        <v>0.03</v>
      </c>
      <c r="Z49" s="26">
        <v>0.03</v>
      </c>
      <c r="AA49" s="26">
        <v>0.03</v>
      </c>
      <c r="AB49" s="26">
        <v>0.03</v>
      </c>
    </row>
    <row r="50" spans="1:51" hidden="1" outlineLevel="1" x14ac:dyDescent="0.35">
      <c r="B50" t="s">
        <v>6</v>
      </c>
      <c r="L50" s="27">
        <f t="shared" ref="L50:Q50" si="37">+L66/K66-1</f>
        <v>-0.13531448355452969</v>
      </c>
      <c r="M50" s="27">
        <f t="shared" si="37"/>
        <v>-0.18218218218218218</v>
      </c>
      <c r="N50" s="27">
        <f t="shared" si="37"/>
        <v>-0.20155038759689925</v>
      </c>
      <c r="O50" s="27">
        <f t="shared" si="37"/>
        <v>-0.10679611650485432</v>
      </c>
      <c r="P50" s="27">
        <f t="shared" si="37"/>
        <v>-0.27002288329519453</v>
      </c>
      <c r="Q50" s="27">
        <f t="shared" si="37"/>
        <v>1.0658307210031346</v>
      </c>
      <c r="R50" s="26">
        <v>0.5</v>
      </c>
      <c r="S50" s="26">
        <v>0.15</v>
      </c>
      <c r="T50" s="26">
        <v>0.1</v>
      </c>
      <c r="U50" s="26">
        <v>0.1</v>
      </c>
      <c r="V50" s="26">
        <v>0.1</v>
      </c>
      <c r="W50" s="26">
        <v>7.4999999999999997E-2</v>
      </c>
      <c r="X50" s="26">
        <v>7.4999999999999997E-2</v>
      </c>
      <c r="Y50" s="26">
        <v>0.05</v>
      </c>
      <c r="Z50" s="26">
        <v>0.05</v>
      </c>
      <c r="AA50" s="26">
        <v>0.03</v>
      </c>
      <c r="AB50" s="26">
        <v>0.03</v>
      </c>
    </row>
    <row r="51" spans="1:51" hidden="1" outlineLevel="1" x14ac:dyDescent="0.35">
      <c r="B51" t="s">
        <v>259</v>
      </c>
      <c r="L51" s="27">
        <f t="shared" ref="L51:P51" si="38">+L71/K71-1</f>
        <v>-0.2950648392846168</v>
      </c>
      <c r="M51" s="27">
        <f t="shared" si="38"/>
        <v>-0.23792502179598951</v>
      </c>
      <c r="N51" s="27">
        <f t="shared" si="38"/>
        <v>-3.7066697174236385E-2</v>
      </c>
      <c r="O51" s="27">
        <f t="shared" si="38"/>
        <v>5.3106807651182031E-2</v>
      </c>
      <c r="P51" s="27">
        <f t="shared" si="38"/>
        <v>8.743231046931399E-2</v>
      </c>
      <c r="Q51" s="27">
        <f>+Q71/P71-1</f>
        <v>0.12688038178234251</v>
      </c>
      <c r="R51" s="26">
        <v>-0.05</v>
      </c>
      <c r="S51" s="26">
        <v>-0.05</v>
      </c>
      <c r="T51" s="26">
        <v>0.05</v>
      </c>
      <c r="U51" s="26">
        <v>0.01</v>
      </c>
      <c r="V51" s="26">
        <v>0.01</v>
      </c>
      <c r="W51" s="26">
        <v>0.01</v>
      </c>
      <c r="X51" s="26">
        <v>0.01</v>
      </c>
      <c r="Y51" s="26">
        <v>0.01</v>
      </c>
      <c r="Z51" s="26">
        <v>0.01</v>
      </c>
      <c r="AA51" s="26">
        <v>0.01</v>
      </c>
      <c r="AB51" s="26">
        <v>0.01</v>
      </c>
    </row>
    <row r="52" spans="1:51" hidden="1" outlineLevel="1" x14ac:dyDescent="0.35"/>
    <row r="53" spans="1:51" hidden="1" outlineLevel="1" x14ac:dyDescent="0.35">
      <c r="B53" t="s">
        <v>372</v>
      </c>
      <c r="D53" s="27">
        <f t="shared" ref="D53:K53" si="39">(D67+D71)/(C67+C71)-1</f>
        <v>-0.19857126771840716</v>
      </c>
      <c r="E53" s="27">
        <f t="shared" si="39"/>
        <v>-0.26867419098019019</v>
      </c>
      <c r="F53" s="27">
        <f t="shared" si="39"/>
        <v>0.19045636953551903</v>
      </c>
      <c r="G53" s="27">
        <f t="shared" si="39"/>
        <v>0.11196779659497413</v>
      </c>
      <c r="H53" s="27">
        <f t="shared" si="39"/>
        <v>-9.2114810932838798E-2</v>
      </c>
      <c r="I53" s="27">
        <f t="shared" si="39"/>
        <v>4.798188357532962E-2</v>
      </c>
      <c r="J53" s="27">
        <f t="shared" si="39"/>
        <v>1.2287302555758828E-2</v>
      </c>
      <c r="K53" s="27">
        <f t="shared" si="39"/>
        <v>7.0426426024209343E-2</v>
      </c>
      <c r="L53" s="27">
        <f>(L67+L71)/(K67+K71)-1</f>
        <v>1.9887230099084219E-2</v>
      </c>
      <c r="M53" s="27">
        <f t="shared" ref="M53:AB53" si="40">(M67+M71)/(L67+L71)-1</f>
        <v>9.3548238686029794E-3</v>
      </c>
      <c r="N53" s="27">
        <f t="shared" si="40"/>
        <v>5.0967075375662807E-2</v>
      </c>
      <c r="O53" s="27">
        <f t="shared" si="40"/>
        <v>-9.0210563599170124E-3</v>
      </c>
      <c r="P53" s="27">
        <f t="shared" si="40"/>
        <v>-6.5078959845362716E-2</v>
      </c>
      <c r="Q53" s="27">
        <f t="shared" si="40"/>
        <v>3.8674291777519354E-2</v>
      </c>
      <c r="R53" s="27">
        <f t="shared" ref="R53:AA53" si="41">(R67+R71)/(Q67+Q71)-1</f>
        <v>7.8142244834600971E-2</v>
      </c>
      <c r="S53" s="27">
        <f t="shared" si="41"/>
        <v>-6.9925740216575383E-3</v>
      </c>
      <c r="T53" s="27">
        <f t="shared" si="41"/>
        <v>2.5521068288247628E-2</v>
      </c>
      <c r="U53" s="27">
        <f t="shared" si="41"/>
        <v>6.5020940540240213E-2</v>
      </c>
      <c r="V53" s="27">
        <f t="shared" si="41"/>
        <v>6.1675751853092375E-2</v>
      </c>
      <c r="W53" s="27">
        <f t="shared" si="41"/>
        <v>3.1191306831662269E-2</v>
      </c>
      <c r="X53" s="27">
        <f t="shared" si="41"/>
        <v>2.6375591975026813E-2</v>
      </c>
      <c r="Y53" s="27">
        <f t="shared" si="41"/>
        <v>2.5583114716968725E-2</v>
      </c>
      <c r="Z53" s="27">
        <f t="shared" si="41"/>
        <v>2.5724831557487393E-2</v>
      </c>
      <c r="AA53" s="27">
        <f t="shared" si="41"/>
        <v>2.5030591617571263E-2</v>
      </c>
      <c r="AB53" s="27">
        <f t="shared" si="40"/>
        <v>2.5152906745588233E-2</v>
      </c>
    </row>
    <row r="54" spans="1:51" hidden="1" outlineLevel="1" x14ac:dyDescent="0.35"/>
    <row r="55" spans="1:51" hidden="1" outlineLevel="1" x14ac:dyDescent="0.35">
      <c r="B55" t="s">
        <v>371</v>
      </c>
      <c r="D55" s="27">
        <f t="shared" ref="D55:P55" si="42">+D78/C78-1</f>
        <v>0.29618480465938091</v>
      </c>
      <c r="E55" s="27">
        <f t="shared" si="42"/>
        <v>0.60327157065683856</v>
      </c>
      <c r="F55" s="27">
        <f t="shared" si="42"/>
        <v>0.22962589746819506</v>
      </c>
      <c r="G55" s="27">
        <f t="shared" si="42"/>
        <v>0.15370825650481468</v>
      </c>
      <c r="H55" s="27">
        <f t="shared" si="42"/>
        <v>6.3596004439511633E-2</v>
      </c>
      <c r="I55" s="27">
        <f t="shared" si="42"/>
        <v>0.11343003234895122</v>
      </c>
      <c r="J55" s="27">
        <f t="shared" si="42"/>
        <v>9.0965323336457349E-2</v>
      </c>
      <c r="K55" s="27">
        <f t="shared" si="42"/>
        <v>0.14217480198615196</v>
      </c>
      <c r="L55" s="27">
        <f t="shared" si="42"/>
        <v>0.1886940040314089</v>
      </c>
      <c r="M55" s="27">
        <f t="shared" si="42"/>
        <v>0.18012705322568401</v>
      </c>
      <c r="N55" s="27">
        <f t="shared" si="42"/>
        <v>0.13856481084327021</v>
      </c>
      <c r="O55" s="27">
        <f t="shared" si="42"/>
        <v>0.13726007270809393</v>
      </c>
      <c r="P55" s="27">
        <f t="shared" si="42"/>
        <v>0.13485490923545784</v>
      </c>
      <c r="Q55" s="27">
        <f>+Q78/P78-1</f>
        <v>3.2998628097726135E-2</v>
      </c>
      <c r="R55" s="26">
        <v>0.03</v>
      </c>
      <c r="S55" s="26">
        <v>0.01</v>
      </c>
      <c r="T55" s="26">
        <v>0.06</v>
      </c>
      <c r="U55" s="26">
        <v>0.06</v>
      </c>
      <c r="V55" s="26">
        <v>0.05</v>
      </c>
      <c r="W55" s="26">
        <v>0.05</v>
      </c>
      <c r="X55" s="26">
        <v>0.04</v>
      </c>
      <c r="Y55" s="26">
        <v>0.04</v>
      </c>
      <c r="Z55" s="26">
        <v>0.03</v>
      </c>
      <c r="AA55" s="26">
        <v>0.03</v>
      </c>
      <c r="AB55" s="26">
        <v>0.03</v>
      </c>
      <c r="AM55" s="43"/>
    </row>
    <row r="56" spans="1:51" hidden="1" outlineLevel="1" x14ac:dyDescent="0.35">
      <c r="AM56" s="43"/>
    </row>
    <row r="57" spans="1:51" hidden="1" outlineLevel="1" x14ac:dyDescent="0.35">
      <c r="K57" s="6"/>
      <c r="L57" s="6"/>
      <c r="M57" s="6"/>
      <c r="N57" s="6"/>
      <c r="O57" s="6"/>
      <c r="P57" s="6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M57" s="43"/>
    </row>
    <row r="58" spans="1:51" s="10" customFormat="1" collapsed="1" x14ac:dyDescent="0.35">
      <c r="A58"/>
      <c r="B58" s="53" t="s">
        <v>30</v>
      </c>
      <c r="C58" s="53"/>
      <c r="D58" s="53"/>
      <c r="E58" s="53"/>
      <c r="F58" s="53"/>
      <c r="G58" s="53"/>
      <c r="H58" s="53"/>
      <c r="I58" s="53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H58"/>
      <c r="AI58"/>
      <c r="AJ58"/>
      <c r="AK58"/>
      <c r="AL58"/>
      <c r="AM58" s="43"/>
      <c r="AN58"/>
      <c r="AO58"/>
      <c r="AP58"/>
      <c r="AQ58"/>
      <c r="AR58"/>
      <c r="AS58"/>
      <c r="AT58"/>
      <c r="AU58"/>
      <c r="AV58"/>
      <c r="AW58"/>
      <c r="AX58"/>
      <c r="AY58"/>
    </row>
    <row r="59" spans="1:51" ht="5.15" customHeight="1" x14ac:dyDescent="0.35"/>
    <row r="60" spans="1:51" s="10" customFormat="1" hidden="1" outlineLevel="1" x14ac:dyDescent="0.35">
      <c r="B60" s="14" t="s">
        <v>152</v>
      </c>
      <c r="D60" s="58"/>
      <c r="E60" s="58"/>
      <c r="F60" s="58">
        <f>+'Historical Detailed'!G96</f>
        <v>51254</v>
      </c>
      <c r="G60" s="58">
        <f>+'Historical Detailed'!H96</f>
        <v>63459</v>
      </c>
      <c r="H60" s="58">
        <f>+'Historical Detailed'!I96</f>
        <v>53715</v>
      </c>
      <c r="I60" s="58">
        <f>+'Historical Detailed'!J96</f>
        <v>56417</v>
      </c>
      <c r="J60" s="58">
        <f>+'Historical Detailed'!K96</f>
        <v>56570</v>
      </c>
      <c r="K60" s="57">
        <f>+'Historical Detailed'!L45/SUM('Historical Detailed'!L$45:L$47)*K$63</f>
        <v>64406.079155361571</v>
      </c>
      <c r="L60" s="57">
        <f>+'Historical Detailed'!M45/SUM('Historical Detailed'!M$45:M$47)*L$63</f>
        <v>67605.562004003179</v>
      </c>
      <c r="M60" s="57">
        <f>+'Historical Detailed'!N45/SUM('Historical Detailed'!N$45:N$47)*M$63</f>
        <v>67295.107883338147</v>
      </c>
      <c r="N60" s="57">
        <f>+'Historical Detailed'!O45/SUM('Historical Detailed'!O$45:O$47)*N$63</f>
        <v>71902.820137325849</v>
      </c>
      <c r="O60" s="57">
        <f>+'Historical Detailed'!P45/SUM('Historical Detailed'!P$45:P$47)*O$63</f>
        <v>71416.153998360518</v>
      </c>
      <c r="P60" s="57">
        <f>+'Historical Detailed'!Q45/SUM('Historical Detailed'!Q$45:Q$47)*P$63</f>
        <v>72028.238735654508</v>
      </c>
      <c r="Q60" s="57">
        <f>+'Historical Detailed'!R45/SUM('Historical Detailed'!R$45:R$47)*Q$63</f>
        <v>77480.499365131051</v>
      </c>
      <c r="R60" s="58">
        <f t="shared" ref="R60:AB60" si="43">+Q60*(1+R44)</f>
        <v>84373.461062644172</v>
      </c>
      <c r="S60" s="58">
        <f t="shared" si="43"/>
        <v>80154.788009511962</v>
      </c>
      <c r="T60" s="58">
        <f t="shared" si="43"/>
        <v>76948.596489131494</v>
      </c>
      <c r="U60" s="58">
        <f t="shared" si="43"/>
        <v>79257.054383805444</v>
      </c>
      <c r="V60" s="58">
        <f t="shared" si="43"/>
        <v>82427.336559157644</v>
      </c>
      <c r="W60" s="58">
        <f t="shared" si="43"/>
        <v>84900.156655932369</v>
      </c>
      <c r="X60" s="58">
        <f t="shared" si="43"/>
        <v>86598.159789051017</v>
      </c>
      <c r="Y60" s="58">
        <f t="shared" si="43"/>
        <v>88330.122984832022</v>
      </c>
      <c r="Z60" s="58">
        <f t="shared" si="43"/>
        <v>90096.725444528682</v>
      </c>
      <c r="AA60" s="58">
        <f t="shared" si="43"/>
        <v>91898.65995341925</v>
      </c>
      <c r="AB60" s="58">
        <f t="shared" si="43"/>
        <v>93736.63315248763</v>
      </c>
      <c r="AD60" s="12">
        <f t="shared" ref="AD60:AD76" si="44">(R60/K60)^(1/7)-1</f>
        <v>3.9331627420347237E-2</v>
      </c>
      <c r="AE60" s="12">
        <f t="shared" ref="AE60:AE76" si="45">(AB60/R60)^(1/10)-1</f>
        <v>1.0579184527687691E-2</v>
      </c>
      <c r="AF60" s="12">
        <f t="shared" ref="AF60:AF83" si="46">(AB60/O60)^(1/13)-1</f>
        <v>2.1140748689473021E-2</v>
      </c>
      <c r="AG60" s="12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1" s="10" customFormat="1" hidden="1" outlineLevel="1" x14ac:dyDescent="0.35">
      <c r="B61" s="14" t="s">
        <v>153</v>
      </c>
      <c r="F61" s="58">
        <f>+'Historical Detailed'!G46</f>
        <v>20037.000000000004</v>
      </c>
      <c r="G61" s="58">
        <f>+'Historical Detailed'!H46</f>
        <v>24399</v>
      </c>
      <c r="H61" s="58">
        <f>+'Historical Detailed'!I46</f>
        <v>27239</v>
      </c>
      <c r="I61" s="58">
        <f>+'Historical Detailed'!J46</f>
        <v>28216</v>
      </c>
      <c r="J61" s="58">
        <f>+'Historical Detailed'!K46</f>
        <v>30562.000000000004</v>
      </c>
      <c r="K61" s="57">
        <f>+'Historical Detailed'!L46/SUM('Historical Detailed'!L$45:L$47)*K$63</f>
        <v>29858.109000825763</v>
      </c>
      <c r="L61" s="57">
        <f>+'Historical Detailed'!M46/SUM('Historical Detailed'!M$45:M$47)*L$63</f>
        <v>31565.050582874843</v>
      </c>
      <c r="M61" s="57">
        <f>+'Historical Detailed'!N46/SUM('Historical Detailed'!N$45:N$47)*M$63</f>
        <v>31962.697025700258</v>
      </c>
      <c r="N61" s="57">
        <f>+'Historical Detailed'!O46/SUM('Historical Detailed'!O$45:O$47)*N$63</f>
        <v>30340.633303892799</v>
      </c>
      <c r="O61" s="57">
        <f>+'Historical Detailed'!P46/SUM('Historical Detailed'!P$45:P$47)*O$63</f>
        <v>27867.597591655598</v>
      </c>
      <c r="P61" s="57">
        <f>+'Historical Detailed'!Q46/SUM('Historical Detailed'!Q$45:Q$47)*P$63</f>
        <v>19102.001696422187</v>
      </c>
      <c r="Q61" s="57">
        <f>+'Historical Detailed'!R46/SUM('Historical Detailed'!R$45:R$47)*Q$63</f>
        <v>11447.692853654566</v>
      </c>
      <c r="R61" s="58">
        <f t="shared" ref="R61:AB61" si="47">+Q61*(1+R45)</f>
        <v>10875.308210971836</v>
      </c>
      <c r="S61" s="58">
        <f t="shared" si="47"/>
        <v>12506.60444261761</v>
      </c>
      <c r="T61" s="58">
        <f t="shared" si="47"/>
        <v>16258.585775402895</v>
      </c>
      <c r="U61" s="58">
        <f t="shared" si="47"/>
        <v>21136.161508023764</v>
      </c>
      <c r="V61" s="58">
        <f t="shared" si="47"/>
        <v>25363.393809628516</v>
      </c>
      <c r="W61" s="58">
        <f t="shared" si="47"/>
        <v>25870.661685821087</v>
      </c>
      <c r="X61" s="58">
        <f t="shared" si="47"/>
        <v>26388.07491953751</v>
      </c>
      <c r="Y61" s="58">
        <f t="shared" si="47"/>
        <v>26915.836417928262</v>
      </c>
      <c r="Z61" s="58">
        <f t="shared" si="47"/>
        <v>27454.153146286826</v>
      </c>
      <c r="AA61" s="58">
        <f t="shared" si="47"/>
        <v>28003.236209212562</v>
      </c>
      <c r="AB61" s="58">
        <f t="shared" si="47"/>
        <v>28563.300933396815</v>
      </c>
      <c r="AD61" s="12">
        <f t="shared" si="44"/>
        <v>-0.13435485743962694</v>
      </c>
      <c r="AE61" s="12">
        <f t="shared" si="45"/>
        <v>0.10137872263546499</v>
      </c>
      <c r="AF61" s="12">
        <f t="shared" si="46"/>
        <v>1.8985748174826789E-3</v>
      </c>
    </row>
    <row r="62" spans="1:51" s="18" customFormat="1" hidden="1" outlineLevel="1" x14ac:dyDescent="0.35">
      <c r="A62" s="10"/>
      <c r="B62" s="14" t="s">
        <v>154</v>
      </c>
      <c r="C62" s="10"/>
      <c r="D62" s="10"/>
      <c r="E62" s="10"/>
      <c r="F62" s="58">
        <f>+'Historical Detailed'!G47</f>
        <v>4403.3832022440338</v>
      </c>
      <c r="G62" s="58">
        <f>+'Historical Detailed'!H47</f>
        <v>4447.4170342664738</v>
      </c>
      <c r="H62" s="58">
        <f>+'Historical Detailed'!I47</f>
        <v>4491.8912046091382</v>
      </c>
      <c r="I62" s="58">
        <f>+'Historical Detailed'!J47</f>
        <v>4536.8101166552296</v>
      </c>
      <c r="J62" s="58">
        <f>+'Historical Detailed'!K47</f>
        <v>4582.1782178217818</v>
      </c>
      <c r="K62" s="57">
        <f>+'Historical Detailed'!L47/SUM('Historical Detailed'!L$45:L$47)*K$63</f>
        <v>4922.8118438126694</v>
      </c>
      <c r="L62" s="57">
        <f>+'Historical Detailed'!M47/SUM('Historical Detailed'!M$45:M$47)*L$63</f>
        <v>5475.3874131219764</v>
      </c>
      <c r="M62" s="57">
        <f>+'Historical Detailed'!N47/SUM('Historical Detailed'!N$45:N$47)*M$63</f>
        <v>5871.1950909615944</v>
      </c>
      <c r="N62" s="57">
        <f>+'Historical Detailed'!O47/SUM('Historical Detailed'!O$45:O$47)*N$63</f>
        <v>6219.5465587813515</v>
      </c>
      <c r="O62" s="57">
        <f>+'Historical Detailed'!P47/SUM('Historical Detailed'!P$45:P$47)*O$63</f>
        <v>5596.2484099838875</v>
      </c>
      <c r="P62" s="57">
        <f>+'Historical Detailed'!Q47/SUM('Historical Detailed'!Q$45:Q$47)*P$63</f>
        <v>5678.7595679233136</v>
      </c>
      <c r="Q62" s="57">
        <f>+'Historical Detailed'!R47/SUM('Historical Detailed'!R$45:R$47)*Q$63</f>
        <v>5397.8077812143902</v>
      </c>
      <c r="R62" s="58">
        <f t="shared" ref="R62:AB62" si="48">+Q62*(1+R46)</f>
        <v>5397.8077812143902</v>
      </c>
      <c r="S62" s="58">
        <f t="shared" si="48"/>
        <v>5505.7639368386781</v>
      </c>
      <c r="T62" s="58">
        <f t="shared" si="48"/>
        <v>5615.8792155754518</v>
      </c>
      <c r="U62" s="58">
        <f t="shared" si="48"/>
        <v>5728.1967998869613</v>
      </c>
      <c r="V62" s="58">
        <f t="shared" si="48"/>
        <v>5842.7607358847008</v>
      </c>
      <c r="W62" s="58">
        <f t="shared" si="48"/>
        <v>5959.6159506023951</v>
      </c>
      <c r="X62" s="58">
        <f t="shared" si="48"/>
        <v>6078.8082696144429</v>
      </c>
      <c r="Y62" s="58">
        <f t="shared" si="48"/>
        <v>6200.384435006732</v>
      </c>
      <c r="Z62" s="58">
        <f t="shared" si="48"/>
        <v>6324.3921237068671</v>
      </c>
      <c r="AA62" s="58">
        <f t="shared" si="48"/>
        <v>6450.8799661810044</v>
      </c>
      <c r="AB62" s="58">
        <f t="shared" si="48"/>
        <v>6579.8975655046243</v>
      </c>
      <c r="AD62" s="12">
        <f t="shared" si="44"/>
        <v>1.3245964203594252E-2</v>
      </c>
      <c r="AE62" s="12">
        <f t="shared" si="45"/>
        <v>2.0000000000000018E-2</v>
      </c>
      <c r="AF62" s="12">
        <f t="shared" si="46"/>
        <v>1.2533488697766604E-2</v>
      </c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</row>
    <row r="63" spans="1:51" hidden="1" outlineLevel="1" x14ac:dyDescent="0.35">
      <c r="A63" s="18"/>
      <c r="B63" s="3" t="s">
        <v>258</v>
      </c>
      <c r="C63" s="3"/>
      <c r="D63" s="3"/>
      <c r="E63" s="3"/>
      <c r="F63" s="4">
        <f>SUM(F60:F62)</f>
        <v>75694.383202244033</v>
      </c>
      <c r="G63" s="4">
        <f>SUM(G60:G62)</f>
        <v>92305.417034266473</v>
      </c>
      <c r="H63" s="4">
        <f>SUM(H60:H62)</f>
        <v>85445.891204609143</v>
      </c>
      <c r="I63" s="4">
        <f>SUM(I60:I62)</f>
        <v>89169.810116655222</v>
      </c>
      <c r="J63" s="4">
        <f>SUM(J60:J62)</f>
        <v>91714.178217821784</v>
      </c>
      <c r="K63" s="9">
        <v>99187</v>
      </c>
      <c r="L63" s="9">
        <v>104646</v>
      </c>
      <c r="M63" s="9">
        <v>105129</v>
      </c>
      <c r="N63" s="9">
        <v>108463</v>
      </c>
      <c r="O63" s="9">
        <v>104880</v>
      </c>
      <c r="P63" s="9">
        <v>96809</v>
      </c>
      <c r="Q63" s="9">
        <v>94326</v>
      </c>
      <c r="R63" s="59">
        <f>SUM(R60:R62)</f>
        <v>100646.5770548304</v>
      </c>
      <c r="S63" s="59">
        <f t="shared" ref="S63:AB63" si="49">SUM(S60:S62)</f>
        <v>98167.156388968244</v>
      </c>
      <c r="T63" s="59">
        <f t="shared" si="49"/>
        <v>98823.061480109842</v>
      </c>
      <c r="U63" s="59">
        <f t="shared" si="49"/>
        <v>106121.41269171618</v>
      </c>
      <c r="V63" s="59">
        <f t="shared" si="49"/>
        <v>113633.49110467086</v>
      </c>
      <c r="W63" s="59">
        <f t="shared" si="49"/>
        <v>116730.43429235586</v>
      </c>
      <c r="X63" s="59">
        <f t="shared" si="49"/>
        <v>119065.04297820297</v>
      </c>
      <c r="Y63" s="59">
        <f t="shared" si="49"/>
        <v>121446.34383776702</v>
      </c>
      <c r="Z63" s="59">
        <f t="shared" si="49"/>
        <v>123875.27071452238</v>
      </c>
      <c r="AA63" s="59">
        <f t="shared" si="49"/>
        <v>126352.77612881281</v>
      </c>
      <c r="AB63" s="59">
        <f t="shared" si="49"/>
        <v>128879.83165138907</v>
      </c>
      <c r="AD63" s="12">
        <f>(R63/K63)^(1/7)-1</f>
        <v>2.0890627421989993E-3</v>
      </c>
      <c r="AE63" s="12">
        <f t="shared" si="45"/>
        <v>2.5034764859638292E-2</v>
      </c>
      <c r="AF63" s="12">
        <f t="shared" si="46"/>
        <v>1.5977339868374463E-2</v>
      </c>
      <c r="AH63" s="18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8"/>
    </row>
    <row r="64" spans="1:51" hidden="1" outlineLevel="1" x14ac:dyDescent="0.35">
      <c r="B64" t="s">
        <v>8</v>
      </c>
      <c r="J64" s="7"/>
      <c r="K64" s="7">
        <f>+'Historical Detailed'!L167</f>
        <v>6289</v>
      </c>
      <c r="L64" s="7">
        <f>+'Historical Detailed'!M167</f>
        <v>8121</v>
      </c>
      <c r="M64" s="7">
        <f>+'Historical Detailed'!N167</f>
        <v>11403</v>
      </c>
      <c r="N64" s="7">
        <f>+'Historical Detailed'!O167</f>
        <v>14870</v>
      </c>
      <c r="O64" s="7">
        <f>+'Historical Detailed'!P167</f>
        <v>15915</v>
      </c>
      <c r="P64" s="7">
        <f>+'Historical Detailed'!Q167</f>
        <v>14443</v>
      </c>
      <c r="Q64" s="7">
        <f>+'Historical Detailed'!R167</f>
        <v>17536</v>
      </c>
      <c r="R64" s="35">
        <f t="shared" ref="R64:AB64" si="50">+Q64*(1+R48)</f>
        <v>19289.600000000002</v>
      </c>
      <c r="S64" s="35">
        <f t="shared" si="50"/>
        <v>19289.600000000002</v>
      </c>
      <c r="T64" s="35">
        <f t="shared" si="50"/>
        <v>20254.080000000002</v>
      </c>
      <c r="U64" s="35">
        <f t="shared" si="50"/>
        <v>21266.784000000003</v>
      </c>
      <c r="V64" s="35">
        <f t="shared" si="50"/>
        <v>22330.123200000005</v>
      </c>
      <c r="W64" s="35">
        <f t="shared" si="50"/>
        <v>23446.629360000006</v>
      </c>
      <c r="X64" s="35">
        <f t="shared" si="50"/>
        <v>24618.960828000007</v>
      </c>
      <c r="Y64" s="35">
        <f t="shared" si="50"/>
        <v>25849.908869400009</v>
      </c>
      <c r="Z64" s="35">
        <f t="shared" si="50"/>
        <v>27142.40431287001</v>
      </c>
      <c r="AA64" s="35">
        <f t="shared" si="50"/>
        <v>28499.524528513513</v>
      </c>
      <c r="AB64" s="35">
        <f t="shared" si="50"/>
        <v>29924.500754939188</v>
      </c>
      <c r="AD64" s="12">
        <f t="shared" si="44"/>
        <v>0.17363896082731567</v>
      </c>
      <c r="AE64" s="12">
        <f t="shared" si="45"/>
        <v>4.4889509982402709E-2</v>
      </c>
      <c r="AF64" s="12">
        <f t="shared" si="46"/>
        <v>4.9769297795628997E-2</v>
      </c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</row>
    <row r="65" spans="2:32" hidden="1" outlineLevel="1" x14ac:dyDescent="0.35">
      <c r="B65" t="s">
        <v>5</v>
      </c>
      <c r="J65" s="7"/>
      <c r="K65" s="7">
        <f>+'Historical Detailed'!L211</f>
        <v>2658</v>
      </c>
      <c r="L65" s="7">
        <f>+'Historical Detailed'!M211</f>
        <v>3180</v>
      </c>
      <c r="M65" s="7">
        <f>+'Historical Detailed'!N211</f>
        <v>3910</v>
      </c>
      <c r="N65" s="7">
        <f>+'Historical Detailed'!O211</f>
        <v>4636</v>
      </c>
      <c r="O65" s="7">
        <f>+'Historical Detailed'!P211</f>
        <v>5688</v>
      </c>
      <c r="P65" s="7">
        <f>+'Historical Detailed'!Q211</f>
        <v>6006</v>
      </c>
      <c r="Q65" s="7">
        <f>+'Historical Detailed'!R211</f>
        <v>7770</v>
      </c>
      <c r="R65" s="35">
        <f t="shared" ref="R65:AB65" si="51">+Q65*(1+R49)</f>
        <v>9324</v>
      </c>
      <c r="S65" s="35">
        <f>+R65*(1+S49)</f>
        <v>10722.599999999999</v>
      </c>
      <c r="T65" s="35">
        <f t="shared" si="51"/>
        <v>11794.859999999999</v>
      </c>
      <c r="U65" s="35">
        <f t="shared" si="51"/>
        <v>12384.602999999999</v>
      </c>
      <c r="V65" s="35">
        <f t="shared" si="51"/>
        <v>12756.141089999999</v>
      </c>
      <c r="W65" s="35">
        <f t="shared" si="51"/>
        <v>13138.825322699999</v>
      </c>
      <c r="X65" s="35">
        <f t="shared" si="51"/>
        <v>13532.990082380999</v>
      </c>
      <c r="Y65" s="35">
        <f t="shared" si="51"/>
        <v>13938.979784852429</v>
      </c>
      <c r="Z65" s="35">
        <f t="shared" si="51"/>
        <v>14357.149178398002</v>
      </c>
      <c r="AA65" s="35">
        <f t="shared" si="51"/>
        <v>14787.863653749942</v>
      </c>
      <c r="AB65" s="35">
        <f t="shared" si="51"/>
        <v>15231.49956336244</v>
      </c>
      <c r="AD65" s="12">
        <f t="shared" si="44"/>
        <v>0.19636554869960143</v>
      </c>
      <c r="AE65" s="12">
        <f t="shared" si="45"/>
        <v>5.0301630652282103E-2</v>
      </c>
      <c r="AF65" s="12">
        <f t="shared" si="46"/>
        <v>7.8714186618170867E-2</v>
      </c>
    </row>
    <row r="66" spans="2:32" hidden="1" outlineLevel="1" x14ac:dyDescent="0.35">
      <c r="B66" t="s">
        <v>6</v>
      </c>
      <c r="K66" s="6">
        <f t="shared" ref="K66:Q66" si="52">+K67-SUM(K63:K65)</f>
        <v>3466</v>
      </c>
      <c r="L66" s="6">
        <f t="shared" si="52"/>
        <v>2997</v>
      </c>
      <c r="M66" s="6">
        <f t="shared" si="52"/>
        <v>2451</v>
      </c>
      <c r="N66" s="6">
        <f t="shared" si="52"/>
        <v>1957</v>
      </c>
      <c r="O66" s="6">
        <f t="shared" si="52"/>
        <v>1748</v>
      </c>
      <c r="P66" s="6">
        <f t="shared" si="52"/>
        <v>1276</v>
      </c>
      <c r="Q66" s="6">
        <f t="shared" si="52"/>
        <v>2636</v>
      </c>
      <c r="R66" s="35">
        <f t="shared" ref="R66:AB66" si="53">+Q66*(1+R50)</f>
        <v>3954</v>
      </c>
      <c r="S66" s="35">
        <f t="shared" si="53"/>
        <v>4547.0999999999995</v>
      </c>
      <c r="T66" s="35">
        <f t="shared" si="53"/>
        <v>5001.8099999999995</v>
      </c>
      <c r="U66" s="35">
        <f t="shared" si="53"/>
        <v>5501.991</v>
      </c>
      <c r="V66" s="35">
        <f t="shared" si="53"/>
        <v>6052.1901000000007</v>
      </c>
      <c r="W66" s="35">
        <f t="shared" si="53"/>
        <v>6506.1043575000003</v>
      </c>
      <c r="X66" s="35">
        <f t="shared" si="53"/>
        <v>6994.0621843125</v>
      </c>
      <c r="Y66" s="35">
        <f t="shared" si="53"/>
        <v>7343.7652935281249</v>
      </c>
      <c r="Z66" s="35">
        <f t="shared" si="53"/>
        <v>7710.9535582045319</v>
      </c>
      <c r="AA66" s="35">
        <f t="shared" si="53"/>
        <v>7942.2821649506677</v>
      </c>
      <c r="AB66" s="35">
        <f t="shared" si="53"/>
        <v>8180.5506298991877</v>
      </c>
      <c r="AD66" s="12">
        <f t="shared" si="44"/>
        <v>1.8996252091541432E-2</v>
      </c>
      <c r="AE66" s="12">
        <f t="shared" si="45"/>
        <v>7.5411279266759168E-2</v>
      </c>
      <c r="AF66" s="12">
        <f t="shared" si="46"/>
        <v>0.12604827169817678</v>
      </c>
    </row>
    <row r="67" spans="2:32" hidden="1" outlineLevel="1" x14ac:dyDescent="0.35">
      <c r="B67" s="3" t="s">
        <v>245</v>
      </c>
      <c r="C67" s="4">
        <f>+'Historical Detailed'!D324</f>
        <v>127514</v>
      </c>
      <c r="D67" s="4">
        <f>+'Historical Detailed'!E324</f>
        <v>101728</v>
      </c>
      <c r="E67" s="4">
        <f>+'Historical Detailed'!F324</f>
        <v>77701</v>
      </c>
      <c r="F67" s="4">
        <f>+'Historical Detailed'!G324</f>
        <v>102413</v>
      </c>
      <c r="G67" s="4">
        <f>+'Historical Detailed'!H324</f>
        <v>114755</v>
      </c>
      <c r="H67" s="4">
        <f>+'Historical Detailed'!I324</f>
        <v>99055</v>
      </c>
      <c r="I67" s="4">
        <f>+'Historical Detailed'!J324</f>
        <v>100328</v>
      </c>
      <c r="J67" s="4">
        <f>+'Historical Detailed'!K324</f>
        <v>99948</v>
      </c>
      <c r="K67" s="4">
        <f>+'Historical Detailed'!L324</f>
        <v>111600</v>
      </c>
      <c r="L67" s="4">
        <f>+'Historical Detailed'!M324</f>
        <v>118944</v>
      </c>
      <c r="M67" s="4">
        <f>+'Historical Detailed'!N324</f>
        <v>122893</v>
      </c>
      <c r="N67" s="4">
        <f>+'Historical Detailed'!O324</f>
        <v>129926</v>
      </c>
      <c r="O67" s="4">
        <f>+'Historical Detailed'!P324</f>
        <v>128231</v>
      </c>
      <c r="P67" s="4">
        <f>+'Historical Detailed'!Q324</f>
        <v>118534</v>
      </c>
      <c r="Q67" s="4">
        <f>+'Historical Detailed'!R324</f>
        <v>122268</v>
      </c>
      <c r="R67" s="38">
        <f>SUM(R63:R66)</f>
        <v>133214.17705483042</v>
      </c>
      <c r="S67" s="38">
        <f t="shared" ref="S67:AB67" si="54">SUM(S63:S66)</f>
        <v>132726.45638896825</v>
      </c>
      <c r="T67" s="38">
        <f t="shared" si="54"/>
        <v>135873.81148010984</v>
      </c>
      <c r="U67" s="38">
        <f t="shared" si="54"/>
        <v>145274.79069171619</v>
      </c>
      <c r="V67" s="38">
        <f t="shared" si="54"/>
        <v>154771.94549467086</v>
      </c>
      <c r="W67" s="38">
        <f t="shared" si="54"/>
        <v>159821.99333255587</v>
      </c>
      <c r="X67" s="38">
        <f t="shared" si="54"/>
        <v>164211.05607289646</v>
      </c>
      <c r="Y67" s="38">
        <f t="shared" si="54"/>
        <v>168578.99778554757</v>
      </c>
      <c r="Z67" s="38">
        <f t="shared" si="54"/>
        <v>173085.77776399493</v>
      </c>
      <c r="AA67" s="38">
        <f t="shared" si="54"/>
        <v>177582.44647602696</v>
      </c>
      <c r="AB67" s="38">
        <f t="shared" si="54"/>
        <v>182216.38259958991</v>
      </c>
      <c r="AD67" s="12">
        <f t="shared" si="44"/>
        <v>2.5613550690481768E-2</v>
      </c>
      <c r="AE67" s="12">
        <f t="shared" si="45"/>
        <v>3.1819419812993965E-2</v>
      </c>
      <c r="AF67" s="12">
        <f t="shared" si="46"/>
        <v>2.7396377525797266E-2</v>
      </c>
    </row>
    <row r="68" spans="2:32" hidden="1" outlineLevel="1" x14ac:dyDescent="0.35">
      <c r="B68" t="s">
        <v>88</v>
      </c>
      <c r="C68" s="6">
        <f>+'Historical Detailed'!D318</f>
        <v>16173</v>
      </c>
      <c r="D68" s="6">
        <f>+'Historical Detailed'!E318</f>
        <v>13647</v>
      </c>
      <c r="E68" s="6">
        <f>+'Historical Detailed'!F318</f>
        <v>12948</v>
      </c>
      <c r="F68" s="6">
        <f>+'Historical Detailed'!G318</f>
        <v>9956</v>
      </c>
      <c r="G68" s="6">
        <f>+'Historical Detailed'!H318</f>
        <v>10560</v>
      </c>
      <c r="H68" s="6">
        <f>+'Historical Detailed'!I318</f>
        <v>6440</v>
      </c>
      <c r="I68" s="6">
        <f>+'Historical Detailed'!J318</f>
        <v>4216</v>
      </c>
      <c r="J68" s="6">
        <f>+'Historical Detailed'!K318</f>
        <v>4228</v>
      </c>
      <c r="K68" s="6">
        <f>+'Historical Detailed'!L318</f>
        <v>4232</v>
      </c>
      <c r="L68" s="6">
        <f>+'Historical Detailed'!M318</f>
        <v>4387</v>
      </c>
      <c r="M68" s="6">
        <f>+'Historical Detailed'!N318</f>
        <v>3408</v>
      </c>
      <c r="N68" s="6">
        <f>+'Historical Detailed'!O318</f>
        <v>3727</v>
      </c>
      <c r="O68" s="6">
        <f>+'Historical Detailed'!P318</f>
        <v>2936</v>
      </c>
      <c r="P68" s="6">
        <f>+'Historical Detailed'!Q318</f>
        <v>14897</v>
      </c>
      <c r="Q68" s="6">
        <f>+'Historical Detailed'!R318</f>
        <v>4560</v>
      </c>
      <c r="R68" s="5">
        <v>4366</v>
      </c>
      <c r="S68" s="5">
        <f t="shared" ref="S68:AB69" si="55">+R68</f>
        <v>4366</v>
      </c>
      <c r="T68" s="5">
        <f t="shared" si="55"/>
        <v>4366</v>
      </c>
      <c r="U68" s="5">
        <f t="shared" si="55"/>
        <v>4366</v>
      </c>
      <c r="V68" s="5">
        <f t="shared" si="55"/>
        <v>4366</v>
      </c>
      <c r="W68" s="5">
        <f t="shared" si="55"/>
        <v>4366</v>
      </c>
      <c r="X68" s="5">
        <f t="shared" si="55"/>
        <v>4366</v>
      </c>
      <c r="Y68" s="5">
        <f t="shared" si="55"/>
        <v>4366</v>
      </c>
      <c r="Z68" s="5">
        <f t="shared" si="55"/>
        <v>4366</v>
      </c>
      <c r="AA68" s="5">
        <f t="shared" si="55"/>
        <v>4366</v>
      </c>
      <c r="AB68" s="5">
        <f t="shared" si="55"/>
        <v>4366</v>
      </c>
      <c r="AD68" s="12">
        <f t="shared" si="44"/>
        <v>4.4631537017671974E-3</v>
      </c>
      <c r="AE68" s="12">
        <f t="shared" si="45"/>
        <v>0</v>
      </c>
      <c r="AF68" s="12">
        <f t="shared" si="46"/>
        <v>3.0993614316882523E-2</v>
      </c>
    </row>
    <row r="69" spans="2:32" hidden="1" outlineLevel="1" x14ac:dyDescent="0.35">
      <c r="B69" t="s">
        <v>93</v>
      </c>
      <c r="C69" s="6">
        <f>+'Historical Detailed'!D323</f>
        <v>20559</v>
      </c>
      <c r="D69" s="6">
        <f>+'Historical Detailed'!E323</f>
        <v>7919</v>
      </c>
      <c r="E69" s="6">
        <f>+'Historical Detailed'!F323</f>
        <v>20625</v>
      </c>
      <c r="F69" s="6">
        <f>+'Historical Detailed'!G323</f>
        <v>11411</v>
      </c>
      <c r="G69" s="6">
        <f>+'Historical Detailed'!H323</f>
        <v>8557</v>
      </c>
      <c r="H69" s="6">
        <f>+'Historical Detailed'!I323</f>
        <v>2576</v>
      </c>
      <c r="I69" s="6">
        <f>+'Historical Detailed'!J323</f>
        <v>35</v>
      </c>
      <c r="J69" s="6">
        <f>+'Historical Detailed'!K323</f>
        <v>2003</v>
      </c>
      <c r="K69" s="6">
        <f>+'Historical Detailed'!L323</f>
        <v>105</v>
      </c>
      <c r="L69" s="6">
        <f>+'Historical Detailed'!M323</f>
        <v>0</v>
      </c>
      <c r="M69" s="6">
        <f>+'Historical Detailed'!N323</f>
        <v>108</v>
      </c>
      <c r="N69" s="6">
        <f>+'Historical Detailed'!O323</f>
        <v>314</v>
      </c>
      <c r="O69" s="6">
        <f>+'Historical Detailed'!P323</f>
        <v>158</v>
      </c>
      <c r="P69" s="6">
        <f>+'Historical Detailed'!Q323</f>
        <v>406</v>
      </c>
      <c r="Q69" s="6">
        <f>+'Historical Detailed'!R323</f>
        <v>549</v>
      </c>
      <c r="R69" s="5">
        <f>+Q69</f>
        <v>549</v>
      </c>
      <c r="S69" s="5">
        <f t="shared" si="55"/>
        <v>549</v>
      </c>
      <c r="T69" s="5">
        <f t="shared" si="55"/>
        <v>549</v>
      </c>
      <c r="U69" s="5">
        <f t="shared" si="55"/>
        <v>549</v>
      </c>
      <c r="V69" s="5">
        <f t="shared" si="55"/>
        <v>549</v>
      </c>
      <c r="W69" s="5">
        <f t="shared" si="55"/>
        <v>549</v>
      </c>
      <c r="X69" s="5">
        <f t="shared" si="55"/>
        <v>549</v>
      </c>
      <c r="Y69" s="5">
        <f t="shared" si="55"/>
        <v>549</v>
      </c>
      <c r="Z69" s="5">
        <f t="shared" si="55"/>
        <v>549</v>
      </c>
      <c r="AA69" s="5">
        <f t="shared" si="55"/>
        <v>549</v>
      </c>
      <c r="AB69" s="5">
        <f t="shared" si="55"/>
        <v>549</v>
      </c>
      <c r="AD69" s="12">
        <f t="shared" si="44"/>
        <v>0.26656111157116835</v>
      </c>
      <c r="AE69" s="12">
        <f t="shared" si="45"/>
        <v>0</v>
      </c>
      <c r="AF69" s="12">
        <f t="shared" si="46"/>
        <v>0.10054768846518769</v>
      </c>
    </row>
    <row r="70" spans="2:32" hidden="1" outlineLevel="1" x14ac:dyDescent="0.35">
      <c r="B70" t="s">
        <v>254</v>
      </c>
      <c r="C70" s="6">
        <f>+SUM('Historical Detailed'!D320:D322)</f>
        <v>16740</v>
      </c>
      <c r="D70" s="6">
        <f>+SUM('Historical Detailed'!E320:E322)</f>
        <v>7444</v>
      </c>
      <c r="E70" s="6">
        <f>+SUM('Historical Detailed'!F320:F322)</f>
        <v>12897</v>
      </c>
      <c r="F70" s="6">
        <f>+SUM('Historical Detailed'!G320:G322)</f>
        <v>15086</v>
      </c>
      <c r="G70" s="6">
        <f>+SUM('Historical Detailed'!H320:H322)</f>
        <v>15757</v>
      </c>
      <c r="H70" s="6">
        <f>+SUM('Historical Detailed'!I320:I322)</f>
        <v>14178</v>
      </c>
      <c r="I70" s="6">
        <f>+SUM('Historical Detailed'!J320:J322)</f>
        <v>17083</v>
      </c>
      <c r="J70" s="6">
        <f>+SUM('Historical Detailed'!K320:K322)</f>
        <v>16137</v>
      </c>
      <c r="K70" s="6">
        <f>+SUM('Historical Detailed'!L320:L322)</f>
        <v>17157</v>
      </c>
      <c r="L70" s="6">
        <f>+SUM('Historical Detailed'!M320:M322)</f>
        <v>19765</v>
      </c>
      <c r="M70" s="6">
        <f>+SUM('Historical Detailed'!N320:N322)</f>
        <v>24720</v>
      </c>
      <c r="N70" s="6">
        <f>+SUM('Historical Detailed'!O320:O322)</f>
        <v>28438</v>
      </c>
      <c r="O70" s="6">
        <f>+SUM('Historical Detailed'!P320:P322)</f>
        <v>32468</v>
      </c>
      <c r="P70" s="6">
        <f>+SUM('Historical Detailed'!Q320:Q322)</f>
        <v>32154</v>
      </c>
      <c r="Q70" s="6">
        <f>+SUM('Historical Detailed'!R320:R322)</f>
        <v>35859</v>
      </c>
      <c r="R70" s="35">
        <f t="shared" ref="R70:Y70" ca="1" si="56">+R72-R71-SUM(R67:R69)</f>
        <v>32548.918219665298</v>
      </c>
      <c r="S70" s="35">
        <f t="shared" ca="1" si="56"/>
        <v>33866.942310520739</v>
      </c>
      <c r="T70" s="35">
        <f t="shared" ca="1" si="56"/>
        <v>38373.50034823647</v>
      </c>
      <c r="U70" s="35">
        <f t="shared" ca="1" si="56"/>
        <v>38826.305687794229</v>
      </c>
      <c r="V70" s="35">
        <f t="shared" ca="1" si="56"/>
        <v>37925.425072085491</v>
      </c>
      <c r="W70" s="35">
        <f t="shared" ca="1" si="56"/>
        <v>41556.733717763011</v>
      </c>
      <c r="X70" s="35">
        <f t="shared" ca="1" si="56"/>
        <v>44289.505199049396</v>
      </c>
      <c r="Y70" s="35">
        <f t="shared" ca="1" si="56"/>
        <v>47370.364571006794</v>
      </c>
      <c r="Z70" s="35">
        <f t="shared" ref="Z70:AB70" ca="1" si="57">+Z72-Z71-SUM(Z67:Z69)</f>
        <v>48659.464073936513</v>
      </c>
      <c r="AA70" s="35">
        <f t="shared" ca="1" si="57"/>
        <v>50138.894736688206</v>
      </c>
      <c r="AB70" s="35">
        <f t="shared" ca="1" si="57"/>
        <v>51661.163411201647</v>
      </c>
      <c r="AD70" s="12">
        <f t="shared" ca="1" si="44"/>
        <v>9.5791397882737606E-2</v>
      </c>
      <c r="AE70" s="12">
        <f t="shared" ca="1" si="45"/>
        <v>4.7279885362188967E-2</v>
      </c>
      <c r="AF70" s="12">
        <f t="shared" ca="1" si="46"/>
        <v>3.637290350733613E-2</v>
      </c>
    </row>
    <row r="71" spans="2:32" hidden="1" outlineLevel="1" x14ac:dyDescent="0.35">
      <c r="B71" t="s">
        <v>244</v>
      </c>
      <c r="C71" s="6">
        <f>+'Historical Detailed'!D327</f>
        <v>32348</v>
      </c>
      <c r="D71" s="6">
        <f>+'Historical Detailed'!E327</f>
        <v>26390</v>
      </c>
      <c r="E71" s="6">
        <f>+'Historical Detailed'!F327</f>
        <v>15995</v>
      </c>
      <c r="F71" s="6">
        <f>+'Historical Detailed'!G327</f>
        <v>9128</v>
      </c>
      <c r="G71" s="6">
        <f>+'Historical Detailed'!H327</f>
        <v>9275</v>
      </c>
      <c r="H71" s="6">
        <f>+'Historical Detailed'!I327</f>
        <v>13550</v>
      </c>
      <c r="I71" s="6">
        <f>+'Historical Detailed'!J327</f>
        <v>17680</v>
      </c>
      <c r="J71" s="6">
        <f>+'Historical Detailed'!K327</f>
        <v>19510</v>
      </c>
      <c r="K71" s="6">
        <f>+'Historical Detailed'!L327</f>
        <v>16271</v>
      </c>
      <c r="L71" s="6">
        <f>+'Historical Detailed'!M327</f>
        <v>11470</v>
      </c>
      <c r="M71" s="6">
        <f>+'Historical Detailed'!N327</f>
        <v>8741</v>
      </c>
      <c r="N71" s="6">
        <f>+'Historical Detailed'!O327</f>
        <v>8417</v>
      </c>
      <c r="O71" s="6">
        <f>+'Historical Detailed'!P327</f>
        <v>8864</v>
      </c>
      <c r="P71" s="6">
        <f>+'Historical Detailed'!Q327</f>
        <v>9639</v>
      </c>
      <c r="Q71" s="6">
        <f>+'Historical Detailed'!R327</f>
        <v>10862</v>
      </c>
      <c r="R71" s="35">
        <f t="shared" ref="R71:AB71" si="58">+Q71*(1+R51)</f>
        <v>10318.9</v>
      </c>
      <c r="S71" s="35">
        <f t="shared" si="58"/>
        <v>9802.9549999999999</v>
      </c>
      <c r="T71" s="35">
        <f t="shared" si="58"/>
        <v>10293.10275</v>
      </c>
      <c r="U71" s="35">
        <f t="shared" si="58"/>
        <v>10396.033777500001</v>
      </c>
      <c r="V71" s="35">
        <f t="shared" si="58"/>
        <v>10499.994115275002</v>
      </c>
      <c r="W71" s="35">
        <f t="shared" si="58"/>
        <v>10604.994056427751</v>
      </c>
      <c r="X71" s="35">
        <f t="shared" si="58"/>
        <v>10711.043996992028</v>
      </c>
      <c r="Y71" s="35">
        <f t="shared" si="58"/>
        <v>10818.154436961948</v>
      </c>
      <c r="Z71" s="35">
        <f t="shared" si="58"/>
        <v>10926.335981331567</v>
      </c>
      <c r="AA71" s="35">
        <f t="shared" si="58"/>
        <v>11035.599341144884</v>
      </c>
      <c r="AB71" s="35">
        <f t="shared" si="58"/>
        <v>11145.955334556333</v>
      </c>
      <c r="AD71" s="12">
        <f t="shared" si="44"/>
        <v>-6.2987047856672418E-2</v>
      </c>
      <c r="AE71" s="12">
        <f t="shared" si="45"/>
        <v>7.7397498697167055E-3</v>
      </c>
      <c r="AF71" s="12">
        <f t="shared" si="46"/>
        <v>1.7777600393199089E-2</v>
      </c>
    </row>
    <row r="72" spans="2:32" hidden="1" outlineLevel="1" x14ac:dyDescent="0.35">
      <c r="B72" s="3" t="s">
        <v>246</v>
      </c>
      <c r="C72" s="4">
        <f t="shared" ref="C72:Q72" si="59">SUM(C67:C71)</f>
        <v>213334</v>
      </c>
      <c r="D72" s="4">
        <f t="shared" si="59"/>
        <v>157128</v>
      </c>
      <c r="E72" s="4">
        <f t="shared" si="59"/>
        <v>140166</v>
      </c>
      <c r="F72" s="4">
        <f t="shared" si="59"/>
        <v>147994</v>
      </c>
      <c r="G72" s="4">
        <f t="shared" si="59"/>
        <v>158904</v>
      </c>
      <c r="H72" s="4">
        <f t="shared" si="59"/>
        <v>135799</v>
      </c>
      <c r="I72" s="4">
        <f t="shared" si="59"/>
        <v>139342</v>
      </c>
      <c r="J72" s="4">
        <f t="shared" si="59"/>
        <v>141826</v>
      </c>
      <c r="K72" s="4">
        <f t="shared" si="59"/>
        <v>149365</v>
      </c>
      <c r="L72" s="4">
        <f t="shared" si="59"/>
        <v>154566</v>
      </c>
      <c r="M72" s="4">
        <f t="shared" si="59"/>
        <v>159870</v>
      </c>
      <c r="N72" s="4">
        <f t="shared" si="59"/>
        <v>170822</v>
      </c>
      <c r="O72" s="4">
        <f t="shared" si="59"/>
        <v>172657</v>
      </c>
      <c r="P72" s="4">
        <f t="shared" si="59"/>
        <v>175630</v>
      </c>
      <c r="Q72" s="4">
        <f t="shared" si="59"/>
        <v>174098</v>
      </c>
      <c r="R72" s="38">
        <f ca="1">R76-SUM(R73:R75)</f>
        <v>180996.99527449571</v>
      </c>
      <c r="S72" s="38">
        <f t="shared" ref="S72:AB72" ca="1" si="60">S76-SUM(S73:S75)</f>
        <v>181311.35369948897</v>
      </c>
      <c r="T72" s="38">
        <f t="shared" ca="1" si="60"/>
        <v>189455.4145783463</v>
      </c>
      <c r="U72" s="38">
        <f t="shared" ca="1" si="60"/>
        <v>199412.13015701043</v>
      </c>
      <c r="V72" s="38">
        <f t="shared" ca="1" si="60"/>
        <v>208112.36468203136</v>
      </c>
      <c r="W72" s="38">
        <f t="shared" ca="1" si="60"/>
        <v>216898.72110674664</v>
      </c>
      <c r="X72" s="38">
        <f t="shared" ca="1" si="60"/>
        <v>224126.60526893788</v>
      </c>
      <c r="Y72" s="38">
        <f t="shared" ca="1" si="60"/>
        <v>231682.51679351632</v>
      </c>
      <c r="Z72" s="38">
        <f t="shared" ca="1" si="60"/>
        <v>237586.57781926301</v>
      </c>
      <c r="AA72" s="38">
        <f t="shared" ca="1" si="60"/>
        <v>243671.94055386004</v>
      </c>
      <c r="AB72" s="38">
        <f t="shared" ca="1" si="60"/>
        <v>249938.5013453479</v>
      </c>
      <c r="AD72" s="12">
        <f t="shared" ca="1" si="44"/>
        <v>2.782103877690667E-2</v>
      </c>
      <c r="AE72" s="12">
        <f t="shared" ca="1" si="45"/>
        <v>3.2799881955552612E-2</v>
      </c>
      <c r="AF72" s="12">
        <f t="shared" ca="1" si="46"/>
        <v>2.8863151027319844E-2</v>
      </c>
    </row>
    <row r="73" spans="2:32" hidden="1" outlineLevel="1" x14ac:dyDescent="0.35">
      <c r="B73" t="s">
        <v>261</v>
      </c>
      <c r="C73" s="6">
        <f>+'Historical Detailed'!D317</f>
        <v>1504</v>
      </c>
      <c r="D73" s="6">
        <f>+'Historical Detailed'!E317</f>
        <v>1504</v>
      </c>
      <c r="E73" s="6">
        <f>+'Historical Detailed'!F317</f>
        <v>1840</v>
      </c>
      <c r="F73" s="6">
        <f>+'Historical Detailed'!G317</f>
        <v>1714</v>
      </c>
      <c r="G73" s="6">
        <f>+'Historical Detailed'!H317</f>
        <v>2475</v>
      </c>
      <c r="H73" s="6">
        <f>+'Historical Detailed'!I317</f>
        <v>1073</v>
      </c>
      <c r="I73" s="6">
        <f>+'Historical Detailed'!J317</f>
        <v>1315</v>
      </c>
      <c r="J73" s="6">
        <f>+'Historical Detailed'!K317</f>
        <v>1348</v>
      </c>
      <c r="K73" s="6">
        <f>+'Historical Detailed'!L317</f>
        <v>2148</v>
      </c>
      <c r="L73" s="6">
        <f>+'Historical Detailed'!M317</f>
        <v>1547</v>
      </c>
      <c r="M73" s="6">
        <f>+'Historical Detailed'!N317</f>
        <v>844</v>
      </c>
      <c r="N73" s="6">
        <f>+'Historical Detailed'!O317</f>
        <v>810</v>
      </c>
      <c r="O73" s="6">
        <f>+'Historical Detailed'!P317</f>
        <v>619</v>
      </c>
      <c r="P73" s="6">
        <f>+'Historical Detailed'!Q317</f>
        <v>724</v>
      </c>
      <c r="Q73" s="6">
        <f>+'Historical Detailed'!R317</f>
        <v>502</v>
      </c>
      <c r="R73" s="5">
        <f>+Q73</f>
        <v>502</v>
      </c>
      <c r="S73" s="5">
        <f t="shared" ref="S73:AB73" si="61">+R73</f>
        <v>502</v>
      </c>
      <c r="T73" s="5">
        <f t="shared" si="61"/>
        <v>502</v>
      </c>
      <c r="U73" s="5">
        <f t="shared" si="61"/>
        <v>502</v>
      </c>
      <c r="V73" s="5">
        <f t="shared" si="61"/>
        <v>502</v>
      </c>
      <c r="W73" s="5">
        <f t="shared" si="61"/>
        <v>502</v>
      </c>
      <c r="X73" s="5">
        <f t="shared" si="61"/>
        <v>502</v>
      </c>
      <c r="Y73" s="5">
        <f t="shared" si="61"/>
        <v>502</v>
      </c>
      <c r="Z73" s="5">
        <f t="shared" si="61"/>
        <v>502</v>
      </c>
      <c r="AA73" s="5">
        <f t="shared" si="61"/>
        <v>502</v>
      </c>
      <c r="AB73" s="5">
        <f t="shared" si="61"/>
        <v>502</v>
      </c>
      <c r="AD73" s="12">
        <f t="shared" si="44"/>
        <v>-0.18752516186360402</v>
      </c>
      <c r="AE73" s="12">
        <f t="shared" si="45"/>
        <v>0</v>
      </c>
      <c r="AF73" s="12">
        <f t="shared" si="46"/>
        <v>-1.5986616593441361E-2</v>
      </c>
    </row>
    <row r="74" spans="2:32" hidden="1" outlineLevel="1" x14ac:dyDescent="0.35">
      <c r="B74" t="s">
        <v>179</v>
      </c>
      <c r="C74" s="6">
        <f>+'Historical Detailed'!D325</f>
        <v>-2755</v>
      </c>
      <c r="D74" s="6">
        <f>+'Historical Detailed'!E325</f>
        <v>-3433</v>
      </c>
      <c r="E74" s="6">
        <f>+'Historical Detailed'!F325</f>
        <v>-2445</v>
      </c>
      <c r="F74" s="6">
        <f>+'Historical Detailed'!G325</f>
        <v>-1873</v>
      </c>
      <c r="G74" s="6">
        <f>+'Historical Detailed'!H325</f>
        <v>-1503</v>
      </c>
      <c r="H74" s="6">
        <f>+'Historical Detailed'!I325</f>
        <v>-1170</v>
      </c>
      <c r="I74" s="6">
        <f>+'Historical Detailed'!J325</f>
        <v>-1208</v>
      </c>
      <c r="J74" s="6">
        <f>+'Historical Detailed'!K325</f>
        <v>-977</v>
      </c>
      <c r="K74" s="6">
        <f>+'Historical Detailed'!L325</f>
        <v>-1054</v>
      </c>
      <c r="L74" s="6">
        <f>+'Historical Detailed'!M325</f>
        <v>-1144</v>
      </c>
      <c r="M74" s="6">
        <f>+'Historical Detailed'!N325</f>
        <v>-1276</v>
      </c>
      <c r="N74" s="6">
        <f>+'Historical Detailed'!O325</f>
        <v>-1242</v>
      </c>
      <c r="O74" s="6">
        <f>+'Historical Detailed'!P325</f>
        <v>-1263</v>
      </c>
      <c r="P74" s="6">
        <f>+'Historical Detailed'!Q325</f>
        <v>-3283</v>
      </c>
      <c r="Q74" s="6">
        <f>+'Historical Detailed'!R325</f>
        <v>-3267</v>
      </c>
      <c r="R74" s="35">
        <f>-R212</f>
        <v>-3743.4393962945278</v>
      </c>
      <c r="S74" s="35">
        <f t="shared" ref="S74:AB74" si="62">-S212</f>
        <v>-3331.1342641274819</v>
      </c>
      <c r="T74" s="35">
        <f t="shared" si="62"/>
        <v>-3128.5558340511229</v>
      </c>
      <c r="U74" s="35">
        <f t="shared" si="62"/>
        <v>-3275.6601577446872</v>
      </c>
      <c r="V74" s="35">
        <f t="shared" si="62"/>
        <v>-3443.5481958073347</v>
      </c>
      <c r="W74" s="35">
        <f t="shared" si="62"/>
        <v>-3550.9235364120032</v>
      </c>
      <c r="X74" s="35">
        <f t="shared" si="62"/>
        <v>-3633.8682358771384</v>
      </c>
      <c r="Y74" s="35">
        <f t="shared" si="62"/>
        <v>-3717.3828065066127</v>
      </c>
      <c r="Z74" s="35">
        <f t="shared" si="62"/>
        <v>-3803.0824628641094</v>
      </c>
      <c r="AA74" s="35">
        <f t="shared" si="62"/>
        <v>-3889.4936436889125</v>
      </c>
      <c r="AB74" s="35">
        <f t="shared" si="62"/>
        <v>-3978.1063885031144</v>
      </c>
      <c r="AD74" s="12">
        <f t="shared" si="44"/>
        <v>0.19848577887909302</v>
      </c>
      <c r="AE74" s="12">
        <f t="shared" si="45"/>
        <v>6.0986324721861163E-3</v>
      </c>
      <c r="AF74" s="12">
        <f t="shared" si="46"/>
        <v>9.2266705325450893E-2</v>
      </c>
    </row>
    <row r="75" spans="2:32" hidden="1" outlineLevel="1" x14ac:dyDescent="0.35">
      <c r="B75" t="s">
        <v>12</v>
      </c>
      <c r="C75" s="6">
        <f t="shared" ref="C75:P75" si="63">+C76-SUM(C72:C74)</f>
        <v>36856</v>
      </c>
      <c r="D75" s="6">
        <f t="shared" si="63"/>
        <v>34277</v>
      </c>
      <c r="E75" s="6">
        <f t="shared" si="63"/>
        <v>32745</v>
      </c>
      <c r="F75" s="6">
        <f t="shared" si="63"/>
        <v>24173</v>
      </c>
      <c r="G75" s="6">
        <f t="shared" si="63"/>
        <v>24183</v>
      </c>
      <c r="H75" s="6">
        <f t="shared" si="63"/>
        <v>46645</v>
      </c>
      <c r="I75" s="6">
        <f t="shared" si="63"/>
        <v>11718</v>
      </c>
      <c r="J75" s="6">
        <f t="shared" si="63"/>
        <v>9434</v>
      </c>
      <c r="K75" s="6">
        <f t="shared" si="63"/>
        <v>8122</v>
      </c>
      <c r="L75" s="6">
        <f t="shared" si="63"/>
        <v>8759</v>
      </c>
      <c r="M75" s="6">
        <f t="shared" si="63"/>
        <v>7710</v>
      </c>
      <c r="N75" s="6">
        <f t="shared" si="63"/>
        <v>8479</v>
      </c>
      <c r="O75" s="6">
        <f t="shared" si="63"/>
        <v>8631</v>
      </c>
      <c r="P75" s="6">
        <f t="shared" si="63"/>
        <v>9094</v>
      </c>
      <c r="Q75" s="6">
        <f>+Q76-SUM(Q72:Q74)</f>
        <v>10781</v>
      </c>
      <c r="R75" s="5">
        <f>+Q75*1.02</f>
        <v>10996.62</v>
      </c>
      <c r="S75" s="5">
        <f t="shared" ref="S75:AB75" si="64">+R75*1.02</f>
        <v>11216.5524</v>
      </c>
      <c r="T75" s="5">
        <f t="shared" si="64"/>
        <v>11440.883448</v>
      </c>
      <c r="U75" s="5">
        <f t="shared" si="64"/>
        <v>11669.701116960001</v>
      </c>
      <c r="V75" s="5">
        <f t="shared" si="64"/>
        <v>11903.095139299201</v>
      </c>
      <c r="W75" s="5">
        <f t="shared" si="64"/>
        <v>12141.157042085186</v>
      </c>
      <c r="X75" s="5">
        <f t="shared" si="64"/>
        <v>12383.980182926889</v>
      </c>
      <c r="Y75" s="5">
        <f t="shared" si="64"/>
        <v>12631.659786585427</v>
      </c>
      <c r="Z75" s="5">
        <f t="shared" si="64"/>
        <v>12884.292982317136</v>
      </c>
      <c r="AA75" s="5">
        <f t="shared" si="64"/>
        <v>13141.978841963479</v>
      </c>
      <c r="AB75" s="5">
        <f t="shared" si="64"/>
        <v>13404.818418802748</v>
      </c>
      <c r="AD75" s="12">
        <f t="shared" si="44"/>
        <v>4.4237924485597047E-2</v>
      </c>
      <c r="AE75" s="12">
        <f t="shared" si="45"/>
        <v>2.0000000000000018E-2</v>
      </c>
      <c r="AF75" s="12">
        <f t="shared" si="46"/>
        <v>3.4445651657062148E-2</v>
      </c>
    </row>
    <row r="76" spans="2:32" hidden="1" outlineLevel="1" x14ac:dyDescent="0.35">
      <c r="B76" s="3" t="s">
        <v>98</v>
      </c>
      <c r="C76" s="4">
        <f>+'Historical Detailed'!D330</f>
        <v>248939</v>
      </c>
      <c r="D76" s="4">
        <f>+'Historical Detailed'!E330</f>
        <v>189476</v>
      </c>
      <c r="E76" s="4">
        <f>+'Historical Detailed'!F330</f>
        <v>172306</v>
      </c>
      <c r="F76" s="4">
        <f>+'Historical Detailed'!G330</f>
        <v>172008</v>
      </c>
      <c r="G76" s="4">
        <f>+'Historical Detailed'!H330</f>
        <v>184059</v>
      </c>
      <c r="H76" s="4">
        <f>+'Historical Detailed'!I330</f>
        <v>182347</v>
      </c>
      <c r="I76" s="4">
        <f>+'Historical Detailed'!J330</f>
        <v>151167</v>
      </c>
      <c r="J76" s="4">
        <f>+'Historical Detailed'!K330</f>
        <v>151631</v>
      </c>
      <c r="K76" s="4">
        <f>+'Historical Detailed'!L330</f>
        <v>158581</v>
      </c>
      <c r="L76" s="4">
        <f>+'Historical Detailed'!M330</f>
        <v>163728</v>
      </c>
      <c r="M76" s="4">
        <f>+'Historical Detailed'!N330</f>
        <v>167148</v>
      </c>
      <c r="N76" s="4">
        <f>+'Historical Detailed'!O330</f>
        <v>178869</v>
      </c>
      <c r="O76" s="4">
        <f>+'Historical Detailed'!P330</f>
        <v>180644</v>
      </c>
      <c r="P76" s="4">
        <f>+'Historical Detailed'!Q330</f>
        <v>182165</v>
      </c>
      <c r="Q76" s="4">
        <f>+'Historical Detailed'!R330</f>
        <v>182114</v>
      </c>
      <c r="R76" s="38">
        <f ca="1">+R83</f>
        <v>188752.17587820117</v>
      </c>
      <c r="S76" s="38">
        <f t="shared" ref="S76:AB76" ca="1" si="65">+S83</f>
        <v>189698.77183536149</v>
      </c>
      <c r="T76" s="38">
        <f t="shared" ca="1" si="65"/>
        <v>198269.74219229518</v>
      </c>
      <c r="U76" s="38">
        <f t="shared" ca="1" si="65"/>
        <v>208308.17111622574</v>
      </c>
      <c r="V76" s="38">
        <f t="shared" ca="1" si="65"/>
        <v>217073.91162552324</v>
      </c>
      <c r="W76" s="38">
        <f t="shared" ca="1" si="65"/>
        <v>225990.95461241982</v>
      </c>
      <c r="X76" s="38">
        <f t="shared" ca="1" si="65"/>
        <v>233378.71721598762</v>
      </c>
      <c r="Y76" s="38">
        <f t="shared" ca="1" si="65"/>
        <v>241098.79377359513</v>
      </c>
      <c r="Z76" s="38">
        <f t="shared" ca="1" si="65"/>
        <v>247169.78833871603</v>
      </c>
      <c r="AA76" s="38">
        <f t="shared" ca="1" si="65"/>
        <v>253426.42575213462</v>
      </c>
      <c r="AB76" s="38">
        <f t="shared" ca="1" si="65"/>
        <v>259867.21337564755</v>
      </c>
      <c r="AD76" s="12">
        <f t="shared" ca="1" si="44"/>
        <v>2.5193468552149989E-2</v>
      </c>
      <c r="AE76" s="12">
        <f t="shared" ca="1" si="45"/>
        <v>3.2490233457718176E-2</v>
      </c>
      <c r="AF76" s="12">
        <f t="shared" ca="1" si="46"/>
        <v>2.8367407023778712E-2</v>
      </c>
    </row>
    <row r="77" spans="2:32" hidden="1" outlineLevel="1" x14ac:dyDescent="0.35"/>
    <row r="78" spans="2:32" hidden="1" outlineLevel="1" x14ac:dyDescent="0.35">
      <c r="B78" t="s">
        <v>247</v>
      </c>
      <c r="C78" s="6">
        <f>+'Historical Detailed'!D334</f>
        <v>15281</v>
      </c>
      <c r="D78" s="6">
        <f>+'Historical Detailed'!E334</f>
        <v>19807</v>
      </c>
      <c r="E78" s="6">
        <f>+'Historical Detailed'!F334</f>
        <v>31756</v>
      </c>
      <c r="F78" s="6">
        <f>+'Historical Detailed'!G334</f>
        <v>39048</v>
      </c>
      <c r="G78" s="6">
        <f>+'Historical Detailed'!H334</f>
        <v>45050</v>
      </c>
      <c r="H78" s="6">
        <f>+'Historical Detailed'!I334</f>
        <v>47915</v>
      </c>
      <c r="I78" s="6">
        <f>+'Historical Detailed'!J334</f>
        <v>53350</v>
      </c>
      <c r="J78" s="6">
        <f>+'Historical Detailed'!K334</f>
        <v>58203</v>
      </c>
      <c r="K78" s="6">
        <f>+'Historical Detailed'!L334</f>
        <v>66478</v>
      </c>
      <c r="L78" s="6">
        <f>+'Historical Detailed'!M334</f>
        <v>79022</v>
      </c>
      <c r="M78" s="6">
        <f>+'Historical Detailed'!N334</f>
        <v>93256</v>
      </c>
      <c r="N78" s="6">
        <f>+'Historical Detailed'!O334</f>
        <v>106178</v>
      </c>
      <c r="O78" s="6">
        <f>+'Historical Detailed'!P334</f>
        <v>120752</v>
      </c>
      <c r="P78" s="6">
        <f>+'Historical Detailed'!Q334</f>
        <v>137036</v>
      </c>
      <c r="Q78" s="6">
        <f>+'Historical Detailed'!R334</f>
        <v>141558</v>
      </c>
      <c r="R78" s="35">
        <f t="shared" ref="R78:AB78" si="66">+Q78*(1+R55)</f>
        <v>145804.74</v>
      </c>
      <c r="S78" s="35">
        <f t="shared" si="66"/>
        <v>147262.7874</v>
      </c>
      <c r="T78" s="35">
        <f t="shared" si="66"/>
        <v>156098.55464400002</v>
      </c>
      <c r="U78" s="35">
        <f t="shared" si="66"/>
        <v>165464.46792264003</v>
      </c>
      <c r="V78" s="35">
        <f t="shared" si="66"/>
        <v>173737.69131877203</v>
      </c>
      <c r="W78" s="35">
        <f t="shared" si="66"/>
        <v>182424.57588471065</v>
      </c>
      <c r="X78" s="35">
        <f t="shared" si="66"/>
        <v>189721.55892009908</v>
      </c>
      <c r="Y78" s="35">
        <f t="shared" si="66"/>
        <v>197310.42127690304</v>
      </c>
      <c r="Z78" s="35">
        <f t="shared" si="66"/>
        <v>203229.73391521015</v>
      </c>
      <c r="AA78" s="35">
        <f t="shared" si="66"/>
        <v>209326.62593266644</v>
      </c>
      <c r="AB78" s="35">
        <f t="shared" si="66"/>
        <v>215606.42471064645</v>
      </c>
      <c r="AD78" s="12">
        <f t="shared" ref="AD78:AD83" si="67">(R78/K78)^(1/7)-1</f>
        <v>0.11873614823897882</v>
      </c>
      <c r="AE78" s="12">
        <f t="shared" ref="AE78:AE83" si="68">(AB78/R78)^(1/10)-1</f>
        <v>3.9893839820220434E-2</v>
      </c>
      <c r="AF78" s="12">
        <f t="shared" si="46"/>
        <v>4.5602758698630508E-2</v>
      </c>
    </row>
    <row r="79" spans="2:32" hidden="1" outlineLevel="1" x14ac:dyDescent="0.35">
      <c r="B79" t="s">
        <v>200</v>
      </c>
      <c r="C79" s="6">
        <f>SUM('Historical Detailed'!D335:D336)</f>
        <v>193148</v>
      </c>
      <c r="D79" s="6">
        <f>SUM('Historical Detailed'!E335:E336)</f>
        <v>126321</v>
      </c>
      <c r="E79" s="6">
        <f>SUM('Historical Detailed'!F335:F336)</f>
        <v>98313</v>
      </c>
      <c r="F79" s="6">
        <f>SUM('Historical Detailed'!G335:G336)</f>
        <v>94120</v>
      </c>
      <c r="G79" s="6">
        <f>SUM('Historical Detailed'!H335:H336)</f>
        <v>100565</v>
      </c>
      <c r="H79" s="6">
        <f>SUM('Historical Detailed'!I335:I336)</f>
        <v>82022</v>
      </c>
      <c r="I79" s="6">
        <f>SUM('Historical Detailed'!J335:J336)</f>
        <v>78010</v>
      </c>
      <c r="J79" s="6">
        <f>SUM('Historical Detailed'!K335:K336)</f>
        <v>73442</v>
      </c>
      <c r="K79" s="6">
        <f>SUM('Historical Detailed'!L335:L336)</f>
        <v>74335</v>
      </c>
      <c r="L79" s="6">
        <f>SUM('Historical Detailed'!M335:M336)</f>
        <v>66801</v>
      </c>
      <c r="M79" s="6">
        <f>SUM('Historical Detailed'!N335:N336)</f>
        <v>55639</v>
      </c>
      <c r="N79" s="6">
        <f>SUM('Historical Detailed'!O335:O336)</f>
        <v>54180</v>
      </c>
      <c r="O79" s="6">
        <f>SUM('Historical Detailed'!P335:P336)</f>
        <v>39558</v>
      </c>
      <c r="P79" s="6">
        <f>SUM('Historical Detailed'!Q335:Q336)</f>
        <v>24142</v>
      </c>
      <c r="Q79" s="6">
        <f>SUM('Historical Detailed'!R335:R336)</f>
        <v>17029</v>
      </c>
      <c r="R79" s="5">
        <f>16628+7200</f>
        <v>23828</v>
      </c>
      <c r="S79" s="5">
        <f>+R79*0.96</f>
        <v>22874.879999999997</v>
      </c>
      <c r="T79" s="5">
        <f t="shared" ref="T79:AB79" si="69">+S79*0.96</f>
        <v>21959.884799999996</v>
      </c>
      <c r="U79" s="5">
        <f t="shared" si="69"/>
        <v>21081.489407999994</v>
      </c>
      <c r="V79" s="5">
        <f t="shared" si="69"/>
        <v>20238.229831679993</v>
      </c>
      <c r="W79" s="5">
        <f t="shared" si="69"/>
        <v>19428.700638412793</v>
      </c>
      <c r="X79" s="5">
        <f t="shared" si="69"/>
        <v>18651.552612876279</v>
      </c>
      <c r="Y79" s="5">
        <f t="shared" si="69"/>
        <v>17905.490508361228</v>
      </c>
      <c r="Z79" s="5">
        <f t="shared" si="69"/>
        <v>17189.270888026778</v>
      </c>
      <c r="AA79" s="5">
        <f t="shared" si="69"/>
        <v>16501.700052505708</v>
      </c>
      <c r="AB79" s="5">
        <f t="shared" si="69"/>
        <v>15841.63205040548</v>
      </c>
      <c r="AD79" s="12">
        <f t="shared" si="67"/>
        <v>-0.15001069023881541</v>
      </c>
      <c r="AE79" s="12">
        <f t="shared" si="68"/>
        <v>-4.0000000000000036E-2</v>
      </c>
      <c r="AF79" s="12">
        <f t="shared" si="46"/>
        <v>-6.7973796017194332E-2</v>
      </c>
    </row>
    <row r="80" spans="2:32" hidden="1" outlineLevel="1" x14ac:dyDescent="0.35">
      <c r="B80" t="s">
        <v>248</v>
      </c>
      <c r="C80" s="6">
        <f>+'Historical Detailed'!D342</f>
        <v>1052</v>
      </c>
      <c r="D80" s="6">
        <f>+'Historical Detailed'!E342</f>
        <v>6287</v>
      </c>
      <c r="E80" s="6">
        <f>+'Historical Detailed'!F342</f>
        <v>12180</v>
      </c>
      <c r="F80" s="6">
        <f>+'Historical Detailed'!G342</f>
        <v>6972</v>
      </c>
      <c r="G80" s="6">
        <f>+'Historical Detailed'!H342</f>
        <v>6940</v>
      </c>
      <c r="H80" s="6">
        <f>+'Historical Detailed'!I342</f>
        <v>6940</v>
      </c>
      <c r="I80" s="6">
        <f>+'Historical Detailed'!J342</f>
        <v>1255</v>
      </c>
      <c r="J80" s="6">
        <f>+'Historical Detailed'!K342</f>
        <v>1255</v>
      </c>
      <c r="K80" s="6">
        <f>+'Historical Detailed'!L342</f>
        <v>696</v>
      </c>
      <c r="L80" s="6">
        <f>+'Historical Detailed'!M342</f>
        <v>0</v>
      </c>
      <c r="M80" s="6">
        <f>+'Historical Detailed'!N342</f>
        <v>0</v>
      </c>
      <c r="N80" s="6">
        <f>+'Historical Detailed'!O342</f>
        <v>0</v>
      </c>
      <c r="O80" s="6">
        <f>+'Historical Detailed'!P342</f>
        <v>0</v>
      </c>
      <c r="P80" s="6">
        <f>+'Historical Detailed'!Q342</f>
        <v>0</v>
      </c>
      <c r="Q80" s="6">
        <f>+'Historical Detailed'!R342</f>
        <v>2324</v>
      </c>
      <c r="R80" s="5">
        <f>+Q80</f>
        <v>2324</v>
      </c>
      <c r="S80" s="5">
        <f t="shared" ref="S80:AB82" si="70">+R80</f>
        <v>2324</v>
      </c>
      <c r="T80" s="5">
        <f t="shared" si="70"/>
        <v>2324</v>
      </c>
      <c r="U80" s="5">
        <f t="shared" si="70"/>
        <v>2324</v>
      </c>
      <c r="V80" s="5">
        <f t="shared" si="70"/>
        <v>2324</v>
      </c>
      <c r="W80" s="5">
        <f t="shared" si="70"/>
        <v>2324</v>
      </c>
      <c r="X80" s="5">
        <f t="shared" si="70"/>
        <v>2324</v>
      </c>
      <c r="Y80" s="5">
        <f t="shared" si="70"/>
        <v>2324</v>
      </c>
      <c r="Z80" s="5">
        <f t="shared" si="70"/>
        <v>2324</v>
      </c>
      <c r="AA80" s="5">
        <f t="shared" si="70"/>
        <v>2324</v>
      </c>
      <c r="AB80" s="5">
        <f t="shared" si="70"/>
        <v>2324</v>
      </c>
      <c r="AD80" s="12">
        <f t="shared" si="67"/>
        <v>0.18796553340461575</v>
      </c>
      <c r="AE80" s="12">
        <f t="shared" si="68"/>
        <v>0</v>
      </c>
      <c r="AF80" s="12" t="e">
        <f t="shared" si="46"/>
        <v>#DIV/0!</v>
      </c>
    </row>
    <row r="81" spans="2:32" hidden="1" outlineLevel="1" x14ac:dyDescent="0.35">
      <c r="B81" t="s">
        <v>250</v>
      </c>
      <c r="C81" s="6">
        <f>SUM('Historical Detailed'!D341:D345)-C80</f>
        <v>14513</v>
      </c>
      <c r="D81" s="6">
        <f>SUM('Historical Detailed'!E341:E345)-D80</f>
        <v>15567</v>
      </c>
      <c r="E81" s="6">
        <f>SUM('Historical Detailed'!F341:F345)-E80</f>
        <v>8659</v>
      </c>
      <c r="F81" s="6">
        <f>SUM('Historical Detailed'!G341:G345)-F80</f>
        <v>13517</v>
      </c>
      <c r="G81" s="6">
        <f>SUM('Historical Detailed'!H341:H345)-G80</f>
        <v>12340</v>
      </c>
      <c r="H81" s="6">
        <f>SUM('Historical Detailed'!I341:I345)-H80</f>
        <v>12958</v>
      </c>
      <c r="I81" s="6">
        <f>SUM('Historical Detailed'!J341:J345)-I80</f>
        <v>12953</v>
      </c>
      <c r="J81" s="6">
        <f>SUM('Historical Detailed'!K341:K345)-J80</f>
        <v>14144</v>
      </c>
      <c r="K81" s="6">
        <f>SUM('Historical Detailed'!L341:L345)-K80</f>
        <v>12743</v>
      </c>
      <c r="L81" s="6">
        <f>SUM('Historical Detailed'!M341:M345)-L80</f>
        <v>13317</v>
      </c>
      <c r="M81" s="6">
        <f>SUM('Historical Detailed'!N341:N345)-M80</f>
        <v>13494</v>
      </c>
      <c r="N81" s="6">
        <f>SUM('Historical Detailed'!O341:O345)-N80</f>
        <v>13268</v>
      </c>
      <c r="O81" s="6">
        <f>SUM('Historical Detailed'!P341:P345)-O80</f>
        <v>14416</v>
      </c>
      <c r="P81" s="6">
        <f>SUM('Historical Detailed'!Q341:Q345)-P80</f>
        <v>14703</v>
      </c>
      <c r="Q81" s="6">
        <f>SUM('Historical Detailed'!R341:R345)-Q80</f>
        <v>14726</v>
      </c>
      <c r="R81" s="35">
        <f t="shared" ref="R81:AB81" ca="1" si="71">+Q81+R22</f>
        <v>10318.435878201188</v>
      </c>
      <c r="S81" s="35">
        <f t="shared" ca="1" si="71"/>
        <v>10760.10443536148</v>
      </c>
      <c r="T81" s="35">
        <f t="shared" ca="1" si="71"/>
        <v>11410.302748295162</v>
      </c>
      <c r="U81" s="35">
        <f t="shared" ca="1" si="71"/>
        <v>12961.213785585713</v>
      </c>
      <c r="V81" s="35">
        <f t="shared" ca="1" si="71"/>
        <v>14296.990475071229</v>
      </c>
      <c r="W81" s="35">
        <f t="shared" ca="1" si="71"/>
        <v>15336.67808929638</v>
      </c>
      <c r="X81" s="35">
        <f t="shared" ca="1" si="71"/>
        <v>16204.605683012249</v>
      </c>
      <c r="Y81" s="35">
        <f t="shared" ca="1" si="71"/>
        <v>17081.881988330853</v>
      </c>
      <c r="Z81" s="35">
        <f t="shared" ca="1" si="71"/>
        <v>17949.783535479102</v>
      </c>
      <c r="AA81" s="35">
        <f t="shared" ca="1" si="71"/>
        <v>18797.099766962474</v>
      </c>
      <c r="AB81" s="35">
        <f t="shared" ca="1" si="71"/>
        <v>19618.156614595628</v>
      </c>
      <c r="AD81" s="12">
        <f t="shared" ca="1" si="67"/>
        <v>-2.9700010562000889E-2</v>
      </c>
      <c r="AE81" s="12">
        <f t="shared" ca="1" si="68"/>
        <v>6.636144075220618E-2</v>
      </c>
      <c r="AF81" s="12">
        <f t="shared" ca="1" si="46"/>
        <v>2.398439974887312E-2</v>
      </c>
    </row>
    <row r="82" spans="2:32" hidden="1" outlineLevel="1" x14ac:dyDescent="0.35">
      <c r="B82" t="s">
        <v>12</v>
      </c>
      <c r="C82" s="6">
        <f t="shared" ref="C82:P82" si="72">+C83-SUM(C78:C81)</f>
        <v>24945</v>
      </c>
      <c r="D82" s="6">
        <f t="shared" si="72"/>
        <v>21494</v>
      </c>
      <c r="E82" s="6">
        <f t="shared" si="72"/>
        <v>21398</v>
      </c>
      <c r="F82" s="6">
        <f t="shared" si="72"/>
        <v>18351</v>
      </c>
      <c r="G82" s="6">
        <f t="shared" si="72"/>
        <v>19164</v>
      </c>
      <c r="H82" s="6">
        <f t="shared" si="72"/>
        <v>32512</v>
      </c>
      <c r="I82" s="6">
        <f t="shared" si="72"/>
        <v>5599</v>
      </c>
      <c r="J82" s="6">
        <f t="shared" si="72"/>
        <v>4587</v>
      </c>
      <c r="K82" s="6">
        <f t="shared" si="72"/>
        <v>4329</v>
      </c>
      <c r="L82" s="6">
        <f t="shared" si="72"/>
        <v>4588</v>
      </c>
      <c r="M82" s="6">
        <f t="shared" si="72"/>
        <v>4759</v>
      </c>
      <c r="N82" s="6">
        <f t="shared" si="72"/>
        <v>5243</v>
      </c>
      <c r="O82" s="6">
        <f t="shared" si="72"/>
        <v>5918</v>
      </c>
      <c r="P82" s="6">
        <f t="shared" si="72"/>
        <v>6284</v>
      </c>
      <c r="Q82" s="6">
        <f>+Q83-SUM(Q78:Q81)</f>
        <v>6477</v>
      </c>
      <c r="R82" s="5">
        <f>+Q82</f>
        <v>6477</v>
      </c>
      <c r="S82" s="5">
        <f t="shared" si="70"/>
        <v>6477</v>
      </c>
      <c r="T82" s="5">
        <f t="shared" si="70"/>
        <v>6477</v>
      </c>
      <c r="U82" s="5">
        <f t="shared" si="70"/>
        <v>6477</v>
      </c>
      <c r="V82" s="5">
        <f t="shared" si="70"/>
        <v>6477</v>
      </c>
      <c r="W82" s="5">
        <f t="shared" si="70"/>
        <v>6477</v>
      </c>
      <c r="X82" s="5">
        <f t="shared" si="70"/>
        <v>6477</v>
      </c>
      <c r="Y82" s="5">
        <f t="shared" si="70"/>
        <v>6477</v>
      </c>
      <c r="Z82" s="5">
        <f t="shared" si="70"/>
        <v>6477</v>
      </c>
      <c r="AA82" s="5">
        <f t="shared" si="70"/>
        <v>6477</v>
      </c>
      <c r="AB82" s="5">
        <f t="shared" si="70"/>
        <v>6477</v>
      </c>
      <c r="AD82" s="12">
        <f t="shared" si="67"/>
        <v>5.9248955590488706E-2</v>
      </c>
      <c r="AE82" s="12">
        <f t="shared" si="68"/>
        <v>0</v>
      </c>
      <c r="AF82" s="12">
        <f t="shared" si="46"/>
        <v>6.9671496898922047E-3</v>
      </c>
    </row>
    <row r="83" spans="2:32" hidden="1" outlineLevel="1" x14ac:dyDescent="0.35">
      <c r="B83" s="3" t="s">
        <v>249</v>
      </c>
      <c r="C83" s="4">
        <f>+'Historical Detailed'!D346</f>
        <v>248939</v>
      </c>
      <c r="D83" s="4">
        <f>+'Historical Detailed'!E346</f>
        <v>189476</v>
      </c>
      <c r="E83" s="4">
        <f>+'Historical Detailed'!F346</f>
        <v>172306</v>
      </c>
      <c r="F83" s="4">
        <f>+'Historical Detailed'!G346</f>
        <v>172008</v>
      </c>
      <c r="G83" s="4">
        <f>+'Historical Detailed'!H346</f>
        <v>184059</v>
      </c>
      <c r="H83" s="4">
        <f>+'Historical Detailed'!I346</f>
        <v>182347</v>
      </c>
      <c r="I83" s="4">
        <f>+'Historical Detailed'!J346</f>
        <v>151167</v>
      </c>
      <c r="J83" s="4">
        <f>+'Historical Detailed'!K346</f>
        <v>151631</v>
      </c>
      <c r="K83" s="4">
        <f>+'Historical Detailed'!L346</f>
        <v>158581</v>
      </c>
      <c r="L83" s="4">
        <f>+'Historical Detailed'!M346</f>
        <v>163728</v>
      </c>
      <c r="M83" s="4">
        <f>+'Historical Detailed'!N346</f>
        <v>167148</v>
      </c>
      <c r="N83" s="4">
        <f>+'Historical Detailed'!O346</f>
        <v>178869</v>
      </c>
      <c r="O83" s="4">
        <f>+'Historical Detailed'!P346</f>
        <v>180644</v>
      </c>
      <c r="P83" s="4">
        <f>+'Historical Detailed'!Q346</f>
        <v>182165</v>
      </c>
      <c r="Q83" s="4">
        <f>+'Historical Detailed'!R346</f>
        <v>182114</v>
      </c>
      <c r="R83" s="38">
        <f ca="1">SUM(R78:R82)</f>
        <v>188752.17587820117</v>
      </c>
      <c r="S83" s="38">
        <f t="shared" ref="S83:AB83" ca="1" si="73">SUM(S78:S82)</f>
        <v>189698.77183536149</v>
      </c>
      <c r="T83" s="38">
        <f t="shared" ca="1" si="73"/>
        <v>198269.74219229518</v>
      </c>
      <c r="U83" s="38">
        <f t="shared" ca="1" si="73"/>
        <v>208308.17111622574</v>
      </c>
      <c r="V83" s="38">
        <f t="shared" ca="1" si="73"/>
        <v>217073.91162552324</v>
      </c>
      <c r="W83" s="38">
        <f t="shared" ca="1" si="73"/>
        <v>225990.95461241982</v>
      </c>
      <c r="X83" s="38">
        <f t="shared" ca="1" si="73"/>
        <v>233378.71721598762</v>
      </c>
      <c r="Y83" s="38">
        <f t="shared" ca="1" si="73"/>
        <v>241098.79377359513</v>
      </c>
      <c r="Z83" s="38">
        <f t="shared" ca="1" si="73"/>
        <v>247169.78833871603</v>
      </c>
      <c r="AA83" s="38">
        <f t="shared" ca="1" si="73"/>
        <v>253426.42575213462</v>
      </c>
      <c r="AB83" s="38">
        <f t="shared" ca="1" si="73"/>
        <v>259867.21337564755</v>
      </c>
      <c r="AD83" s="12">
        <f t="shared" ca="1" si="67"/>
        <v>2.5193468552149989E-2</v>
      </c>
      <c r="AE83" s="12">
        <f t="shared" ca="1" si="68"/>
        <v>3.2490233457718176E-2</v>
      </c>
      <c r="AF83" s="12">
        <f t="shared" ca="1" si="46"/>
        <v>2.8367407023778712E-2</v>
      </c>
    </row>
    <row r="84" spans="2:32" hidden="1" outlineLevel="1" x14ac:dyDescent="0.35">
      <c r="B84" t="s">
        <v>307</v>
      </c>
      <c r="C84" s="27">
        <f>+C78/C83</f>
        <v>6.1384515885417712E-2</v>
      </c>
      <c r="D84" s="27">
        <f t="shared" ref="D84:AB84" si="74">+D78/D83</f>
        <v>0.10453566678629483</v>
      </c>
      <c r="E84" s="27">
        <f t="shared" si="74"/>
        <v>0.1843000243752394</v>
      </c>
      <c r="F84" s="27">
        <f t="shared" si="74"/>
        <v>0.22701269708385657</v>
      </c>
      <c r="G84" s="27">
        <f t="shared" si="74"/>
        <v>0.24475847418490809</v>
      </c>
      <c r="H84" s="27">
        <f t="shared" si="74"/>
        <v>0.26276823857809561</v>
      </c>
      <c r="I84" s="27">
        <f t="shared" si="74"/>
        <v>0.35292094173992999</v>
      </c>
      <c r="J84" s="27">
        <f t="shared" si="74"/>
        <v>0.38384631111052492</v>
      </c>
      <c r="K84" s="27">
        <f t="shared" si="74"/>
        <v>0.41920532724601306</v>
      </c>
      <c r="L84" s="27">
        <f t="shared" si="74"/>
        <v>0.48264194273429101</v>
      </c>
      <c r="M84" s="27">
        <f t="shared" si="74"/>
        <v>0.55792471342762107</v>
      </c>
      <c r="N84" s="27">
        <f t="shared" si="74"/>
        <v>0.59360761227490511</v>
      </c>
      <c r="O84" s="27">
        <f t="shared" si="74"/>
        <v>0.66845286862558406</v>
      </c>
      <c r="P84" s="27">
        <f t="shared" si="74"/>
        <v>0.75226305821645212</v>
      </c>
      <c r="Q84" s="27">
        <f t="shared" si="74"/>
        <v>0.77730432586182285</v>
      </c>
      <c r="R84" s="27">
        <f t="shared" ca="1" si="74"/>
        <v>0.77246653884448735</v>
      </c>
      <c r="S84" s="27">
        <f t="shared" ca="1" si="74"/>
        <v>0.77629805388412609</v>
      </c>
      <c r="T84" s="27">
        <f t="shared" ca="1" si="74"/>
        <v>0.78730396740318176</v>
      </c>
      <c r="U84" s="27">
        <f t="shared" ca="1" si="74"/>
        <v>0.79432538356989835</v>
      </c>
      <c r="V84" s="27">
        <f t="shared" ca="1" si="74"/>
        <v>0.80036191368076037</v>
      </c>
      <c r="W84" s="27">
        <f t="shared" ca="1" si="74"/>
        <v>0.80722069694149212</v>
      </c>
      <c r="X84" s="27">
        <f t="shared" ca="1" si="74"/>
        <v>0.81293427774099614</v>
      </c>
      <c r="Y84" s="27">
        <f t="shared" ca="1" si="74"/>
        <v>0.81837996030037485</v>
      </c>
      <c r="Z84" s="27">
        <f t="shared" ca="1" si="74"/>
        <v>0.82222724419988014</v>
      </c>
      <c r="AA84" s="27">
        <f t="shared" ca="1" si="74"/>
        <v>0.8259857878333482</v>
      </c>
      <c r="AB84" s="27">
        <f t="shared" ca="1" si="74"/>
        <v>0.82967921158633995</v>
      </c>
    </row>
    <row r="85" spans="2:32" hidden="1" outlineLevel="1" x14ac:dyDescent="0.35"/>
    <row r="86" spans="2:32" hidden="1" outlineLevel="1" x14ac:dyDescent="0.35">
      <c r="B86" t="s">
        <v>354</v>
      </c>
      <c r="I86" s="6">
        <f t="shared" ref="I86:J86" si="75">AVERAGE(SUM(I80:I81),SUM(H80:H81))</f>
        <v>17053</v>
      </c>
      <c r="J86" s="6">
        <f t="shared" si="75"/>
        <v>14803.5</v>
      </c>
      <c r="K86" s="6">
        <f t="shared" ref="K86:P86" si="76">AVERAGE(SUM(K80:K81),SUM(J80:J81))</f>
        <v>14419</v>
      </c>
      <c r="L86" s="6">
        <f t="shared" si="76"/>
        <v>13378</v>
      </c>
      <c r="M86" s="6">
        <f t="shared" si="76"/>
        <v>13405.5</v>
      </c>
      <c r="N86" s="6">
        <f t="shared" si="76"/>
        <v>13381</v>
      </c>
      <c r="O86" s="6">
        <f t="shared" si="76"/>
        <v>13842</v>
      </c>
      <c r="P86" s="6">
        <f t="shared" si="76"/>
        <v>14559.5</v>
      </c>
      <c r="Q86" s="6">
        <f>AVERAGE(SUM(Q80:Q81),SUM(P80:P81))</f>
        <v>15876.5</v>
      </c>
      <c r="R86" s="6">
        <f t="shared" ref="R86:AB86" ca="1" si="77">AVERAGE(SUM(R80:R81),SUM(Q80:Q81))</f>
        <v>14846.217939100594</v>
      </c>
      <c r="S86" s="6">
        <f t="shared" ca="1" si="77"/>
        <v>12863.270156781335</v>
      </c>
      <c r="T86" s="6">
        <f t="shared" ca="1" si="77"/>
        <v>13409.203591828322</v>
      </c>
      <c r="U86" s="6">
        <f t="shared" ca="1" si="77"/>
        <v>14509.758266940436</v>
      </c>
      <c r="V86" s="6">
        <f t="shared" ca="1" si="77"/>
        <v>15953.102130328472</v>
      </c>
      <c r="W86" s="6">
        <f t="shared" ca="1" si="77"/>
        <v>17140.834282183805</v>
      </c>
      <c r="X86" s="6">
        <f t="shared" ca="1" si="77"/>
        <v>18094.641886154313</v>
      </c>
      <c r="Y86" s="6">
        <f t="shared" ca="1" si="77"/>
        <v>18967.24383567155</v>
      </c>
      <c r="Z86" s="6">
        <f t="shared" ca="1" si="77"/>
        <v>19839.832761904978</v>
      </c>
      <c r="AA86" s="6">
        <f t="shared" ca="1" si="77"/>
        <v>20697.44165122079</v>
      </c>
      <c r="AB86" s="6">
        <f t="shared" ca="1" si="77"/>
        <v>21531.628190779051</v>
      </c>
    </row>
    <row r="87" spans="2:32" hidden="1" outlineLevel="1" x14ac:dyDescent="0.35">
      <c r="B87" t="s">
        <v>355</v>
      </c>
      <c r="I87" s="6">
        <f t="shared" ref="I87:J87" si="78">-AVERAGE(H80:I80)</f>
        <v>-4097.5</v>
      </c>
      <c r="J87" s="6">
        <f t="shared" si="78"/>
        <v>-1255</v>
      </c>
      <c r="K87" s="6">
        <f t="shared" ref="K87:P87" si="79">-AVERAGE(J80:K80)</f>
        <v>-975.5</v>
      </c>
      <c r="L87" s="6">
        <f t="shared" si="79"/>
        <v>-348</v>
      </c>
      <c r="M87" s="6">
        <f t="shared" si="79"/>
        <v>0</v>
      </c>
      <c r="N87" s="6">
        <f t="shared" si="79"/>
        <v>0</v>
      </c>
      <c r="O87" s="6">
        <f t="shared" si="79"/>
        <v>0</v>
      </c>
      <c r="P87" s="6">
        <f t="shared" si="79"/>
        <v>0</v>
      </c>
      <c r="Q87" s="6">
        <f>-AVERAGE(P80:Q80)</f>
        <v>-1162</v>
      </c>
      <c r="R87" s="6">
        <f t="shared" ref="R87:AB87" si="80">-AVERAGE(Q80:R80)</f>
        <v>-2324</v>
      </c>
      <c r="S87" s="6">
        <f t="shared" si="80"/>
        <v>-2324</v>
      </c>
      <c r="T87" s="6">
        <f t="shared" si="80"/>
        <v>-2324</v>
      </c>
      <c r="U87" s="6">
        <f t="shared" si="80"/>
        <v>-2324</v>
      </c>
      <c r="V87" s="6">
        <f t="shared" si="80"/>
        <v>-2324</v>
      </c>
      <c r="W87" s="6">
        <f t="shared" si="80"/>
        <v>-2324</v>
      </c>
      <c r="X87" s="6">
        <f t="shared" si="80"/>
        <v>-2324</v>
      </c>
      <c r="Y87" s="6">
        <f t="shared" si="80"/>
        <v>-2324</v>
      </c>
      <c r="Z87" s="6">
        <f t="shared" si="80"/>
        <v>-2324</v>
      </c>
      <c r="AA87" s="6">
        <f t="shared" si="80"/>
        <v>-2324</v>
      </c>
      <c r="AB87" s="6">
        <f t="shared" si="80"/>
        <v>-2324</v>
      </c>
    </row>
    <row r="88" spans="2:32" hidden="1" outlineLevel="1" x14ac:dyDescent="0.35">
      <c r="B88" t="s">
        <v>356</v>
      </c>
      <c r="I88" s="5">
        <f t="shared" ref="I88" si="81">+J88</f>
        <v>-27</v>
      </c>
      <c r="J88" s="5">
        <f>+K88</f>
        <v>-27</v>
      </c>
      <c r="K88" s="5">
        <v>-27</v>
      </c>
      <c r="L88" s="5">
        <v>-160</v>
      </c>
      <c r="M88" s="5">
        <v>-293</v>
      </c>
      <c r="N88" s="5">
        <v>-290</v>
      </c>
      <c r="O88" s="5">
        <v>-368</v>
      </c>
      <c r="P88" s="5">
        <v>-411</v>
      </c>
      <c r="Q88" s="5">
        <v>-489</v>
      </c>
      <c r="R88" s="5">
        <f>+Q88</f>
        <v>-489</v>
      </c>
      <c r="S88" s="5">
        <f t="shared" ref="S88:AB88" si="82">+R88</f>
        <v>-489</v>
      </c>
      <c r="T88" s="5">
        <f t="shared" si="82"/>
        <v>-489</v>
      </c>
      <c r="U88" s="5">
        <f t="shared" si="82"/>
        <v>-489</v>
      </c>
      <c r="V88" s="5">
        <f t="shared" si="82"/>
        <v>-489</v>
      </c>
      <c r="W88" s="5">
        <f t="shared" si="82"/>
        <v>-489</v>
      </c>
      <c r="X88" s="5">
        <f t="shared" si="82"/>
        <v>-489</v>
      </c>
      <c r="Y88" s="5">
        <f t="shared" si="82"/>
        <v>-489</v>
      </c>
      <c r="Z88" s="5">
        <f t="shared" si="82"/>
        <v>-489</v>
      </c>
      <c r="AA88" s="5">
        <f t="shared" si="82"/>
        <v>-489</v>
      </c>
      <c r="AB88" s="5">
        <f t="shared" si="82"/>
        <v>-489</v>
      </c>
    </row>
    <row r="89" spans="2:32" hidden="1" outlineLevel="1" x14ac:dyDescent="0.35">
      <c r="B89" s="3" t="s">
        <v>353</v>
      </c>
      <c r="C89" s="3"/>
      <c r="D89" s="3"/>
      <c r="E89" s="3"/>
      <c r="F89" s="3"/>
      <c r="G89" s="3"/>
      <c r="H89" s="3"/>
      <c r="I89" s="59">
        <f t="shared" ref="I89" si="83">SUM(I86:I88)</f>
        <v>12928.5</v>
      </c>
      <c r="J89" s="59">
        <f t="shared" ref="J89" si="84">SUM(J86:J88)</f>
        <v>13521.5</v>
      </c>
      <c r="K89" s="59">
        <f t="shared" ref="K89:P89" si="85">SUM(K86:K88)</f>
        <v>13416.5</v>
      </c>
      <c r="L89" s="59">
        <f t="shared" si="85"/>
        <v>12870</v>
      </c>
      <c r="M89" s="59">
        <f t="shared" si="85"/>
        <v>13112.5</v>
      </c>
      <c r="N89" s="59">
        <f t="shared" si="85"/>
        <v>13091</v>
      </c>
      <c r="O89" s="59">
        <f t="shared" si="85"/>
        <v>13474</v>
      </c>
      <c r="P89" s="59">
        <f t="shared" si="85"/>
        <v>14148.5</v>
      </c>
      <c r="Q89" s="59">
        <f>SUM(Q86:Q88)</f>
        <v>14225.5</v>
      </c>
      <c r="R89" s="59">
        <f ca="1">SUM(R86:R88)</f>
        <v>12033.217939100594</v>
      </c>
      <c r="S89" s="59">
        <f t="shared" ref="S89:AB89" ca="1" si="86">SUM(S86:S88)</f>
        <v>10050.270156781335</v>
      </c>
      <c r="T89" s="59">
        <f t="shared" ca="1" si="86"/>
        <v>10596.203591828322</v>
      </c>
      <c r="U89" s="59">
        <f t="shared" ca="1" si="86"/>
        <v>11696.758266940436</v>
      </c>
      <c r="V89" s="59">
        <f t="shared" ca="1" si="86"/>
        <v>13140.102130328472</v>
      </c>
      <c r="W89" s="59">
        <f t="shared" ca="1" si="86"/>
        <v>14327.834282183805</v>
      </c>
      <c r="X89" s="59">
        <f t="shared" ca="1" si="86"/>
        <v>15281.641886154313</v>
      </c>
      <c r="Y89" s="59">
        <f t="shared" ca="1" si="86"/>
        <v>16154.24383567155</v>
      </c>
      <c r="Z89" s="59">
        <f t="shared" ca="1" si="86"/>
        <v>17026.832761904978</v>
      </c>
      <c r="AA89" s="59">
        <f t="shared" ca="1" si="86"/>
        <v>17884.44165122079</v>
      </c>
      <c r="AB89" s="59">
        <f t="shared" ca="1" si="86"/>
        <v>18718.628190779051</v>
      </c>
    </row>
    <row r="90" spans="2:32" hidden="1" outlineLevel="1" x14ac:dyDescent="0.35">
      <c r="B90" s="18" t="s">
        <v>357</v>
      </c>
      <c r="C90" s="18"/>
      <c r="D90" s="18"/>
      <c r="E90" s="18"/>
      <c r="F90" s="18"/>
      <c r="G90" s="18"/>
      <c r="H90" s="18"/>
      <c r="I90" s="5">
        <v>12695</v>
      </c>
      <c r="J90" s="5">
        <v>13522</v>
      </c>
      <c r="K90" s="5">
        <v>13416</v>
      </c>
      <c r="L90" s="5">
        <v>12870</v>
      </c>
      <c r="M90" s="5">
        <v>13112</v>
      </c>
      <c r="N90" s="5">
        <v>13091</v>
      </c>
      <c r="O90" s="5">
        <v>13474</v>
      </c>
      <c r="P90" s="5">
        <v>13707</v>
      </c>
      <c r="Q90" s="5">
        <v>14356</v>
      </c>
    </row>
    <row r="91" spans="2:32" hidden="1" outlineLevel="1" x14ac:dyDescent="0.35">
      <c r="B91" t="s">
        <v>358</v>
      </c>
      <c r="C91" s="7">
        <f t="shared" ref="C91:E91" si="87">AVERAGE(B81:C81)</f>
        <v>14513</v>
      </c>
      <c r="D91" s="7">
        <f t="shared" si="87"/>
        <v>15040</v>
      </c>
      <c r="E91" s="7">
        <f t="shared" si="87"/>
        <v>12113</v>
      </c>
      <c r="F91" s="7">
        <f t="shared" ref="F91:J91" si="88">AVERAGE(E81:F81)</f>
        <v>11088</v>
      </c>
      <c r="G91" s="7">
        <f t="shared" si="88"/>
        <v>12928.5</v>
      </c>
      <c r="H91" s="7">
        <f t="shared" si="88"/>
        <v>12649</v>
      </c>
      <c r="I91" s="7">
        <f t="shared" si="88"/>
        <v>12955.5</v>
      </c>
      <c r="J91" s="7">
        <f t="shared" si="88"/>
        <v>13548.5</v>
      </c>
      <c r="K91" s="7">
        <f t="shared" ref="K91:L91" si="89">AVERAGE(J81:K81)</f>
        <v>13443.5</v>
      </c>
      <c r="L91" s="7">
        <f t="shared" si="89"/>
        <v>13030</v>
      </c>
      <c r="M91" s="7">
        <f t="shared" ref="M91:P91" si="90">AVERAGE(L81:M81)</f>
        <v>13405.5</v>
      </c>
      <c r="N91" s="7">
        <f t="shared" si="90"/>
        <v>13381</v>
      </c>
      <c r="O91" s="7">
        <f t="shared" si="90"/>
        <v>13842</v>
      </c>
      <c r="P91" s="7">
        <f t="shared" si="90"/>
        <v>14559.5</v>
      </c>
      <c r="Q91" s="7">
        <f>AVERAGE(P81:Q81)</f>
        <v>14714.5</v>
      </c>
      <c r="R91" s="7">
        <f t="shared" ref="R91:AB91" ca="1" si="91">AVERAGE(Q81:R81)</f>
        <v>12522.217939100594</v>
      </c>
      <c r="S91" s="7">
        <f t="shared" ca="1" si="91"/>
        <v>10539.270156781335</v>
      </c>
      <c r="T91" s="7">
        <f t="shared" ca="1" si="91"/>
        <v>11085.203591828322</v>
      </c>
      <c r="U91" s="7">
        <f t="shared" ca="1" si="91"/>
        <v>12185.758266940436</v>
      </c>
      <c r="V91" s="7">
        <f t="shared" ca="1" si="91"/>
        <v>13629.102130328471</v>
      </c>
      <c r="W91" s="7">
        <f t="shared" ca="1" si="91"/>
        <v>14816.834282183805</v>
      </c>
      <c r="X91" s="7">
        <f t="shared" ca="1" si="91"/>
        <v>15770.641886154313</v>
      </c>
      <c r="Y91" s="7">
        <f t="shared" ca="1" si="91"/>
        <v>16643.24383567155</v>
      </c>
      <c r="Z91" s="7">
        <f t="shared" ca="1" si="91"/>
        <v>17515.832761904978</v>
      </c>
      <c r="AA91" s="7">
        <f t="shared" ca="1" si="91"/>
        <v>18373.44165122079</v>
      </c>
      <c r="AB91" s="7">
        <f t="shared" ca="1" si="91"/>
        <v>19207.628190779051</v>
      </c>
    </row>
    <row r="92" spans="2:32" hidden="1" outlineLevel="1" x14ac:dyDescent="0.35">
      <c r="B92" t="s">
        <v>359</v>
      </c>
      <c r="C92" s="7">
        <f t="shared" ref="C92:E92" si="92">AVERAGE(B110:C110)</f>
        <v>12617</v>
      </c>
      <c r="D92" s="7">
        <f t="shared" si="92"/>
        <v>13213.5</v>
      </c>
      <c r="E92" s="7">
        <f t="shared" si="92"/>
        <v>10744</v>
      </c>
      <c r="F92" s="7">
        <f t="shared" ref="F92:J92" si="93">AVERAGE(E110:F110)</f>
        <v>10177</v>
      </c>
      <c r="G92" s="7">
        <f t="shared" si="93"/>
        <v>12130.5</v>
      </c>
      <c r="H92" s="7">
        <f t="shared" si="93"/>
        <v>11167</v>
      </c>
      <c r="I92" s="7">
        <f t="shared" si="93"/>
        <v>11057.5</v>
      </c>
      <c r="J92" s="7">
        <f t="shared" si="93"/>
        <v>11977</v>
      </c>
      <c r="K92" s="7">
        <f t="shared" ref="K92:L92" si="94">AVERAGE(J110:K110)</f>
        <v>12253.5</v>
      </c>
      <c r="L92" s="7">
        <f t="shared" si="94"/>
        <v>12448.5</v>
      </c>
      <c r="M92" s="7">
        <f t="shared" ref="M92:P92" si="95">AVERAGE(L110:M110)</f>
        <v>13107.5</v>
      </c>
      <c r="N92" s="7">
        <f t="shared" si="95"/>
        <v>13317</v>
      </c>
      <c r="O92" s="7">
        <f t="shared" si="95"/>
        <v>13617</v>
      </c>
      <c r="P92" s="7">
        <f t="shared" si="95"/>
        <v>14357.5</v>
      </c>
      <c r="Q92" s="7">
        <f>AVERAGE(P110:Q110)</f>
        <v>15010.5</v>
      </c>
      <c r="R92" s="7">
        <f t="shared" ref="R92:AB92" ca="1" si="96">AVERAGE(Q110:R110)</f>
        <v>14882.217939100594</v>
      </c>
      <c r="S92" s="7">
        <f t="shared" ca="1" si="96"/>
        <v>14485.295156781334</v>
      </c>
      <c r="T92" s="7">
        <f t="shared" ca="1" si="96"/>
        <v>14317.278591828323</v>
      </c>
      <c r="U92" s="7">
        <f t="shared" ca="1" si="96"/>
        <v>14703.883266940436</v>
      </c>
      <c r="V92" s="7">
        <f t="shared" ca="1" si="96"/>
        <v>15581.277130328472</v>
      </c>
      <c r="W92" s="7">
        <f t="shared" ca="1" si="96"/>
        <v>16350.934282183805</v>
      </c>
      <c r="X92" s="7">
        <f t="shared" ca="1" si="96"/>
        <v>16886.541886154315</v>
      </c>
      <c r="Y92" s="7">
        <f t="shared" ca="1" si="96"/>
        <v>17340.943835671551</v>
      </c>
      <c r="Z92" s="7">
        <f t="shared" ca="1" si="96"/>
        <v>17795.332761904981</v>
      </c>
      <c r="AA92" s="7">
        <f t="shared" ca="1" si="96"/>
        <v>18234.741651220789</v>
      </c>
      <c r="AB92" s="7">
        <f t="shared" ca="1" si="96"/>
        <v>18650.728190779053</v>
      </c>
    </row>
    <row r="93" spans="2:32" hidden="1" outlineLevel="1" x14ac:dyDescent="0.35"/>
    <row r="94" spans="2:32" hidden="1" outlineLevel="1" x14ac:dyDescent="0.35">
      <c r="B94" s="89" t="s">
        <v>235</v>
      </c>
    </row>
    <row r="95" spans="2:32" hidden="1" outlineLevel="1" x14ac:dyDescent="0.35">
      <c r="B95" t="s">
        <v>357</v>
      </c>
      <c r="C95" s="12"/>
      <c r="D95" s="12"/>
      <c r="E95" s="12"/>
      <c r="F95" s="12"/>
      <c r="G95" s="12"/>
      <c r="H95" s="12"/>
      <c r="I95" s="12">
        <f>+I$14/I90</f>
        <v>2.8436392280425365E-2</v>
      </c>
      <c r="J95" s="12">
        <f t="shared" ref="J95" si="97">+J$14/J90</f>
        <v>8.5046590741014644E-2</v>
      </c>
      <c r="K95" s="12">
        <f t="shared" ref="K95:P97" si="98">+K$14/K90</f>
        <v>9.607930828861061E-2</v>
      </c>
      <c r="L95" s="12">
        <f t="shared" si="98"/>
        <v>8.2905982905982903E-2</v>
      </c>
      <c r="M95" s="12">
        <f t="shared" si="98"/>
        <v>7.085112873703478E-2</v>
      </c>
      <c r="N95" s="12">
        <f t="shared" si="98"/>
        <v>9.647849667710641E-2</v>
      </c>
      <c r="O95" s="12">
        <f t="shared" si="98"/>
        <v>0.12728217307406858</v>
      </c>
      <c r="P95" s="12">
        <f t="shared" si="98"/>
        <v>7.9156635295834249E-2</v>
      </c>
      <c r="Q95" s="12">
        <f>+Q$14/Q90</f>
        <v>0.21315129562552243</v>
      </c>
      <c r="R95" s="23">
        <f ca="1">+R$14/R89</f>
        <v>0.14730289829136697</v>
      </c>
      <c r="S95" s="23">
        <f t="shared" ref="S95:AB95" ca="1" si="99">+S$14/S89</f>
        <v>3.7692060293606312E-2</v>
      </c>
      <c r="T95" s="23">
        <f t="shared" ca="1" si="99"/>
        <v>5.601161395497796E-2</v>
      </c>
      <c r="U95" s="23">
        <f t="shared" ca="1" si="99"/>
        <v>0.13764962644849746</v>
      </c>
      <c r="V95" s="23">
        <f t="shared" ca="1" si="99"/>
        <v>0.13731544426088987</v>
      </c>
      <c r="W95" s="23">
        <f t="shared" ca="1" si="99"/>
        <v>0.13682539594280796</v>
      </c>
      <c r="X95" s="23">
        <f t="shared" ca="1" si="99"/>
        <v>0.13650613254240873</v>
      </c>
      <c r="Y95" s="23">
        <f t="shared" ca="1" si="99"/>
        <v>0.13526478379892976</v>
      </c>
      <c r="Z95" s="23">
        <f t="shared" ca="1" si="99"/>
        <v>0.13336926465116361</v>
      </c>
      <c r="AA95" s="23">
        <f t="shared" ca="1" si="99"/>
        <v>0.13146259226308182</v>
      </c>
      <c r="AB95" s="23">
        <f t="shared" ca="1" si="99"/>
        <v>0.12991383882767407</v>
      </c>
    </row>
    <row r="96" spans="2:32" hidden="1" outlineLevel="1" x14ac:dyDescent="0.35">
      <c r="B96" t="s">
        <v>358</v>
      </c>
      <c r="C96" s="12">
        <f t="shared" ref="C96:E96" si="100">+C$14/C91</f>
        <v>-0.16068352511541376</v>
      </c>
      <c r="D96" s="12">
        <f t="shared" si="100"/>
        <v>0.12420212765957447</v>
      </c>
      <c r="E96" s="12">
        <f t="shared" si="100"/>
        <v>-0.85016098406670515</v>
      </c>
      <c r="F96" s="12">
        <f t="shared" ref="F96:J96" si="101">+F$14/F91</f>
        <v>9.2803030303030304E-2</v>
      </c>
      <c r="G96" s="12">
        <f t="shared" si="101"/>
        <v>-1.2143713501179565E-2</v>
      </c>
      <c r="H96" s="12">
        <f t="shared" si="101"/>
        <v>9.4552929085303189E-2</v>
      </c>
      <c r="I96" s="12">
        <f>+I$14/I91</f>
        <v>2.786461348462043E-2</v>
      </c>
      <c r="J96" s="12">
        <f t="shared" si="101"/>
        <v>8.4880245045577007E-2</v>
      </c>
      <c r="K96" s="12">
        <f t="shared" si="98"/>
        <v>9.5882768624242193E-2</v>
      </c>
      <c r="L96" s="12">
        <f t="shared" si="98"/>
        <v>8.1887950882578664E-2</v>
      </c>
      <c r="M96" s="12">
        <f t="shared" si="98"/>
        <v>6.9299914214315014E-2</v>
      </c>
      <c r="N96" s="12">
        <f t="shared" si="98"/>
        <v>9.4387564457065989E-2</v>
      </c>
      <c r="O96" s="12">
        <f t="shared" si="98"/>
        <v>0.12389828059528969</v>
      </c>
      <c r="P96" s="12">
        <f t="shared" si="98"/>
        <v>7.4521789896631066E-2</v>
      </c>
      <c r="Q96" s="12">
        <f t="shared" ref="Q96:AB97" si="102">+Q$14/Q91</f>
        <v>0.20795813653199224</v>
      </c>
      <c r="R96" s="12">
        <f t="shared" ca="1" si="102"/>
        <v>0.14155063318826877</v>
      </c>
      <c r="S96" s="12">
        <f t="shared" ca="1" si="102"/>
        <v>3.5943227859349551E-2</v>
      </c>
      <c r="T96" s="12">
        <f t="shared" ca="1" si="102"/>
        <v>5.3540781642599407E-2</v>
      </c>
      <c r="U96" s="12">
        <f t="shared" ca="1" si="102"/>
        <v>0.13212591049592298</v>
      </c>
      <c r="V96" s="12">
        <f t="shared" ca="1" si="102"/>
        <v>0.13238868888100655</v>
      </c>
      <c r="W96" s="12">
        <f t="shared" ca="1" si="102"/>
        <v>0.13230974723257807</v>
      </c>
      <c r="X96" s="12">
        <f t="shared" ca="1" si="102"/>
        <v>0.13227348942647815</v>
      </c>
      <c r="Y96" s="12">
        <f t="shared" ca="1" si="102"/>
        <v>0.13129052974540753</v>
      </c>
      <c r="Z96" s="12">
        <f t="shared" ca="1" si="102"/>
        <v>0.12964591496514355</v>
      </c>
      <c r="AA96" s="12">
        <f t="shared" ca="1" si="102"/>
        <v>0.12796378083531779</v>
      </c>
      <c r="AB96" s="12">
        <f t="shared" ca="1" si="102"/>
        <v>0.12660640979188972</v>
      </c>
    </row>
    <row r="97" spans="2:32" hidden="1" outlineLevel="1" x14ac:dyDescent="0.35">
      <c r="B97" t="s">
        <v>359</v>
      </c>
      <c r="C97" s="12">
        <f t="shared" ref="C97:E97" si="103">+C$14/C92</f>
        <v>-0.18482999128160418</v>
      </c>
      <c r="D97" s="12">
        <f t="shared" si="103"/>
        <v>0.14137056797971773</v>
      </c>
      <c r="E97" s="12">
        <f t="shared" si="103"/>
        <v>-0.95848845867460908</v>
      </c>
      <c r="F97" s="12">
        <f t="shared" ref="F97:J97" si="104">+F$14/F92</f>
        <v>0.10111034686056795</v>
      </c>
      <c r="G97" s="12">
        <f t="shared" si="104"/>
        <v>-1.2942582745970899E-2</v>
      </c>
      <c r="H97" s="12">
        <f t="shared" si="104"/>
        <v>0.10710128055878929</v>
      </c>
      <c r="I97" s="12">
        <f>+I$14/I92</f>
        <v>3.2647524304770519E-2</v>
      </c>
      <c r="J97" s="12">
        <f t="shared" si="104"/>
        <v>9.6017366619353756E-2</v>
      </c>
      <c r="K97" s="12">
        <f t="shared" si="98"/>
        <v>0.10519443424327743</v>
      </c>
      <c r="L97" s="12">
        <f t="shared" si="98"/>
        <v>8.5713138129091856E-2</v>
      </c>
      <c r="M97" s="12">
        <f t="shared" si="98"/>
        <v>7.0875452984932294E-2</v>
      </c>
      <c r="N97" s="12">
        <f t="shared" si="98"/>
        <v>9.4841180446046405E-2</v>
      </c>
      <c r="O97" s="12">
        <f t="shared" si="98"/>
        <v>0.12594550928985826</v>
      </c>
      <c r="P97" s="12">
        <f t="shared" si="98"/>
        <v>7.5570259446282428E-2</v>
      </c>
      <c r="Q97" s="12">
        <f t="shared" si="102"/>
        <v>0.20385729989007695</v>
      </c>
      <c r="R97" s="12">
        <f t="shared" ca="1" si="102"/>
        <v>0.11910374417674398</v>
      </c>
      <c r="S97" s="12">
        <f t="shared" ca="1" si="102"/>
        <v>2.6151720390667405E-2</v>
      </c>
      <c r="T97" s="12">
        <f t="shared" ca="1" si="102"/>
        <v>4.1454139567598317E-2</v>
      </c>
      <c r="U97" s="12">
        <f t="shared" ca="1" si="102"/>
        <v>0.10949858461694273</v>
      </c>
      <c r="V97" s="12">
        <f t="shared" ca="1" si="102"/>
        <v>0.11580173733945273</v>
      </c>
      <c r="W97" s="12">
        <f t="shared" ca="1" si="102"/>
        <v>0.11989599889706774</v>
      </c>
      <c r="X97" s="12">
        <f t="shared" ca="1" si="102"/>
        <v>0.12353256497633769</v>
      </c>
      <c r="Y97" s="12">
        <f t="shared" ca="1" si="102"/>
        <v>0.12600815276112018</v>
      </c>
      <c r="Z97" s="12">
        <f t="shared" ca="1" si="102"/>
        <v>0.12760964884314499</v>
      </c>
      <c r="AA97" s="12">
        <f t="shared" ca="1" si="102"/>
        <v>0.12893711935260194</v>
      </c>
      <c r="AB97" s="12">
        <f t="shared" ca="1" si="102"/>
        <v>0.13038680425648558</v>
      </c>
    </row>
    <row r="98" spans="2:32" hidden="1" outlineLevel="1" x14ac:dyDescent="0.35"/>
    <row r="99" spans="2:32" hidden="1" outlineLevel="1" x14ac:dyDescent="0.35"/>
    <row r="100" spans="2:32" hidden="1" outlineLevel="1" x14ac:dyDescent="0.35"/>
    <row r="101" spans="2:32" hidden="1" outlineLevel="1" x14ac:dyDescent="0.35"/>
    <row r="102" spans="2:32" collapsed="1" x14ac:dyDescent="0.35">
      <c r="B102" s="53" t="s">
        <v>260</v>
      </c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53"/>
      <c r="S102" s="53"/>
      <c r="T102" s="60"/>
      <c r="U102" s="53"/>
      <c r="V102" s="53"/>
      <c r="W102" s="53"/>
      <c r="X102" s="53"/>
      <c r="Y102" s="53"/>
      <c r="Z102" s="53"/>
      <c r="AA102" s="53"/>
      <c r="AB102" s="53"/>
    </row>
    <row r="103" spans="2:32" ht="5.15" customHeight="1" x14ac:dyDescent="0.35"/>
    <row r="104" spans="2:32" hidden="1" outlineLevel="1" x14ac:dyDescent="0.35">
      <c r="B104" t="s">
        <v>114</v>
      </c>
      <c r="C104" s="6">
        <f t="shared" ref="C104:P104" si="105">+SUM(C80:C81)</f>
        <v>15565</v>
      </c>
      <c r="D104" s="6">
        <f t="shared" si="105"/>
        <v>21854</v>
      </c>
      <c r="E104" s="6">
        <f t="shared" si="105"/>
        <v>20839</v>
      </c>
      <c r="F104" s="6">
        <f t="shared" si="105"/>
        <v>20489</v>
      </c>
      <c r="G104" s="6">
        <f t="shared" si="105"/>
        <v>19280</v>
      </c>
      <c r="H104" s="6">
        <f t="shared" si="105"/>
        <v>19898</v>
      </c>
      <c r="I104" s="6">
        <f t="shared" si="105"/>
        <v>14208</v>
      </c>
      <c r="J104" s="6">
        <f t="shared" si="105"/>
        <v>15399</v>
      </c>
      <c r="K104" s="6">
        <f t="shared" si="105"/>
        <v>13439</v>
      </c>
      <c r="L104" s="6">
        <f t="shared" si="105"/>
        <v>13317</v>
      </c>
      <c r="M104" s="6">
        <f t="shared" si="105"/>
        <v>13494</v>
      </c>
      <c r="N104" s="6">
        <f t="shared" si="105"/>
        <v>13268</v>
      </c>
      <c r="O104" s="6">
        <f t="shared" si="105"/>
        <v>14416</v>
      </c>
      <c r="P104" s="6">
        <f t="shared" si="105"/>
        <v>14703</v>
      </c>
      <c r="Q104" s="6">
        <f>+SUM(Q80:Q81)</f>
        <v>17050</v>
      </c>
      <c r="R104" s="6">
        <f t="shared" ref="R104:AB104" ca="1" si="106">+SUM(R80:R81)</f>
        <v>12642.435878201188</v>
      </c>
      <c r="S104" s="6">
        <f ca="1">+SUM(S80:S81)</f>
        <v>13084.10443536148</v>
      </c>
      <c r="T104" s="6">
        <f t="shared" ca="1" si="106"/>
        <v>13734.302748295162</v>
      </c>
      <c r="U104" s="6">
        <f t="shared" ca="1" si="106"/>
        <v>15285.213785585713</v>
      </c>
      <c r="V104" s="6">
        <f t="shared" ca="1" si="106"/>
        <v>16620.99047507123</v>
      </c>
      <c r="W104" s="6">
        <f t="shared" ca="1" si="106"/>
        <v>17660.67808929638</v>
      </c>
      <c r="X104" s="6">
        <f t="shared" ca="1" si="106"/>
        <v>18528.605683012247</v>
      </c>
      <c r="Y104" s="6">
        <f t="shared" ca="1" si="106"/>
        <v>19405.881988330853</v>
      </c>
      <c r="Z104" s="6">
        <f t="shared" ca="1" si="106"/>
        <v>20273.783535479102</v>
      </c>
      <c r="AA104" s="6">
        <f t="shared" ca="1" si="106"/>
        <v>21121.099766962474</v>
      </c>
      <c r="AB104" s="6">
        <f t="shared" ca="1" si="106"/>
        <v>21942.156614595628</v>
      </c>
      <c r="AD104" s="12">
        <f ca="1">(R104/K104)^(1/7)-1</f>
        <v>-8.6908493987090107E-3</v>
      </c>
      <c r="AE104" s="12">
        <f ca="1">(AB104/R104)^(1/10)-1</f>
        <v>5.6683327450129939E-2</v>
      </c>
      <c r="AF104" s="12">
        <f t="shared" ref="AF104" ca="1" si="107">(AB104/O104)^(1/13)-1</f>
        <v>3.2840896353949267E-2</v>
      </c>
    </row>
    <row r="105" spans="2:32" hidden="1" outlineLevel="1" x14ac:dyDescent="0.35">
      <c r="B105" s="2" t="s">
        <v>115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1188</v>
      </c>
      <c r="Q105" s="5">
        <v>1183</v>
      </c>
      <c r="R105" s="5">
        <v>887</v>
      </c>
      <c r="S105" s="5">
        <f>R105-$Q$105/4</f>
        <v>591.25</v>
      </c>
      <c r="T105" s="5">
        <f>S105-$Q$105/4</f>
        <v>295.5</v>
      </c>
      <c r="U105" s="5">
        <f>T105-$Q$105/4</f>
        <v>-0.25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</row>
    <row r="106" spans="2:32" hidden="1" outlineLevel="1" x14ac:dyDescent="0.35">
      <c r="B106" s="2" t="s">
        <v>109</v>
      </c>
      <c r="C106" s="6">
        <f>-C80</f>
        <v>-1052</v>
      </c>
      <c r="D106" s="6">
        <f t="shared" ref="D106:AB106" si="108">-D80</f>
        <v>-6287</v>
      </c>
      <c r="E106" s="6">
        <f t="shared" si="108"/>
        <v>-12180</v>
      </c>
      <c r="F106" s="6">
        <f t="shared" si="108"/>
        <v>-6972</v>
      </c>
      <c r="G106" s="6">
        <f t="shared" si="108"/>
        <v>-6940</v>
      </c>
      <c r="H106" s="6">
        <f t="shared" si="108"/>
        <v>-6940</v>
      </c>
      <c r="I106" s="6">
        <f t="shared" si="108"/>
        <v>-1255</v>
      </c>
      <c r="J106" s="6">
        <f t="shared" si="108"/>
        <v>-1255</v>
      </c>
      <c r="K106" s="6">
        <f t="shared" si="108"/>
        <v>-696</v>
      </c>
      <c r="L106" s="6">
        <f t="shared" si="108"/>
        <v>0</v>
      </c>
      <c r="M106" s="6">
        <f t="shared" si="108"/>
        <v>0</v>
      </c>
      <c r="N106" s="6">
        <f t="shared" si="108"/>
        <v>0</v>
      </c>
      <c r="O106" s="6">
        <f t="shared" si="108"/>
        <v>0</v>
      </c>
      <c r="P106" s="6">
        <f t="shared" si="108"/>
        <v>0</v>
      </c>
      <c r="Q106" s="6">
        <f t="shared" si="108"/>
        <v>-2324</v>
      </c>
      <c r="R106" s="6">
        <f t="shared" si="108"/>
        <v>-2324</v>
      </c>
      <c r="S106" s="6">
        <f t="shared" si="108"/>
        <v>-2324</v>
      </c>
      <c r="T106" s="6">
        <f t="shared" si="108"/>
        <v>-2324</v>
      </c>
      <c r="U106" s="6">
        <f t="shared" si="108"/>
        <v>-2324</v>
      </c>
      <c r="V106" s="6">
        <f t="shared" si="108"/>
        <v>-2324</v>
      </c>
      <c r="W106" s="6">
        <f t="shared" si="108"/>
        <v>-2324</v>
      </c>
      <c r="X106" s="6">
        <f t="shared" si="108"/>
        <v>-2324</v>
      </c>
      <c r="Y106" s="6">
        <f t="shared" si="108"/>
        <v>-2324</v>
      </c>
      <c r="Z106" s="6">
        <f t="shared" si="108"/>
        <v>-2324</v>
      </c>
      <c r="AA106" s="6">
        <f t="shared" si="108"/>
        <v>-2324</v>
      </c>
      <c r="AB106" s="6">
        <f t="shared" si="108"/>
        <v>-2324</v>
      </c>
    </row>
    <row r="107" spans="2:32" hidden="1" outlineLevel="1" x14ac:dyDescent="0.35">
      <c r="B107" s="2" t="s">
        <v>116</v>
      </c>
      <c r="C107" s="5">
        <v>-1496</v>
      </c>
      <c r="D107" s="5">
        <v>-1357</v>
      </c>
      <c r="E107" s="5">
        <v>-534</v>
      </c>
      <c r="F107" s="5">
        <v>-532</v>
      </c>
      <c r="G107" s="5">
        <v>-493</v>
      </c>
      <c r="H107" s="5">
        <v>-494</v>
      </c>
      <c r="I107" s="5">
        <v>-27</v>
      </c>
      <c r="J107" s="5">
        <v>-27</v>
      </c>
      <c r="K107" s="5">
        <v>-27</v>
      </c>
      <c r="L107" s="5">
        <v>-272</v>
      </c>
      <c r="M107" s="5">
        <v>-283</v>
      </c>
      <c r="N107" s="5">
        <v>-285</v>
      </c>
      <c r="O107" s="5">
        <v>-450</v>
      </c>
      <c r="P107" s="5">
        <v>-382</v>
      </c>
      <c r="Q107" s="5">
        <v>-941</v>
      </c>
      <c r="R107" s="5">
        <f>+Q107</f>
        <v>-941</v>
      </c>
      <c r="S107" s="5">
        <f t="shared" ref="S107:AB107" si="109">+R107</f>
        <v>-941</v>
      </c>
      <c r="T107" s="5">
        <f t="shared" si="109"/>
        <v>-941</v>
      </c>
      <c r="U107" s="5">
        <f t="shared" si="109"/>
        <v>-941</v>
      </c>
      <c r="V107" s="5">
        <f t="shared" si="109"/>
        <v>-941</v>
      </c>
      <c r="W107" s="5">
        <f t="shared" si="109"/>
        <v>-941</v>
      </c>
      <c r="X107" s="5">
        <f t="shared" si="109"/>
        <v>-941</v>
      </c>
      <c r="Y107" s="5">
        <f t="shared" si="109"/>
        <v>-941</v>
      </c>
      <c r="Z107" s="5">
        <f t="shared" si="109"/>
        <v>-941</v>
      </c>
      <c r="AA107" s="5">
        <f t="shared" si="109"/>
        <v>-941</v>
      </c>
      <c r="AB107" s="5">
        <f t="shared" si="109"/>
        <v>-941</v>
      </c>
    </row>
    <row r="108" spans="2:32" hidden="1" outlineLevel="1" x14ac:dyDescent="0.35">
      <c r="B108" s="2" t="s">
        <v>117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-1445</v>
      </c>
      <c r="I108" s="5">
        <v>-1639</v>
      </c>
      <c r="J108" s="5">
        <v>-1310</v>
      </c>
      <c r="K108" s="5">
        <v>-980</v>
      </c>
      <c r="L108" s="5">
        <v>-410</v>
      </c>
      <c r="M108" s="5">
        <v>-224</v>
      </c>
      <c r="N108" s="5">
        <v>-143</v>
      </c>
      <c r="O108" s="5">
        <v>-25</v>
      </c>
      <c r="P108" s="5">
        <v>-20</v>
      </c>
      <c r="Q108" s="5">
        <v>-2</v>
      </c>
      <c r="R108" s="5">
        <f t="shared" ref="R108:AB108" si="110">+Q108</f>
        <v>-2</v>
      </c>
      <c r="S108" s="5">
        <f t="shared" si="110"/>
        <v>-2</v>
      </c>
      <c r="T108" s="5">
        <f t="shared" si="110"/>
        <v>-2</v>
      </c>
      <c r="U108" s="5">
        <f t="shared" si="110"/>
        <v>-2</v>
      </c>
      <c r="V108" s="5">
        <f t="shared" si="110"/>
        <v>-2</v>
      </c>
      <c r="W108" s="5">
        <f t="shared" si="110"/>
        <v>-2</v>
      </c>
      <c r="X108" s="5">
        <f t="shared" si="110"/>
        <v>-2</v>
      </c>
      <c r="Y108" s="5">
        <f t="shared" si="110"/>
        <v>-2</v>
      </c>
      <c r="Z108" s="5">
        <f t="shared" si="110"/>
        <v>-2</v>
      </c>
      <c r="AA108" s="5">
        <f t="shared" si="110"/>
        <v>-2</v>
      </c>
      <c r="AB108" s="5">
        <f t="shared" si="110"/>
        <v>-2</v>
      </c>
    </row>
    <row r="109" spans="2:32" hidden="1" outlineLevel="1" x14ac:dyDescent="0.35">
      <c r="B109" s="2" t="s">
        <v>118</v>
      </c>
      <c r="C109" s="5">
        <v>-400</v>
      </c>
      <c r="D109" s="5">
        <v>-400</v>
      </c>
      <c r="E109" s="5">
        <v>-447</v>
      </c>
      <c r="F109" s="5">
        <v>-309</v>
      </c>
      <c r="G109" s="5">
        <v>-262</v>
      </c>
      <c r="H109" s="5">
        <v>-270</v>
      </c>
      <c r="I109" s="5">
        <v>79</v>
      </c>
      <c r="J109" s="5">
        <v>-219</v>
      </c>
      <c r="K109" s="5">
        <v>183</v>
      </c>
      <c r="L109" s="5">
        <v>343</v>
      </c>
      <c r="M109" s="5">
        <v>250</v>
      </c>
      <c r="N109" s="5">
        <v>557</v>
      </c>
      <c r="O109" s="5">
        <v>-104</v>
      </c>
      <c r="P109" s="5">
        <v>-611</v>
      </c>
      <c r="Q109" s="5">
        <v>177</v>
      </c>
      <c r="R109" s="7">
        <f t="shared" ref="R109:AB109" si="111">Q109-R19</f>
        <v>4359</v>
      </c>
      <c r="S109" s="7">
        <f t="shared" si="111"/>
        <v>3940.8</v>
      </c>
      <c r="T109" s="7">
        <f t="shared" si="111"/>
        <v>3522.6000000000004</v>
      </c>
      <c r="U109" s="7">
        <f t="shared" si="111"/>
        <v>3104.4000000000005</v>
      </c>
      <c r="V109" s="7">
        <f t="shared" si="111"/>
        <v>2686.2000000000007</v>
      </c>
      <c r="W109" s="7">
        <f t="shared" si="111"/>
        <v>2268.0000000000009</v>
      </c>
      <c r="X109" s="7">
        <f t="shared" si="111"/>
        <v>1849.8000000000009</v>
      </c>
      <c r="Y109" s="7">
        <f t="shared" si="111"/>
        <v>1431.6000000000008</v>
      </c>
      <c r="Z109" s="7">
        <f t="shared" si="111"/>
        <v>1013.4000000000008</v>
      </c>
      <c r="AA109" s="7">
        <f t="shared" si="111"/>
        <v>595.20000000000073</v>
      </c>
      <c r="AB109" s="7">
        <f t="shared" si="111"/>
        <v>177.00000000000074</v>
      </c>
    </row>
    <row r="110" spans="2:32" hidden="1" outlineLevel="1" x14ac:dyDescent="0.35">
      <c r="B110" s="3" t="s">
        <v>119</v>
      </c>
      <c r="C110" s="4">
        <f t="shared" ref="C110:P110" si="112">SUM(C104:C109)</f>
        <v>12617</v>
      </c>
      <c r="D110" s="4">
        <f t="shared" si="112"/>
        <v>13810</v>
      </c>
      <c r="E110" s="4">
        <f t="shared" si="112"/>
        <v>7678</v>
      </c>
      <c r="F110" s="4">
        <f t="shared" si="112"/>
        <v>12676</v>
      </c>
      <c r="G110" s="4">
        <f t="shared" si="112"/>
        <v>11585</v>
      </c>
      <c r="H110" s="4">
        <f t="shared" si="112"/>
        <v>10749</v>
      </c>
      <c r="I110" s="4">
        <f t="shared" si="112"/>
        <v>11366</v>
      </c>
      <c r="J110" s="4">
        <f t="shared" si="112"/>
        <v>12588</v>
      </c>
      <c r="K110" s="4">
        <f t="shared" si="112"/>
        <v>11919</v>
      </c>
      <c r="L110" s="4">
        <f t="shared" si="112"/>
        <v>12978</v>
      </c>
      <c r="M110" s="4">
        <f t="shared" si="112"/>
        <v>13237</v>
      </c>
      <c r="N110" s="4">
        <f t="shared" si="112"/>
        <v>13397</v>
      </c>
      <c r="O110" s="4">
        <f t="shared" si="112"/>
        <v>13837</v>
      </c>
      <c r="P110" s="4">
        <f t="shared" si="112"/>
        <v>14878</v>
      </c>
      <c r="Q110" s="4">
        <f>SUM(Q104:Q109)</f>
        <v>15143</v>
      </c>
      <c r="R110" s="4">
        <f t="shared" ref="R110:AB110" ca="1" si="113">SUM(R104:R109)</f>
        <v>14621.435878201188</v>
      </c>
      <c r="S110" s="4">
        <f t="shared" ca="1" si="113"/>
        <v>14349.154435361481</v>
      </c>
      <c r="T110" s="4">
        <f t="shared" ca="1" si="113"/>
        <v>14285.402748295162</v>
      </c>
      <c r="U110" s="4">
        <f t="shared" ca="1" si="113"/>
        <v>15122.363785585712</v>
      </c>
      <c r="V110" s="4">
        <f t="shared" ca="1" si="113"/>
        <v>16040.190475071231</v>
      </c>
      <c r="W110" s="4">
        <f t="shared" ca="1" si="113"/>
        <v>16661.67808929638</v>
      </c>
      <c r="X110" s="4">
        <f t="shared" ca="1" si="113"/>
        <v>17111.405683012246</v>
      </c>
      <c r="Y110" s="4">
        <f t="shared" ca="1" si="113"/>
        <v>17570.481988330856</v>
      </c>
      <c r="Z110" s="4">
        <f t="shared" ca="1" si="113"/>
        <v>18020.183535479104</v>
      </c>
      <c r="AA110" s="4">
        <f t="shared" ca="1" si="113"/>
        <v>18449.299766962475</v>
      </c>
      <c r="AB110" s="4">
        <f t="shared" ca="1" si="113"/>
        <v>18852.156614595628</v>
      </c>
      <c r="AD110" s="12">
        <f ca="1">(R110/K110)^(1/7)-1</f>
        <v>2.9623865843207975E-2</v>
      </c>
      <c r="AE110" s="12">
        <f ca="1">(AB110/R110)^(1/10)-1</f>
        <v>2.5739550781904263E-2</v>
      </c>
      <c r="AF110" s="12">
        <f t="shared" ref="AF110" ca="1" si="114">(AB110/O110)^(1/13)-1</f>
        <v>2.407611808012633E-2</v>
      </c>
    </row>
    <row r="111" spans="2:32" hidden="1" outlineLevel="1" x14ac:dyDescent="0.35"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2:32" hidden="1" outlineLevel="1" x14ac:dyDescent="0.35">
      <c r="B112" s="2" t="s">
        <v>127</v>
      </c>
      <c r="C112" s="6">
        <f t="shared" ref="C112:AB112" si="115">+C68+C73</f>
        <v>17677</v>
      </c>
      <c r="D112" s="6">
        <f t="shared" si="115"/>
        <v>15151</v>
      </c>
      <c r="E112" s="6">
        <f t="shared" si="115"/>
        <v>14788</v>
      </c>
      <c r="F112" s="6">
        <f t="shared" si="115"/>
        <v>11670</v>
      </c>
      <c r="G112" s="6">
        <f t="shared" si="115"/>
        <v>13035</v>
      </c>
      <c r="H112" s="6">
        <f t="shared" si="115"/>
        <v>7513</v>
      </c>
      <c r="I112" s="6">
        <f t="shared" si="115"/>
        <v>5531</v>
      </c>
      <c r="J112" s="6">
        <f t="shared" si="115"/>
        <v>5576</v>
      </c>
      <c r="K112" s="6">
        <f t="shared" si="115"/>
        <v>6380</v>
      </c>
      <c r="L112" s="6">
        <f t="shared" si="115"/>
        <v>5934</v>
      </c>
      <c r="M112" s="6">
        <f t="shared" si="115"/>
        <v>4252</v>
      </c>
      <c r="N112" s="6">
        <f t="shared" si="115"/>
        <v>4537</v>
      </c>
      <c r="O112" s="6">
        <f t="shared" si="115"/>
        <v>3555</v>
      </c>
      <c r="P112" s="6">
        <f t="shared" si="115"/>
        <v>15621</v>
      </c>
      <c r="Q112" s="6">
        <f t="shared" si="115"/>
        <v>5062</v>
      </c>
      <c r="R112" s="6">
        <f t="shared" si="115"/>
        <v>4868</v>
      </c>
      <c r="S112" s="6">
        <f t="shared" si="115"/>
        <v>4868</v>
      </c>
      <c r="T112" s="6">
        <f t="shared" si="115"/>
        <v>4868</v>
      </c>
      <c r="U112" s="6">
        <f t="shared" si="115"/>
        <v>4868</v>
      </c>
      <c r="V112" s="6">
        <f t="shared" si="115"/>
        <v>4868</v>
      </c>
      <c r="W112" s="6">
        <f t="shared" si="115"/>
        <v>4868</v>
      </c>
      <c r="X112" s="6">
        <f t="shared" si="115"/>
        <v>4868</v>
      </c>
      <c r="Y112" s="6">
        <f t="shared" si="115"/>
        <v>4868</v>
      </c>
      <c r="Z112" s="6">
        <f t="shared" si="115"/>
        <v>4868</v>
      </c>
      <c r="AA112" s="6">
        <f t="shared" si="115"/>
        <v>4868</v>
      </c>
      <c r="AB112" s="6">
        <f t="shared" si="115"/>
        <v>4868</v>
      </c>
      <c r="AD112" s="12">
        <f t="shared" ref="AD112:AD121" si="116">(R112/K112)^(1/7)-1</f>
        <v>-3.7903674792618802E-2</v>
      </c>
      <c r="AE112" s="12">
        <f t="shared" ref="AE112:AE121" si="117">(AB112/R112)^(1/10)-1</f>
        <v>0</v>
      </c>
      <c r="AF112" s="12">
        <f t="shared" ref="AF112:AF121" si="118">(AB112/O112)^(1/13)-1</f>
        <v>2.4473769889813868E-2</v>
      </c>
    </row>
    <row r="113" spans="2:32" hidden="1" outlineLevel="1" x14ac:dyDescent="0.35">
      <c r="B113" s="2" t="s">
        <v>128</v>
      </c>
      <c r="C113" s="6">
        <f t="shared" ref="C113:AB113" si="119">+C70</f>
        <v>16740</v>
      </c>
      <c r="D113" s="6">
        <f t="shared" si="119"/>
        <v>7444</v>
      </c>
      <c r="E113" s="6">
        <f t="shared" si="119"/>
        <v>12897</v>
      </c>
      <c r="F113" s="6">
        <f t="shared" si="119"/>
        <v>15086</v>
      </c>
      <c r="G113" s="6">
        <f t="shared" si="119"/>
        <v>15757</v>
      </c>
      <c r="H113" s="6">
        <f t="shared" si="119"/>
        <v>14178</v>
      </c>
      <c r="I113" s="6">
        <f t="shared" si="119"/>
        <v>17083</v>
      </c>
      <c r="J113" s="6">
        <f t="shared" si="119"/>
        <v>16137</v>
      </c>
      <c r="K113" s="6">
        <f t="shared" si="119"/>
        <v>17157</v>
      </c>
      <c r="L113" s="6">
        <f t="shared" si="119"/>
        <v>19765</v>
      </c>
      <c r="M113" s="6">
        <f t="shared" si="119"/>
        <v>24720</v>
      </c>
      <c r="N113" s="6">
        <f t="shared" si="119"/>
        <v>28438</v>
      </c>
      <c r="O113" s="6">
        <f t="shared" si="119"/>
        <v>32468</v>
      </c>
      <c r="P113" s="6">
        <f t="shared" si="119"/>
        <v>32154</v>
      </c>
      <c r="Q113" s="6">
        <f t="shared" si="119"/>
        <v>35859</v>
      </c>
      <c r="R113" s="6">
        <f t="shared" ca="1" si="119"/>
        <v>32548.918219665298</v>
      </c>
      <c r="S113" s="6">
        <f t="shared" ca="1" si="119"/>
        <v>33866.942310520739</v>
      </c>
      <c r="T113" s="6">
        <f t="shared" ca="1" si="119"/>
        <v>38373.50034823647</v>
      </c>
      <c r="U113" s="6">
        <f t="shared" ca="1" si="119"/>
        <v>38826.305687794229</v>
      </c>
      <c r="V113" s="6">
        <f t="shared" ca="1" si="119"/>
        <v>37925.425072085491</v>
      </c>
      <c r="W113" s="6">
        <f t="shared" ca="1" si="119"/>
        <v>41556.733717763011</v>
      </c>
      <c r="X113" s="6">
        <f t="shared" ca="1" si="119"/>
        <v>44289.505199049396</v>
      </c>
      <c r="Y113" s="6">
        <f t="shared" ca="1" si="119"/>
        <v>47370.364571006794</v>
      </c>
      <c r="Z113" s="6">
        <f t="shared" ca="1" si="119"/>
        <v>48659.464073936513</v>
      </c>
      <c r="AA113" s="6">
        <f t="shared" ca="1" si="119"/>
        <v>50138.894736688206</v>
      </c>
      <c r="AB113" s="6">
        <f t="shared" ca="1" si="119"/>
        <v>51661.163411201647</v>
      </c>
      <c r="AD113" s="12">
        <f t="shared" ca="1" si="116"/>
        <v>9.5791397882737606E-2</v>
      </c>
      <c r="AE113" s="12">
        <f t="shared" ca="1" si="117"/>
        <v>4.7279885362188967E-2</v>
      </c>
      <c r="AF113" s="12">
        <f t="shared" ca="1" si="118"/>
        <v>3.637290350733613E-2</v>
      </c>
    </row>
    <row r="114" spans="2:32" hidden="1" outlineLevel="1" x14ac:dyDescent="0.35">
      <c r="B114" s="2" t="s">
        <v>93</v>
      </c>
      <c r="C114" s="6">
        <f t="shared" ref="C114:AB114" si="120">+C69</f>
        <v>20559</v>
      </c>
      <c r="D114" s="6">
        <f t="shared" si="120"/>
        <v>7919</v>
      </c>
      <c r="E114" s="6">
        <f t="shared" si="120"/>
        <v>20625</v>
      </c>
      <c r="F114" s="6">
        <f t="shared" si="120"/>
        <v>11411</v>
      </c>
      <c r="G114" s="6">
        <f t="shared" si="120"/>
        <v>8557</v>
      </c>
      <c r="H114" s="6">
        <f t="shared" si="120"/>
        <v>2576</v>
      </c>
      <c r="I114" s="6">
        <f t="shared" si="120"/>
        <v>35</v>
      </c>
      <c r="J114" s="6">
        <f t="shared" si="120"/>
        <v>2003</v>
      </c>
      <c r="K114" s="6">
        <f t="shared" si="120"/>
        <v>105</v>
      </c>
      <c r="L114" s="6">
        <f t="shared" si="120"/>
        <v>0</v>
      </c>
      <c r="M114" s="6">
        <f t="shared" si="120"/>
        <v>108</v>
      </c>
      <c r="N114" s="6">
        <f t="shared" si="120"/>
        <v>314</v>
      </c>
      <c r="O114" s="6">
        <f t="shared" si="120"/>
        <v>158</v>
      </c>
      <c r="P114" s="6">
        <f t="shared" si="120"/>
        <v>406</v>
      </c>
      <c r="Q114" s="6">
        <f t="shared" si="120"/>
        <v>549</v>
      </c>
      <c r="R114" s="6">
        <f t="shared" si="120"/>
        <v>549</v>
      </c>
      <c r="S114" s="6">
        <f t="shared" si="120"/>
        <v>549</v>
      </c>
      <c r="T114" s="6">
        <f t="shared" si="120"/>
        <v>549</v>
      </c>
      <c r="U114" s="6">
        <f t="shared" si="120"/>
        <v>549</v>
      </c>
      <c r="V114" s="6">
        <f t="shared" si="120"/>
        <v>549</v>
      </c>
      <c r="W114" s="6">
        <f t="shared" si="120"/>
        <v>549</v>
      </c>
      <c r="X114" s="6">
        <f t="shared" si="120"/>
        <v>549</v>
      </c>
      <c r="Y114" s="6">
        <f t="shared" si="120"/>
        <v>549</v>
      </c>
      <c r="Z114" s="6">
        <f t="shared" si="120"/>
        <v>549</v>
      </c>
      <c r="AA114" s="6">
        <f t="shared" si="120"/>
        <v>549</v>
      </c>
      <c r="AB114" s="6">
        <f t="shared" si="120"/>
        <v>549</v>
      </c>
      <c r="AD114" s="12">
        <f t="shared" si="116"/>
        <v>0.26656111157116835</v>
      </c>
      <c r="AE114" s="12">
        <f t="shared" si="117"/>
        <v>0</v>
      </c>
      <c r="AF114" s="12">
        <f t="shared" si="118"/>
        <v>0.10054768846518769</v>
      </c>
    </row>
    <row r="115" spans="2:32" hidden="1" outlineLevel="1" x14ac:dyDescent="0.35">
      <c r="B115" s="2" t="s">
        <v>132</v>
      </c>
      <c r="C115" s="35">
        <f>+'Historical Detailed'!D370</f>
        <v>49143.79304509877</v>
      </c>
      <c r="D115" s="35">
        <f>+'Historical Detailed'!E370</f>
        <v>49597.885483763857</v>
      </c>
      <c r="E115" s="35">
        <f>+'Historical Detailed'!F370</f>
        <v>43154.938770138513</v>
      </c>
      <c r="F115" s="35">
        <f>+'Historical Detailed'!G370</f>
        <v>66779.792973135802</v>
      </c>
      <c r="G115" s="35">
        <f>+'Historical Detailed'!H370</f>
        <v>81674.210884689397</v>
      </c>
      <c r="H115" s="35">
        <f>+'Historical Detailed'!I370</f>
        <v>83977.161125566156</v>
      </c>
      <c r="I115" s="35">
        <f>+'Historical Detailed'!J370</f>
        <v>91007.653707414836</v>
      </c>
      <c r="J115" s="35">
        <f>+'Historical Detailed'!K370</f>
        <v>89637.687930234359</v>
      </c>
      <c r="K115" s="6">
        <f t="shared" ref="K115:AB115" si="121">+K63</f>
        <v>99187</v>
      </c>
      <c r="L115" s="6">
        <f t="shared" si="121"/>
        <v>104646</v>
      </c>
      <c r="M115" s="6">
        <f t="shared" si="121"/>
        <v>105129</v>
      </c>
      <c r="N115" s="6">
        <f t="shared" si="121"/>
        <v>108463</v>
      </c>
      <c r="O115" s="6">
        <f t="shared" si="121"/>
        <v>104880</v>
      </c>
      <c r="P115" s="6">
        <f t="shared" si="121"/>
        <v>96809</v>
      </c>
      <c r="Q115" s="6">
        <f t="shared" si="121"/>
        <v>94326</v>
      </c>
      <c r="R115" s="6">
        <f t="shared" si="121"/>
        <v>100646.5770548304</v>
      </c>
      <c r="S115" s="6">
        <f t="shared" si="121"/>
        <v>98167.156388968244</v>
      </c>
      <c r="T115" s="6">
        <f t="shared" si="121"/>
        <v>98823.061480109842</v>
      </c>
      <c r="U115" s="6">
        <f t="shared" si="121"/>
        <v>106121.41269171618</v>
      </c>
      <c r="V115" s="6">
        <f t="shared" si="121"/>
        <v>113633.49110467086</v>
      </c>
      <c r="W115" s="6">
        <f t="shared" si="121"/>
        <v>116730.43429235586</v>
      </c>
      <c r="X115" s="6">
        <f t="shared" si="121"/>
        <v>119065.04297820297</v>
      </c>
      <c r="Y115" s="6">
        <f t="shared" si="121"/>
        <v>121446.34383776702</v>
      </c>
      <c r="Z115" s="6">
        <f t="shared" si="121"/>
        <v>123875.27071452238</v>
      </c>
      <c r="AA115" s="6">
        <f t="shared" si="121"/>
        <v>126352.77612881281</v>
      </c>
      <c r="AB115" s="6">
        <f t="shared" si="121"/>
        <v>128879.83165138907</v>
      </c>
      <c r="AD115" s="12">
        <f t="shared" si="116"/>
        <v>2.0890627421989993E-3</v>
      </c>
      <c r="AE115" s="12">
        <f t="shared" si="117"/>
        <v>2.5034764859638292E-2</v>
      </c>
      <c r="AF115" s="12">
        <f t="shared" si="118"/>
        <v>1.5977339868374463E-2</v>
      </c>
    </row>
    <row r="116" spans="2:32" hidden="1" outlineLevel="1" x14ac:dyDescent="0.35">
      <c r="B116" s="2" t="s">
        <v>133</v>
      </c>
      <c r="C116" s="35">
        <f>+'Historical Detailed'!D371</f>
        <v>75615.206954901238</v>
      </c>
      <c r="D116" s="35">
        <f>+'Historical Detailed'!E371</f>
        <v>48697.114516236135</v>
      </c>
      <c r="E116" s="35">
        <f>+'Historical Detailed'!F371</f>
        <v>32101.061229861483</v>
      </c>
      <c r="F116" s="35">
        <f>+'Historical Detailed'!G371</f>
        <v>33760.207026864206</v>
      </c>
      <c r="G116" s="35">
        <f>+'Historical Detailed'!H371</f>
        <v>31577.789115310603</v>
      </c>
      <c r="H116" s="35">
        <f>+'Historical Detailed'!I371</f>
        <v>13907.838874433844</v>
      </c>
      <c r="I116" s="35">
        <f>+'Historical Detailed'!J371</f>
        <v>8112.34629258517</v>
      </c>
      <c r="J116" s="35">
        <f>+'Historical Detailed'!K371</f>
        <v>7543.9647691236751</v>
      </c>
      <c r="K116" s="6">
        <f t="shared" ref="K116:AB116" si="122">+K64</f>
        <v>6289</v>
      </c>
      <c r="L116" s="6">
        <f t="shared" si="122"/>
        <v>8121</v>
      </c>
      <c r="M116" s="6">
        <f t="shared" si="122"/>
        <v>11403</v>
      </c>
      <c r="N116" s="6">
        <f t="shared" si="122"/>
        <v>14870</v>
      </c>
      <c r="O116" s="6">
        <f t="shared" si="122"/>
        <v>15915</v>
      </c>
      <c r="P116" s="6">
        <f>+P64</f>
        <v>14443</v>
      </c>
      <c r="Q116" s="6">
        <f t="shared" si="122"/>
        <v>17536</v>
      </c>
      <c r="R116" s="6">
        <f t="shared" si="122"/>
        <v>19289.600000000002</v>
      </c>
      <c r="S116" s="6">
        <f t="shared" si="122"/>
        <v>19289.600000000002</v>
      </c>
      <c r="T116" s="6">
        <f t="shared" si="122"/>
        <v>20254.080000000002</v>
      </c>
      <c r="U116" s="6">
        <f t="shared" si="122"/>
        <v>21266.784000000003</v>
      </c>
      <c r="V116" s="6">
        <f t="shared" si="122"/>
        <v>22330.123200000005</v>
      </c>
      <c r="W116" s="6">
        <f t="shared" si="122"/>
        <v>23446.629360000006</v>
      </c>
      <c r="X116" s="6">
        <f t="shared" si="122"/>
        <v>24618.960828000007</v>
      </c>
      <c r="Y116" s="6">
        <f t="shared" si="122"/>
        <v>25849.908869400009</v>
      </c>
      <c r="Z116" s="6">
        <f t="shared" si="122"/>
        <v>27142.40431287001</v>
      </c>
      <c r="AA116" s="6">
        <f t="shared" si="122"/>
        <v>28499.524528513513</v>
      </c>
      <c r="AB116" s="6">
        <f t="shared" si="122"/>
        <v>29924.500754939188</v>
      </c>
      <c r="AD116" s="12">
        <f t="shared" si="116"/>
        <v>0.17363896082731567</v>
      </c>
      <c r="AE116" s="12">
        <f t="shared" si="117"/>
        <v>4.4889509982402709E-2</v>
      </c>
      <c r="AF116" s="12">
        <f t="shared" si="118"/>
        <v>4.9769297795628997E-2</v>
      </c>
    </row>
    <row r="117" spans="2:32" hidden="1" outlineLevel="1" x14ac:dyDescent="0.35">
      <c r="B117" s="2" t="s">
        <v>134</v>
      </c>
      <c r="C117" s="35">
        <f>+'Historical Detailed'!D372</f>
        <v>0</v>
      </c>
      <c r="D117" s="35">
        <f>+'Historical Detailed'!E372</f>
        <v>0</v>
      </c>
      <c r="E117" s="35">
        <f>+'Historical Detailed'!F372</f>
        <v>0</v>
      </c>
      <c r="F117" s="35">
        <f>+'Historical Detailed'!G372</f>
        <v>0</v>
      </c>
      <c r="G117" s="35">
        <f>+'Historical Detailed'!H372</f>
        <v>0</v>
      </c>
      <c r="H117" s="35">
        <f>+'Historical Detailed'!I372</f>
        <v>0</v>
      </c>
      <c r="I117" s="35">
        <f>+'Historical Detailed'!J372</f>
        <v>0</v>
      </c>
      <c r="J117" s="35">
        <f>+'Historical Detailed'!K372</f>
        <v>1789.3473006419674</v>
      </c>
      <c r="K117" s="6">
        <f t="shared" ref="K117:AB117" si="123">+K65+K66</f>
        <v>6124</v>
      </c>
      <c r="L117" s="6">
        <f t="shared" si="123"/>
        <v>6177</v>
      </c>
      <c r="M117" s="6">
        <f t="shared" si="123"/>
        <v>6361</v>
      </c>
      <c r="N117" s="6">
        <f t="shared" si="123"/>
        <v>6593</v>
      </c>
      <c r="O117" s="6">
        <f t="shared" si="123"/>
        <v>7436</v>
      </c>
      <c r="P117" s="6">
        <f>+P65+P66</f>
        <v>7282</v>
      </c>
      <c r="Q117" s="6">
        <f t="shared" si="123"/>
        <v>10406</v>
      </c>
      <c r="R117" s="6">
        <f t="shared" si="123"/>
        <v>13278</v>
      </c>
      <c r="S117" s="6">
        <f t="shared" si="123"/>
        <v>15269.699999999997</v>
      </c>
      <c r="T117" s="6">
        <f t="shared" si="123"/>
        <v>16796.669999999998</v>
      </c>
      <c r="U117" s="6">
        <f t="shared" si="123"/>
        <v>17886.593999999997</v>
      </c>
      <c r="V117" s="6">
        <f t="shared" si="123"/>
        <v>18808.331190000001</v>
      </c>
      <c r="W117" s="6">
        <f t="shared" si="123"/>
        <v>19644.929680199999</v>
      </c>
      <c r="X117" s="6">
        <f t="shared" si="123"/>
        <v>20527.052266693499</v>
      </c>
      <c r="Y117" s="6">
        <f t="shared" si="123"/>
        <v>21282.745078380554</v>
      </c>
      <c r="Z117" s="6">
        <f t="shared" si="123"/>
        <v>22068.102736602534</v>
      </c>
      <c r="AA117" s="6">
        <f t="shared" si="123"/>
        <v>22730.14581870061</v>
      </c>
      <c r="AB117" s="6">
        <f t="shared" si="123"/>
        <v>23412.050193261628</v>
      </c>
      <c r="AD117" s="12">
        <f t="shared" si="116"/>
        <v>0.11689906157288044</v>
      </c>
      <c r="AE117" s="12">
        <f t="shared" si="117"/>
        <v>5.8353324198010759E-2</v>
      </c>
      <c r="AF117" s="12">
        <f t="shared" si="118"/>
        <v>9.2233240849322273E-2</v>
      </c>
    </row>
    <row r="118" spans="2:32" hidden="1" outlineLevel="1" x14ac:dyDescent="0.35">
      <c r="B118" s="2" t="s">
        <v>11</v>
      </c>
      <c r="C118" s="6">
        <f t="shared" ref="C118:AB118" si="124">+C71</f>
        <v>32348</v>
      </c>
      <c r="D118" s="6">
        <f t="shared" si="124"/>
        <v>26390</v>
      </c>
      <c r="E118" s="6">
        <f t="shared" si="124"/>
        <v>15995</v>
      </c>
      <c r="F118" s="6">
        <f t="shared" si="124"/>
        <v>9128</v>
      </c>
      <c r="G118" s="6">
        <f t="shared" si="124"/>
        <v>9275</v>
      </c>
      <c r="H118" s="6">
        <f t="shared" si="124"/>
        <v>13550</v>
      </c>
      <c r="I118" s="6">
        <f t="shared" si="124"/>
        <v>17680</v>
      </c>
      <c r="J118" s="6">
        <f t="shared" si="124"/>
        <v>19510</v>
      </c>
      <c r="K118" s="6">
        <f t="shared" si="124"/>
        <v>16271</v>
      </c>
      <c r="L118" s="6">
        <f t="shared" si="124"/>
        <v>11470</v>
      </c>
      <c r="M118" s="6">
        <f t="shared" si="124"/>
        <v>8741</v>
      </c>
      <c r="N118" s="6">
        <f t="shared" si="124"/>
        <v>8417</v>
      </c>
      <c r="O118" s="6">
        <f t="shared" si="124"/>
        <v>8864</v>
      </c>
      <c r="P118" s="6">
        <f t="shared" si="124"/>
        <v>9639</v>
      </c>
      <c r="Q118" s="6">
        <f t="shared" si="124"/>
        <v>10862</v>
      </c>
      <c r="R118" s="6">
        <f t="shared" si="124"/>
        <v>10318.9</v>
      </c>
      <c r="S118" s="6">
        <f t="shared" si="124"/>
        <v>9802.9549999999999</v>
      </c>
      <c r="T118" s="6">
        <f t="shared" si="124"/>
        <v>10293.10275</v>
      </c>
      <c r="U118" s="6">
        <f t="shared" si="124"/>
        <v>10396.033777500001</v>
      </c>
      <c r="V118" s="6">
        <f t="shared" si="124"/>
        <v>10499.994115275002</v>
      </c>
      <c r="W118" s="6">
        <f t="shared" si="124"/>
        <v>10604.994056427751</v>
      </c>
      <c r="X118" s="6">
        <f t="shared" si="124"/>
        <v>10711.043996992028</v>
      </c>
      <c r="Y118" s="6">
        <f t="shared" si="124"/>
        <v>10818.154436961948</v>
      </c>
      <c r="Z118" s="6">
        <f t="shared" si="124"/>
        <v>10926.335981331567</v>
      </c>
      <c r="AA118" s="6">
        <f t="shared" si="124"/>
        <v>11035.599341144884</v>
      </c>
      <c r="AB118" s="6">
        <f t="shared" si="124"/>
        <v>11145.955334556333</v>
      </c>
      <c r="AD118" s="12">
        <f t="shared" si="116"/>
        <v>-6.2987047856672418E-2</v>
      </c>
      <c r="AE118" s="12">
        <f t="shared" si="117"/>
        <v>7.7397498697167055E-3</v>
      </c>
      <c r="AF118" s="12">
        <f t="shared" si="118"/>
        <v>1.7777600393199089E-2</v>
      </c>
    </row>
    <row r="119" spans="2:32" hidden="1" outlineLevel="1" x14ac:dyDescent="0.35">
      <c r="B119" s="2" t="s">
        <v>12</v>
      </c>
      <c r="C119" s="6">
        <f t="shared" ref="C119:AB119" si="125">(C76-SUM(C112:C118))*0.5</f>
        <v>18428</v>
      </c>
      <c r="D119" s="6">
        <f t="shared" si="125"/>
        <v>17138.5</v>
      </c>
      <c r="E119" s="6">
        <f t="shared" si="125"/>
        <v>16372.5</v>
      </c>
      <c r="F119" s="6">
        <f t="shared" si="125"/>
        <v>12086.5</v>
      </c>
      <c r="G119" s="6">
        <f t="shared" si="125"/>
        <v>12091.5</v>
      </c>
      <c r="H119" s="6">
        <f t="shared" si="125"/>
        <v>23322.5</v>
      </c>
      <c r="I119" s="6">
        <f t="shared" si="125"/>
        <v>5859</v>
      </c>
      <c r="J119" s="6">
        <f t="shared" si="125"/>
        <v>4717</v>
      </c>
      <c r="K119" s="6">
        <f t="shared" si="125"/>
        <v>3534</v>
      </c>
      <c r="L119" s="6">
        <f t="shared" si="125"/>
        <v>3807.5</v>
      </c>
      <c r="M119" s="6">
        <f t="shared" si="125"/>
        <v>3217</v>
      </c>
      <c r="N119" s="6">
        <f t="shared" si="125"/>
        <v>3618.5</v>
      </c>
      <c r="O119" s="6">
        <f t="shared" si="125"/>
        <v>3684</v>
      </c>
      <c r="P119" s="6">
        <f t="shared" si="125"/>
        <v>2905.5</v>
      </c>
      <c r="Q119" s="6">
        <f t="shared" si="125"/>
        <v>3757</v>
      </c>
      <c r="R119" s="6">
        <f t="shared" ca="1" si="125"/>
        <v>3626.5903018527461</v>
      </c>
      <c r="S119" s="6">
        <f t="shared" ca="1" si="125"/>
        <v>3942.7090679362736</v>
      </c>
      <c r="T119" s="6">
        <f t="shared" ca="1" si="125"/>
        <v>4156.1638069744513</v>
      </c>
      <c r="U119" s="6">
        <f t="shared" ca="1" si="125"/>
        <v>4197.0204796076578</v>
      </c>
      <c r="V119" s="6">
        <f t="shared" ca="1" si="125"/>
        <v>4229.7734717459389</v>
      </c>
      <c r="W119" s="6">
        <f t="shared" ca="1" si="125"/>
        <v>4295.1167528365768</v>
      </c>
      <c r="X119" s="6">
        <f t="shared" ca="1" si="125"/>
        <v>4375.055973524868</v>
      </c>
      <c r="Y119" s="6">
        <f t="shared" ca="1" si="125"/>
        <v>4457.1384900394041</v>
      </c>
      <c r="Z119" s="6">
        <f t="shared" ca="1" si="125"/>
        <v>4540.6052597265079</v>
      </c>
      <c r="AA119" s="6">
        <f t="shared" ca="1" si="125"/>
        <v>4626.242599137302</v>
      </c>
      <c r="AB119" s="6">
        <f t="shared" ca="1" si="125"/>
        <v>4713.3560151498532</v>
      </c>
      <c r="AD119" s="12">
        <f t="shared" ca="1" si="116"/>
        <v>3.7014796416852125E-3</v>
      </c>
      <c r="AE119" s="12">
        <f t="shared" ca="1" si="117"/>
        <v>2.6557250858829207E-2</v>
      </c>
      <c r="AF119" s="12">
        <f t="shared" ca="1" si="118"/>
        <v>1.9134694092461935E-2</v>
      </c>
    </row>
    <row r="120" spans="2:32" hidden="1" outlineLevel="1" x14ac:dyDescent="0.35">
      <c r="B120" s="2" t="s">
        <v>140</v>
      </c>
      <c r="C120" s="6">
        <f>+'Historical Detailed'!D375</f>
        <v>172300</v>
      </c>
      <c r="D120" s="6">
        <f>+'Historical Detailed'!E375</f>
        <v>152000</v>
      </c>
      <c r="E120" s="6">
        <f>+'Historical Detailed'!F375</f>
        <v>107100</v>
      </c>
      <c r="F120" s="6">
        <f>+'Historical Detailed'!G375</f>
        <v>49788</v>
      </c>
      <c r="G120" s="6">
        <f>+'Historical Detailed'!H375</f>
        <v>48860</v>
      </c>
      <c r="H120" s="6">
        <f>+'Historical Detailed'!I375</f>
        <v>1592</v>
      </c>
      <c r="I120" s="6">
        <f>+'Historical Detailed'!J375</f>
        <v>939</v>
      </c>
      <c r="J120" s="6">
        <f>+'Historical Detailed'!K375</f>
        <v>3163</v>
      </c>
      <c r="K120" s="6">
        <f>+'Historical Detailed'!L375</f>
        <v>3527</v>
      </c>
      <c r="L120" s="6">
        <f>+'Historical Detailed'!M375</f>
        <v>3574</v>
      </c>
      <c r="M120" s="6">
        <f>+'Historical Detailed'!N375</f>
        <v>2791</v>
      </c>
      <c r="N120" s="6">
        <f>+'Historical Detailed'!O375</f>
        <v>2334</v>
      </c>
      <c r="O120" s="6">
        <f>+'Historical Detailed'!P375</f>
        <v>1837</v>
      </c>
      <c r="P120" s="6">
        <f>+'Historical Detailed'!Q375</f>
        <v>1754</v>
      </c>
      <c r="Q120" s="6">
        <f>+'Historical Detailed'!R375</f>
        <v>2416</v>
      </c>
      <c r="R120" s="5">
        <f>+Q120+200</f>
        <v>2616</v>
      </c>
      <c r="S120" s="5">
        <f t="shared" ref="S120:AB120" si="126">+R120</f>
        <v>2616</v>
      </c>
      <c r="T120" s="5">
        <f t="shared" si="126"/>
        <v>2616</v>
      </c>
      <c r="U120" s="5">
        <f t="shared" si="126"/>
        <v>2616</v>
      </c>
      <c r="V120" s="5">
        <f t="shared" si="126"/>
        <v>2616</v>
      </c>
      <c r="W120" s="5">
        <f t="shared" si="126"/>
        <v>2616</v>
      </c>
      <c r="X120" s="5">
        <f t="shared" si="126"/>
        <v>2616</v>
      </c>
      <c r="Y120" s="5">
        <f t="shared" si="126"/>
        <v>2616</v>
      </c>
      <c r="Z120" s="5">
        <f t="shared" si="126"/>
        <v>2616</v>
      </c>
      <c r="AA120" s="5">
        <f t="shared" si="126"/>
        <v>2616</v>
      </c>
      <c r="AB120" s="5">
        <f t="shared" si="126"/>
        <v>2616</v>
      </c>
      <c r="AD120" s="12">
        <f t="shared" si="116"/>
        <v>-4.178767143574591E-2</v>
      </c>
      <c r="AE120" s="12">
        <f t="shared" si="117"/>
        <v>0</v>
      </c>
      <c r="AF120" s="12">
        <f t="shared" si="118"/>
        <v>2.7566390604459201E-2</v>
      </c>
    </row>
    <row r="121" spans="2:32" hidden="1" outlineLevel="1" x14ac:dyDescent="0.35">
      <c r="B121" s="3" t="s">
        <v>283</v>
      </c>
      <c r="C121" s="4">
        <f t="shared" ref="C121:P121" si="127">SUM(C112:C120)</f>
        <v>402811</v>
      </c>
      <c r="D121" s="4">
        <f t="shared" si="127"/>
        <v>324337.5</v>
      </c>
      <c r="E121" s="4">
        <f t="shared" si="127"/>
        <v>263033.5</v>
      </c>
      <c r="F121" s="4">
        <f t="shared" si="127"/>
        <v>209709.5</v>
      </c>
      <c r="G121" s="4">
        <f t="shared" si="127"/>
        <v>220827.5</v>
      </c>
      <c r="H121" s="4">
        <f t="shared" si="127"/>
        <v>160616.5</v>
      </c>
      <c r="I121" s="4">
        <f t="shared" si="127"/>
        <v>146247</v>
      </c>
      <c r="J121" s="4">
        <f t="shared" si="127"/>
        <v>150077</v>
      </c>
      <c r="K121" s="4">
        <f t="shared" si="127"/>
        <v>158574</v>
      </c>
      <c r="L121" s="4">
        <f t="shared" si="127"/>
        <v>163494.5</v>
      </c>
      <c r="M121" s="4">
        <f t="shared" si="127"/>
        <v>166722</v>
      </c>
      <c r="N121" s="4">
        <f t="shared" si="127"/>
        <v>177584.5</v>
      </c>
      <c r="O121" s="4">
        <f t="shared" si="127"/>
        <v>178797</v>
      </c>
      <c r="P121" s="4">
        <f t="shared" si="127"/>
        <v>181013.5</v>
      </c>
      <c r="Q121" s="4">
        <f>SUM(Q112:Q120)</f>
        <v>180773</v>
      </c>
      <c r="R121" s="4">
        <f t="shared" ref="R121:AB121" ca="1" si="128">SUM(R112:R120)</f>
        <v>187741.58557634841</v>
      </c>
      <c r="S121" s="4">
        <f t="shared" ca="1" si="128"/>
        <v>188372.0627674252</v>
      </c>
      <c r="T121" s="4">
        <f t="shared" ca="1" si="128"/>
        <v>196729.57838532072</v>
      </c>
      <c r="U121" s="4">
        <f t="shared" ca="1" si="128"/>
        <v>206727.15063661808</v>
      </c>
      <c r="V121" s="4">
        <f t="shared" ca="1" si="128"/>
        <v>215460.13815377728</v>
      </c>
      <c r="W121" s="4">
        <f t="shared" ca="1" si="128"/>
        <v>224311.83785958326</v>
      </c>
      <c r="X121" s="4">
        <f t="shared" ca="1" si="128"/>
        <v>231619.66124246275</v>
      </c>
      <c r="Y121" s="4">
        <f t="shared" ca="1" si="128"/>
        <v>239257.65528355574</v>
      </c>
      <c r="Z121" s="4">
        <f t="shared" ca="1" si="128"/>
        <v>245245.1830789895</v>
      </c>
      <c r="AA121" s="4">
        <f t="shared" ca="1" si="128"/>
        <v>251416.18315299731</v>
      </c>
      <c r="AB121" s="4">
        <f t="shared" ca="1" si="128"/>
        <v>257769.8573604977</v>
      </c>
      <c r="AD121" s="12">
        <f t="shared" ca="1" si="116"/>
        <v>2.4413988091877448E-2</v>
      </c>
      <c r="AE121" s="12">
        <f t="shared" ca="1" si="117"/>
        <v>3.2207867592620953E-2</v>
      </c>
      <c r="AF121" s="12">
        <f t="shared" ca="1" si="118"/>
        <v>2.853935951601505E-2</v>
      </c>
    </row>
    <row r="122" spans="2:32" hidden="1" outlineLevel="1" x14ac:dyDescent="0.35"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2:32" hidden="1" outlineLevel="1" x14ac:dyDescent="0.35">
      <c r="B123" s="2" t="s">
        <v>127</v>
      </c>
      <c r="C123" s="17">
        <v>0</v>
      </c>
      <c r="D123" s="17">
        <v>0</v>
      </c>
      <c r="E123" s="17">
        <v>0</v>
      </c>
      <c r="F123" s="17">
        <v>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0</v>
      </c>
      <c r="V123" s="17">
        <v>0</v>
      </c>
      <c r="W123" s="17">
        <v>0</v>
      </c>
      <c r="X123" s="17">
        <v>0</v>
      </c>
      <c r="Y123" s="17">
        <v>0</v>
      </c>
      <c r="Z123" s="17">
        <v>0</v>
      </c>
      <c r="AA123" s="17">
        <v>0</v>
      </c>
      <c r="AB123" s="17">
        <v>0</v>
      </c>
    </row>
    <row r="124" spans="2:32" hidden="1" outlineLevel="1" x14ac:dyDescent="0.35">
      <c r="B124" s="2" t="s">
        <v>128</v>
      </c>
      <c r="C124" s="17">
        <v>0.4</v>
      </c>
      <c r="D124" s="17">
        <v>0.4</v>
      </c>
      <c r="E124" s="17">
        <v>0.4</v>
      </c>
      <c r="F124" s="17">
        <v>0.4</v>
      </c>
      <c r="G124" s="17">
        <v>0.4</v>
      </c>
      <c r="H124" s="17">
        <v>0.4</v>
      </c>
      <c r="I124" s="17">
        <v>0.4</v>
      </c>
      <c r="J124" s="17">
        <v>0.4</v>
      </c>
      <c r="K124" s="17">
        <v>0.4</v>
      </c>
      <c r="L124" s="17">
        <v>0.4</v>
      </c>
      <c r="M124" s="17">
        <v>0.4</v>
      </c>
      <c r="N124" s="17">
        <v>0.4</v>
      </c>
      <c r="O124" s="17">
        <v>0.4</v>
      </c>
      <c r="P124" s="17">
        <v>0.4</v>
      </c>
      <c r="Q124" s="17">
        <v>0.4</v>
      </c>
      <c r="R124" s="17">
        <v>0.4</v>
      </c>
      <c r="S124" s="17">
        <v>0.4</v>
      </c>
      <c r="T124" s="17">
        <v>0.4</v>
      </c>
      <c r="U124" s="17">
        <v>0.4</v>
      </c>
      <c r="V124" s="17">
        <v>0.4</v>
      </c>
      <c r="W124" s="17">
        <v>0.4</v>
      </c>
      <c r="X124" s="17">
        <v>0.4</v>
      </c>
      <c r="Y124" s="17">
        <v>0.4</v>
      </c>
      <c r="Z124" s="17">
        <v>0.4</v>
      </c>
      <c r="AA124" s="17">
        <v>0.4</v>
      </c>
      <c r="AB124" s="17">
        <v>0.4</v>
      </c>
    </row>
    <row r="125" spans="2:32" hidden="1" outlineLevel="1" x14ac:dyDescent="0.35">
      <c r="B125" s="2" t="s">
        <v>93</v>
      </c>
      <c r="C125" s="17">
        <v>2</v>
      </c>
      <c r="D125" s="17">
        <v>2</v>
      </c>
      <c r="E125" s="17">
        <v>2</v>
      </c>
      <c r="F125" s="17">
        <v>2</v>
      </c>
      <c r="G125" s="17">
        <v>2</v>
      </c>
      <c r="H125" s="17">
        <v>2</v>
      </c>
      <c r="I125" s="17">
        <v>2</v>
      </c>
      <c r="J125" s="17">
        <v>2</v>
      </c>
      <c r="K125" s="17">
        <v>2</v>
      </c>
      <c r="L125" s="17">
        <v>2</v>
      </c>
      <c r="M125" s="17">
        <v>2</v>
      </c>
      <c r="N125" s="17">
        <v>2</v>
      </c>
      <c r="O125" s="17">
        <v>2</v>
      </c>
      <c r="P125" s="17">
        <v>2</v>
      </c>
      <c r="Q125" s="17">
        <v>2</v>
      </c>
      <c r="R125" s="17">
        <v>2</v>
      </c>
      <c r="S125" s="17">
        <v>2</v>
      </c>
      <c r="T125" s="17">
        <v>2</v>
      </c>
      <c r="U125" s="17">
        <v>2</v>
      </c>
      <c r="V125" s="17">
        <v>2</v>
      </c>
      <c r="W125" s="17">
        <v>2</v>
      </c>
      <c r="X125" s="17">
        <v>2</v>
      </c>
      <c r="Y125" s="17">
        <v>2</v>
      </c>
      <c r="Z125" s="17">
        <v>2</v>
      </c>
      <c r="AA125" s="17">
        <v>2</v>
      </c>
      <c r="AB125" s="17">
        <v>2</v>
      </c>
    </row>
    <row r="126" spans="2:32" hidden="1" outlineLevel="1" x14ac:dyDescent="0.35">
      <c r="B126" s="2" t="s">
        <v>132</v>
      </c>
      <c r="C126" s="17">
        <v>1</v>
      </c>
      <c r="D126" s="17">
        <v>1</v>
      </c>
      <c r="E126" s="17">
        <v>1</v>
      </c>
      <c r="F126" s="17">
        <v>1</v>
      </c>
      <c r="G126" s="17">
        <v>1</v>
      </c>
      <c r="H126" s="17">
        <v>1</v>
      </c>
      <c r="I126" s="17">
        <v>1</v>
      </c>
      <c r="J126" s="17">
        <v>1</v>
      </c>
      <c r="K126" s="17">
        <v>1</v>
      </c>
      <c r="L126" s="17">
        <v>1</v>
      </c>
      <c r="M126" s="17">
        <v>1</v>
      </c>
      <c r="N126" s="17">
        <v>1</v>
      </c>
      <c r="O126" s="17">
        <v>1</v>
      </c>
      <c r="P126" s="17">
        <v>1</v>
      </c>
      <c r="Q126" s="17">
        <v>1</v>
      </c>
      <c r="R126" s="17">
        <v>1</v>
      </c>
      <c r="S126" s="17">
        <v>1</v>
      </c>
      <c r="T126" s="17">
        <v>1</v>
      </c>
      <c r="U126" s="17">
        <v>1</v>
      </c>
      <c r="V126" s="17">
        <v>1</v>
      </c>
      <c r="W126" s="17">
        <v>1</v>
      </c>
      <c r="X126" s="17">
        <v>1</v>
      </c>
      <c r="Y126" s="17">
        <v>1</v>
      </c>
      <c r="Z126" s="17">
        <v>1</v>
      </c>
      <c r="AA126" s="17">
        <v>1</v>
      </c>
      <c r="AB126" s="17">
        <v>1</v>
      </c>
    </row>
    <row r="127" spans="2:32" hidden="1" outlineLevel="1" x14ac:dyDescent="0.35">
      <c r="B127" s="2" t="s">
        <v>133</v>
      </c>
      <c r="C127" s="17">
        <v>0.5</v>
      </c>
      <c r="D127" s="17">
        <v>0.5</v>
      </c>
      <c r="E127" s="17">
        <v>0.5</v>
      </c>
      <c r="F127" s="17">
        <v>0.5</v>
      </c>
      <c r="G127" s="17">
        <v>0.5</v>
      </c>
      <c r="H127" s="17">
        <v>0.5</v>
      </c>
      <c r="I127" s="17">
        <v>0.5</v>
      </c>
      <c r="J127" s="17">
        <v>0.5</v>
      </c>
      <c r="K127" s="17">
        <v>0.5</v>
      </c>
      <c r="L127" s="17">
        <v>0.5</v>
      </c>
      <c r="M127" s="17">
        <v>0.5</v>
      </c>
      <c r="N127" s="17">
        <v>0.5</v>
      </c>
      <c r="O127" s="17">
        <v>0.5</v>
      </c>
      <c r="P127" s="17">
        <v>0.5</v>
      </c>
      <c r="Q127" s="17">
        <v>0.5</v>
      </c>
      <c r="R127" s="17">
        <v>0.5</v>
      </c>
      <c r="S127" s="17">
        <v>0.5</v>
      </c>
      <c r="T127" s="17">
        <v>0.5</v>
      </c>
      <c r="U127" s="17">
        <v>0.5</v>
      </c>
      <c r="V127" s="17">
        <v>0.5</v>
      </c>
      <c r="W127" s="17">
        <v>0.5</v>
      </c>
      <c r="X127" s="17">
        <v>0.5</v>
      </c>
      <c r="Y127" s="17">
        <v>0.5</v>
      </c>
      <c r="Z127" s="17">
        <v>0.5</v>
      </c>
      <c r="AA127" s="17">
        <v>0.5</v>
      </c>
      <c r="AB127" s="17">
        <v>0.5</v>
      </c>
    </row>
    <row r="128" spans="2:32" hidden="1" outlineLevel="1" x14ac:dyDescent="0.35">
      <c r="B128" s="2" t="s">
        <v>134</v>
      </c>
      <c r="C128" s="17">
        <v>1</v>
      </c>
      <c r="D128" s="17">
        <v>1</v>
      </c>
      <c r="E128" s="17">
        <v>1</v>
      </c>
      <c r="F128" s="17">
        <v>1</v>
      </c>
      <c r="G128" s="17">
        <v>1</v>
      </c>
      <c r="H128" s="17">
        <v>1</v>
      </c>
      <c r="I128" s="17">
        <v>1</v>
      </c>
      <c r="J128" s="17">
        <v>1</v>
      </c>
      <c r="K128" s="17">
        <v>1</v>
      </c>
      <c r="L128" s="17">
        <v>1</v>
      </c>
      <c r="M128" s="17">
        <v>1</v>
      </c>
      <c r="N128" s="17">
        <v>1</v>
      </c>
      <c r="O128" s="17">
        <v>1</v>
      </c>
      <c r="P128" s="17">
        <v>1</v>
      </c>
      <c r="Q128" s="17">
        <v>1.05</v>
      </c>
      <c r="R128" s="17">
        <v>1.05</v>
      </c>
      <c r="S128" s="17">
        <v>1.05</v>
      </c>
      <c r="T128" s="17">
        <v>1.05</v>
      </c>
      <c r="U128" s="17">
        <v>1.05</v>
      </c>
      <c r="V128" s="17">
        <v>1.05</v>
      </c>
      <c r="W128" s="17">
        <v>1.05</v>
      </c>
      <c r="X128" s="17">
        <v>1.05</v>
      </c>
      <c r="Y128" s="17">
        <v>1.05</v>
      </c>
      <c r="Z128" s="17">
        <v>1.05</v>
      </c>
      <c r="AA128" s="17">
        <v>1.05</v>
      </c>
      <c r="AB128" s="17">
        <v>1.05</v>
      </c>
    </row>
    <row r="129" spans="2:32" hidden="1" outlineLevel="1" x14ac:dyDescent="0.35">
      <c r="B129" s="2" t="s">
        <v>11</v>
      </c>
      <c r="C129" s="17">
        <v>1</v>
      </c>
      <c r="D129" s="17">
        <v>1</v>
      </c>
      <c r="E129" s="17">
        <v>1</v>
      </c>
      <c r="F129" s="17">
        <v>1</v>
      </c>
      <c r="G129" s="17">
        <v>1</v>
      </c>
      <c r="H129" s="17">
        <v>1</v>
      </c>
      <c r="I129" s="17">
        <v>1</v>
      </c>
      <c r="J129" s="17">
        <v>1</v>
      </c>
      <c r="K129" s="17">
        <v>1</v>
      </c>
      <c r="L129" s="17">
        <v>1</v>
      </c>
      <c r="M129" s="17">
        <v>1</v>
      </c>
      <c r="N129" s="17">
        <v>1</v>
      </c>
      <c r="O129" s="17">
        <v>1</v>
      </c>
      <c r="P129" s="17">
        <v>1</v>
      </c>
      <c r="Q129" s="17">
        <v>1</v>
      </c>
      <c r="R129" s="17">
        <v>1</v>
      </c>
      <c r="S129" s="17">
        <v>1</v>
      </c>
      <c r="T129" s="17">
        <v>1</v>
      </c>
      <c r="U129" s="17">
        <v>1</v>
      </c>
      <c r="V129" s="17">
        <v>1</v>
      </c>
      <c r="W129" s="17">
        <v>1</v>
      </c>
      <c r="X129" s="17">
        <v>1</v>
      </c>
      <c r="Y129" s="17">
        <v>1</v>
      </c>
      <c r="Z129" s="17">
        <v>1</v>
      </c>
      <c r="AA129" s="17">
        <v>1</v>
      </c>
      <c r="AB129" s="17">
        <v>1</v>
      </c>
    </row>
    <row r="130" spans="2:32" hidden="1" outlineLevel="1" x14ac:dyDescent="0.35">
      <c r="B130" s="2" t="s">
        <v>12</v>
      </c>
      <c r="C130" s="17">
        <v>1</v>
      </c>
      <c r="D130" s="17">
        <v>1</v>
      </c>
      <c r="E130" s="17">
        <v>1</v>
      </c>
      <c r="F130" s="17">
        <v>1</v>
      </c>
      <c r="G130" s="17">
        <v>1</v>
      </c>
      <c r="H130" s="17">
        <v>1</v>
      </c>
      <c r="I130" s="17">
        <v>1</v>
      </c>
      <c r="J130" s="17">
        <v>1</v>
      </c>
      <c r="K130" s="17">
        <v>1</v>
      </c>
      <c r="L130" s="17">
        <v>1</v>
      </c>
      <c r="M130" s="17">
        <v>1</v>
      </c>
      <c r="N130" s="17">
        <v>1</v>
      </c>
      <c r="O130" s="17">
        <v>1</v>
      </c>
      <c r="P130" s="17">
        <v>1</v>
      </c>
      <c r="Q130" s="17">
        <v>1</v>
      </c>
      <c r="R130" s="17">
        <v>1.2</v>
      </c>
      <c r="S130" s="17">
        <v>1.2</v>
      </c>
      <c r="T130" s="17">
        <v>1.2</v>
      </c>
      <c r="U130" s="17">
        <v>1.2</v>
      </c>
      <c r="V130" s="17">
        <v>1.2</v>
      </c>
      <c r="W130" s="17">
        <v>1.2</v>
      </c>
      <c r="X130" s="17">
        <v>1.2</v>
      </c>
      <c r="Y130" s="17">
        <v>1.2</v>
      </c>
      <c r="Z130" s="17">
        <v>1.2</v>
      </c>
      <c r="AA130" s="17">
        <v>1.2</v>
      </c>
      <c r="AB130" s="17">
        <v>1.2</v>
      </c>
    </row>
    <row r="131" spans="2:32" hidden="1" outlineLevel="1" x14ac:dyDescent="0.35">
      <c r="B131" s="2" t="s">
        <v>140</v>
      </c>
      <c r="C131" s="17">
        <v>0.9</v>
      </c>
      <c r="D131" s="17">
        <v>0.9</v>
      </c>
      <c r="E131" s="17">
        <v>0.9</v>
      </c>
      <c r="F131" s="17">
        <v>0.9</v>
      </c>
      <c r="G131" s="17">
        <v>0.9</v>
      </c>
      <c r="H131" s="17">
        <v>0.9</v>
      </c>
      <c r="I131" s="17">
        <v>0.9</v>
      </c>
      <c r="J131" s="17">
        <v>0.9</v>
      </c>
      <c r="K131" s="17">
        <v>0.9</v>
      </c>
      <c r="L131" s="17">
        <v>0.9</v>
      </c>
      <c r="M131" s="17">
        <v>0.9</v>
      </c>
      <c r="N131" s="17">
        <v>0.9</v>
      </c>
      <c r="O131" s="17">
        <v>0.9</v>
      </c>
      <c r="P131" s="17">
        <v>0.9</v>
      </c>
      <c r="Q131" s="17">
        <v>0.9</v>
      </c>
      <c r="R131" s="17">
        <v>0.9</v>
      </c>
      <c r="S131" s="17">
        <v>0.9</v>
      </c>
      <c r="T131" s="17">
        <v>0.9</v>
      </c>
      <c r="U131" s="17">
        <v>0.9</v>
      </c>
      <c r="V131" s="17">
        <v>0.9</v>
      </c>
      <c r="W131" s="17">
        <v>0.9</v>
      </c>
      <c r="X131" s="17">
        <v>0.9</v>
      </c>
      <c r="Y131" s="17">
        <v>0.9</v>
      </c>
      <c r="Z131" s="17">
        <v>0.9</v>
      </c>
      <c r="AA131" s="17">
        <v>0.9</v>
      </c>
      <c r="AB131" s="17">
        <v>0.9</v>
      </c>
    </row>
    <row r="132" spans="2:32" hidden="1" outlineLevel="1" x14ac:dyDescent="0.35">
      <c r="B132" s="3" t="s">
        <v>262</v>
      </c>
      <c r="C132" s="16">
        <f t="shared" ref="C132:AB132" si="129">SUMPRODUCT(C123:C131,C112:C120)/C121</f>
        <v>0.84558613474445676</v>
      </c>
      <c r="D132" s="16">
        <f t="shared" si="129"/>
        <v>0.84199496740858493</v>
      </c>
      <c r="E132" s="16">
        <f t="shared" si="129"/>
        <v>0.89103391539507049</v>
      </c>
      <c r="F132" s="16">
        <f t="shared" si="129"/>
        <v>0.85136818544971926</v>
      </c>
      <c r="G132" s="16">
        <f t="shared" si="129"/>
        <v>0.84328448876315087</v>
      </c>
      <c r="H132" s="16">
        <f t="shared" si="129"/>
        <v>0.87201240571661731</v>
      </c>
      <c r="I132" s="16">
        <f t="shared" si="129"/>
        <v>0.86395705111015897</v>
      </c>
      <c r="J132" s="16">
        <f t="shared" si="129"/>
        <v>0.88443610690137853</v>
      </c>
      <c r="K132" s="16">
        <f t="shared" si="129"/>
        <v>0.87345718718074827</v>
      </c>
      <c r="L132" s="16">
        <f t="shared" si="129"/>
        <v>0.86414894690647093</v>
      </c>
      <c r="M132" s="16">
        <f t="shared" si="129"/>
        <v>0.85031009704778016</v>
      </c>
      <c r="N132" s="16">
        <f t="shared" si="129"/>
        <v>0.83695536491078903</v>
      </c>
      <c r="O132" s="16">
        <f t="shared" si="129"/>
        <v>0.82651274909534278</v>
      </c>
      <c r="P132" s="16">
        <f t="shared" si="129"/>
        <v>0.76850179682730857</v>
      </c>
      <c r="Q132" s="16">
        <f t="shared" si="129"/>
        <v>0.80905500268292285</v>
      </c>
      <c r="R132" s="16">
        <f t="shared" ca="1" si="129"/>
        <v>0.82760594690798228</v>
      </c>
      <c r="S132" s="16">
        <f t="shared" ca="1" si="129"/>
        <v>0.8248490880865873</v>
      </c>
      <c r="T132" s="16">
        <f t="shared" ca="1" si="129"/>
        <v>0.81669927703033351</v>
      </c>
      <c r="U132" s="16">
        <f t="shared" ca="1" si="129"/>
        <v>0.82210347550622709</v>
      </c>
      <c r="V132" s="16">
        <f t="shared" ca="1" si="129"/>
        <v>0.82959936021577074</v>
      </c>
      <c r="W132" s="16">
        <f t="shared" ca="1" si="129"/>
        <v>0.82436644694274919</v>
      </c>
      <c r="X132" s="16">
        <f t="shared" ca="1" si="129"/>
        <v>0.82055746259864426</v>
      </c>
      <c r="Y132" s="16">
        <f t="shared" ca="1" si="129"/>
        <v>0.81621399669212846</v>
      </c>
      <c r="Z132" s="16">
        <f t="shared" ca="1" si="129"/>
        <v>0.81514028596671961</v>
      </c>
      <c r="AA132" s="16">
        <f t="shared" ca="1" si="129"/>
        <v>0.81364786185225069</v>
      </c>
      <c r="AB132" s="16">
        <f t="shared" ca="1" si="129"/>
        <v>0.8121336792153625</v>
      </c>
    </row>
    <row r="133" spans="2:32" hidden="1" outlineLevel="1" x14ac:dyDescent="0.35">
      <c r="B133" s="61" t="s">
        <v>263</v>
      </c>
      <c r="C133" s="19">
        <f t="shared" ref="C133:AB133" si="130">+C132*C121</f>
        <v>340611.39652254939</v>
      </c>
      <c r="D133" s="19">
        <f t="shared" si="130"/>
        <v>273090.54274188192</v>
      </c>
      <c r="E133" s="19">
        <f t="shared" si="130"/>
        <v>234371.76938506926</v>
      </c>
      <c r="F133" s="19">
        <f t="shared" si="130"/>
        <v>178539.99648656789</v>
      </c>
      <c r="G133" s="19">
        <f t="shared" si="130"/>
        <v>186220.40544234469</v>
      </c>
      <c r="H133" s="19">
        <f t="shared" si="130"/>
        <v>140059.58056278306</v>
      </c>
      <c r="I133" s="19">
        <f t="shared" si="130"/>
        <v>126351.12685370742</v>
      </c>
      <c r="J133" s="19">
        <f t="shared" si="130"/>
        <v>132733.51761543818</v>
      </c>
      <c r="K133" s="19">
        <f t="shared" si="130"/>
        <v>138507.59999999998</v>
      </c>
      <c r="L133" s="19">
        <f t="shared" si="130"/>
        <v>141283.6</v>
      </c>
      <c r="M133" s="19">
        <f t="shared" si="130"/>
        <v>141765.4</v>
      </c>
      <c r="N133" s="19">
        <f t="shared" si="130"/>
        <v>148630.30000000002</v>
      </c>
      <c r="O133" s="19">
        <f t="shared" si="130"/>
        <v>147778</v>
      </c>
      <c r="P133" s="19">
        <f t="shared" si="130"/>
        <v>139109.20000000001</v>
      </c>
      <c r="Q133" s="19">
        <f t="shared" si="130"/>
        <v>146255.30000000002</v>
      </c>
      <c r="R133" s="19">
        <f t="shared" ca="1" si="130"/>
        <v>155376.05270491983</v>
      </c>
      <c r="S133" s="19">
        <f t="shared" ca="1" si="130"/>
        <v>155378.52419470006</v>
      </c>
      <c r="T133" s="19">
        <f t="shared" ca="1" si="130"/>
        <v>160668.90443777377</v>
      </c>
      <c r="U133" s="19">
        <f t="shared" ca="1" si="130"/>
        <v>169951.10901986307</v>
      </c>
      <c r="V133" s="19">
        <f t="shared" ca="1" si="130"/>
        <v>178745.59276437521</v>
      </c>
      <c r="W133" s="19">
        <f t="shared" ca="1" si="130"/>
        <v>184915.15278350271</v>
      </c>
      <c r="X133" s="19">
        <f t="shared" ca="1" si="130"/>
        <v>190057.24151707278</v>
      </c>
      <c r="Y133" s="19">
        <f t="shared" ca="1" si="130"/>
        <v>195285.44705817857</v>
      </c>
      <c r="Z133" s="19">
        <f t="shared" ca="1" si="130"/>
        <v>199909.228666968</v>
      </c>
      <c r="AA133" s="19">
        <f t="shared" ca="1" si="130"/>
        <v>204564.23985749012</v>
      </c>
      <c r="AB133" s="19">
        <f t="shared" ca="1" si="130"/>
        <v>209343.58264900019</v>
      </c>
      <c r="AD133" s="12">
        <f ca="1">(R133/K133)^(1/7)-1</f>
        <v>1.6553098799987565E-2</v>
      </c>
      <c r="AE133" s="12">
        <f ca="1">(AB133/R133)^(1/10)-1</f>
        <v>3.0261703796297779E-2</v>
      </c>
      <c r="AF133" s="12">
        <f t="shared" ref="AF133" ca="1" si="131">(AB133/O133)^(1/13)-1</f>
        <v>2.7151737688781319E-2</v>
      </c>
    </row>
    <row r="134" spans="2:32" hidden="1" outlineLevel="1" x14ac:dyDescent="0.35">
      <c r="B134" s="2" t="s">
        <v>141</v>
      </c>
      <c r="C134" s="6"/>
      <c r="D134" s="6"/>
      <c r="E134" s="6"/>
      <c r="F134" s="6"/>
      <c r="G134" s="6"/>
      <c r="H134" s="6"/>
      <c r="I134" s="6"/>
      <c r="J134" s="5">
        <v>134313</v>
      </c>
      <c r="K134" s="5">
        <v>136354</v>
      </c>
      <c r="L134" s="5">
        <v>138539</v>
      </c>
      <c r="M134" s="5">
        <v>138933</v>
      </c>
      <c r="N134" s="5">
        <v>146561</v>
      </c>
      <c r="O134" s="5">
        <v>145072</v>
      </c>
      <c r="P134" s="5">
        <v>139787</v>
      </c>
      <c r="Q134" s="5">
        <v>146399</v>
      </c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2:32" hidden="1" outlineLevel="1" x14ac:dyDescent="0.35">
      <c r="B135" s="2" t="s">
        <v>142</v>
      </c>
      <c r="C135" s="6"/>
      <c r="D135" s="6"/>
      <c r="E135" s="5">
        <v>158314</v>
      </c>
      <c r="F135" s="5">
        <v>147964</v>
      </c>
      <c r="G135" s="5">
        <v>154319</v>
      </c>
      <c r="H135" s="5">
        <v>154038</v>
      </c>
      <c r="I135" s="5">
        <v>128575</v>
      </c>
      <c r="J135" s="5">
        <v>130590</v>
      </c>
      <c r="K135" s="6"/>
      <c r="L135" s="6"/>
      <c r="M135" s="6"/>
      <c r="N135" s="6"/>
      <c r="O135" s="6"/>
      <c r="P135" s="6"/>
      <c r="Q135" s="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2:32" hidden="1" outlineLevel="1" x14ac:dyDescent="0.35"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2:32" hidden="1" outlineLevel="1" x14ac:dyDescent="0.35">
      <c r="B137" s="18" t="s">
        <v>264</v>
      </c>
      <c r="C137" s="24">
        <f t="shared" ref="C137:I137" si="132">+C110/C133</f>
        <v>3.7042213292956337E-2</v>
      </c>
      <c r="D137" s="24">
        <f t="shared" si="132"/>
        <v>5.0569308850262361E-2</v>
      </c>
      <c r="E137" s="24">
        <f t="shared" si="132"/>
        <v>3.2759918227972085E-2</v>
      </c>
      <c r="F137" s="24">
        <f t="shared" si="132"/>
        <v>7.0998097061986079E-2</v>
      </c>
      <c r="G137" s="24">
        <f t="shared" si="132"/>
        <v>6.2211227456417537E-2</v>
      </c>
      <c r="H137" s="24">
        <f t="shared" si="132"/>
        <v>7.6745910253398608E-2</v>
      </c>
      <c r="I137" s="24">
        <f t="shared" si="132"/>
        <v>8.9955667852173946E-2</v>
      </c>
      <c r="J137" s="25">
        <f t="shared" ref="J137:Q137" si="133">+J110/J134</f>
        <v>9.3721382144691875E-2</v>
      </c>
      <c r="K137" s="25">
        <f t="shared" si="133"/>
        <v>8.741217712718366E-2</v>
      </c>
      <c r="L137" s="25">
        <f t="shared" si="133"/>
        <v>9.3677592591255895E-2</v>
      </c>
      <c r="M137" s="25">
        <f t="shared" si="133"/>
        <v>9.52761402978414E-2</v>
      </c>
      <c r="N137" s="25">
        <f t="shared" si="133"/>
        <v>9.1409037875014504E-2</v>
      </c>
      <c r="O137" s="25">
        <f t="shared" si="133"/>
        <v>9.5380224991728241E-2</v>
      </c>
      <c r="P137" s="25">
        <f t="shared" si="133"/>
        <v>0.10643335932525914</v>
      </c>
      <c r="Q137" s="25">
        <f t="shared" si="133"/>
        <v>0.10343649888318909</v>
      </c>
      <c r="R137" s="24">
        <f t="shared" ref="R137:AB137" ca="1" si="134">+R110/R133</f>
        <v>9.4103535413975758E-2</v>
      </c>
      <c r="S137" s="24">
        <f t="shared" ca="1" si="134"/>
        <v>9.2349663569857285E-2</v>
      </c>
      <c r="T137" s="24">
        <f t="shared" ca="1" si="134"/>
        <v>8.8912056743548809E-2</v>
      </c>
      <c r="U137" s="24">
        <f t="shared" ca="1" si="134"/>
        <v>8.8980671398962652E-2</v>
      </c>
      <c r="V137" s="24">
        <f t="shared" ca="1" si="134"/>
        <v>8.9737543885714824E-2</v>
      </c>
      <c r="W137" s="24">
        <f t="shared" ca="1" si="134"/>
        <v>9.0104449735407835E-2</v>
      </c>
      <c r="X137" s="24">
        <f t="shared" ca="1" si="134"/>
        <v>9.0032905594260845E-2</v>
      </c>
      <c r="Y137" s="24">
        <f t="shared" ca="1" si="134"/>
        <v>8.9973330081766598E-2</v>
      </c>
      <c r="Z137" s="24">
        <f t="shared" ca="1" si="134"/>
        <v>9.0141829147363767E-2</v>
      </c>
      <c r="AA137" s="24">
        <f t="shared" ca="1" si="134"/>
        <v>9.0188293808415379E-2</v>
      </c>
      <c r="AB137" s="24">
        <f t="shared" ca="1" si="134"/>
        <v>9.0053663819274779E-2</v>
      </c>
    </row>
    <row r="138" spans="2:32" hidden="1" outlineLevel="1" x14ac:dyDescent="0.35">
      <c r="B138" s="2"/>
      <c r="C138" s="23"/>
      <c r="D138" s="23"/>
      <c r="E138" s="23"/>
      <c r="F138" s="23"/>
      <c r="G138" s="23"/>
      <c r="H138" s="23"/>
      <c r="I138" s="23"/>
      <c r="J138" s="12"/>
      <c r="K138" s="12"/>
      <c r="L138" s="12"/>
      <c r="M138" s="12"/>
      <c r="N138" s="12"/>
      <c r="O138" s="12"/>
      <c r="P138" s="12"/>
      <c r="Q138" s="1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2:32" hidden="1" outlineLevel="1" x14ac:dyDescent="0.35">
      <c r="B139" t="s">
        <v>145</v>
      </c>
      <c r="C139" s="26">
        <v>4.4999999999999998E-2</v>
      </c>
      <c r="D139" s="26">
        <v>4.4999999999999998E-2</v>
      </c>
      <c r="E139" s="26">
        <v>4.4999999999999998E-2</v>
      </c>
      <c r="F139" s="26">
        <v>4.4999999999999998E-2</v>
      </c>
      <c r="G139" s="26">
        <v>4.4999999999999998E-2</v>
      </c>
      <c r="H139" s="26">
        <v>4.4999999999999998E-2</v>
      </c>
      <c r="I139" s="26">
        <v>4.4999999999999998E-2</v>
      </c>
      <c r="J139" s="26">
        <v>4.4999999999999998E-2</v>
      </c>
      <c r="K139" s="26">
        <v>4.4999999999999998E-2</v>
      </c>
      <c r="L139" s="26">
        <v>4.4999999999999998E-2</v>
      </c>
      <c r="M139" s="26">
        <v>4.4999999999999998E-2</v>
      </c>
      <c r="N139" s="26">
        <v>4.4999999999999998E-2</v>
      </c>
      <c r="O139" s="26">
        <v>4.4999999999999998E-2</v>
      </c>
      <c r="P139" s="26">
        <v>4.4999999999999998E-2</v>
      </c>
      <c r="Q139" s="26">
        <v>4.4999999999999998E-2</v>
      </c>
      <c r="R139" s="26">
        <v>4.4999999999999998E-2</v>
      </c>
      <c r="S139" s="26">
        <v>4.4999999999999998E-2</v>
      </c>
      <c r="T139" s="26">
        <v>4.4999999999999998E-2</v>
      </c>
      <c r="U139" s="26">
        <v>4.4999999999999998E-2</v>
      </c>
      <c r="V139" s="26">
        <v>4.4999999999999998E-2</v>
      </c>
      <c r="W139" s="26">
        <v>4.4999999999999998E-2</v>
      </c>
      <c r="X139" s="26">
        <v>4.4999999999999998E-2</v>
      </c>
      <c r="Y139" s="26">
        <v>4.4999999999999998E-2</v>
      </c>
      <c r="Z139" s="26">
        <v>4.4999999999999998E-2</v>
      </c>
      <c r="AA139" s="26">
        <v>4.4999999999999998E-2</v>
      </c>
      <c r="AB139" s="26">
        <v>4.4999999999999998E-2</v>
      </c>
    </row>
    <row r="140" spans="2:32" hidden="1" outlineLevel="1" x14ac:dyDescent="0.35">
      <c r="B140" t="s">
        <v>149</v>
      </c>
      <c r="C140" s="26">
        <v>3.5000000000000003E-2</v>
      </c>
      <c r="D140" s="26">
        <v>3.5000000000000003E-2</v>
      </c>
      <c r="E140" s="26">
        <v>3.5000000000000003E-2</v>
      </c>
      <c r="F140" s="26">
        <v>3.5000000000000003E-2</v>
      </c>
      <c r="G140" s="26">
        <v>3.5000000000000003E-2</v>
      </c>
      <c r="H140" s="26">
        <v>3.5000000000000003E-2</v>
      </c>
      <c r="I140" s="26">
        <v>3.5000000000000003E-2</v>
      </c>
      <c r="J140" s="26">
        <v>3.5000000000000003E-2</v>
      </c>
      <c r="K140" s="26">
        <v>3.5000000000000003E-2</v>
      </c>
      <c r="L140" s="26">
        <v>3.5000000000000003E-2</v>
      </c>
      <c r="M140" s="26">
        <v>3.5000000000000003E-2</v>
      </c>
      <c r="N140" s="26">
        <v>3.5000000000000003E-2</v>
      </c>
      <c r="O140" s="26">
        <v>3.5000000000000003E-2</v>
      </c>
      <c r="P140" s="26">
        <v>3.5000000000000003E-2</v>
      </c>
      <c r="Q140" s="26">
        <v>3.5000000000000003E-2</v>
      </c>
      <c r="R140" s="26">
        <v>2.5000000000000001E-2</v>
      </c>
      <c r="S140" s="26">
        <v>2.5000000000000001E-2</v>
      </c>
      <c r="T140" s="26">
        <v>2.5000000000000001E-2</v>
      </c>
      <c r="U140" s="26">
        <v>2.5000000000000001E-2</v>
      </c>
      <c r="V140" s="26">
        <v>2.5000000000000001E-2</v>
      </c>
      <c r="W140" s="26">
        <v>2.5000000000000001E-2</v>
      </c>
      <c r="X140" s="26">
        <v>2.5000000000000001E-2</v>
      </c>
      <c r="Y140" s="26">
        <v>2.5000000000000001E-2</v>
      </c>
      <c r="Z140" s="26">
        <v>2.5000000000000001E-2</v>
      </c>
      <c r="AA140" s="26">
        <v>2.5000000000000001E-2</v>
      </c>
      <c r="AB140" s="26">
        <v>2.5000000000000001E-2</v>
      </c>
    </row>
    <row r="141" spans="2:32" hidden="1" outlineLevel="1" x14ac:dyDescent="0.35">
      <c r="B141" s="3" t="s">
        <v>146</v>
      </c>
      <c r="C141" s="28">
        <f t="shared" ref="C141:I141" si="135">SUM(C139:C140)</f>
        <v>0.08</v>
      </c>
      <c r="D141" s="28">
        <f t="shared" si="135"/>
        <v>0.08</v>
      </c>
      <c r="E141" s="28">
        <f t="shared" si="135"/>
        <v>0.08</v>
      </c>
      <c r="F141" s="28">
        <f t="shared" si="135"/>
        <v>0.08</v>
      </c>
      <c r="G141" s="28">
        <f t="shared" si="135"/>
        <v>0.08</v>
      </c>
      <c r="H141" s="28">
        <f t="shared" si="135"/>
        <v>0.08</v>
      </c>
      <c r="I141" s="28">
        <f t="shared" si="135"/>
        <v>0.08</v>
      </c>
      <c r="J141" s="28">
        <f>SUM(J139:J140)</f>
        <v>0.08</v>
      </c>
      <c r="K141" s="28">
        <f t="shared" ref="K141:R141" si="136">SUM(K139:K140)</f>
        <v>0.08</v>
      </c>
      <c r="L141" s="28">
        <f t="shared" si="136"/>
        <v>0.08</v>
      </c>
      <c r="M141" s="28">
        <f t="shared" si="136"/>
        <v>0.08</v>
      </c>
      <c r="N141" s="28">
        <f t="shared" si="136"/>
        <v>0.08</v>
      </c>
      <c r="O141" s="28">
        <f t="shared" si="136"/>
        <v>0.08</v>
      </c>
      <c r="P141" s="28">
        <f t="shared" si="136"/>
        <v>0.08</v>
      </c>
      <c r="Q141" s="28">
        <f t="shared" si="136"/>
        <v>0.08</v>
      </c>
      <c r="R141" s="28">
        <f t="shared" si="136"/>
        <v>7.0000000000000007E-2</v>
      </c>
      <c r="S141" s="28">
        <f t="shared" ref="S141:AB141" si="137">SUM(S139:S140)</f>
        <v>7.0000000000000007E-2</v>
      </c>
      <c r="T141" s="28">
        <f t="shared" si="137"/>
        <v>7.0000000000000007E-2</v>
      </c>
      <c r="U141" s="28">
        <f t="shared" si="137"/>
        <v>7.0000000000000007E-2</v>
      </c>
      <c r="V141" s="28">
        <f t="shared" si="137"/>
        <v>7.0000000000000007E-2</v>
      </c>
      <c r="W141" s="28">
        <f t="shared" si="137"/>
        <v>7.0000000000000007E-2</v>
      </c>
      <c r="X141" s="28">
        <f t="shared" si="137"/>
        <v>7.0000000000000007E-2</v>
      </c>
      <c r="Y141" s="28">
        <f t="shared" si="137"/>
        <v>7.0000000000000007E-2</v>
      </c>
      <c r="Z141" s="28">
        <f t="shared" si="137"/>
        <v>7.0000000000000007E-2</v>
      </c>
      <c r="AA141" s="28">
        <f t="shared" si="137"/>
        <v>7.0000000000000007E-2</v>
      </c>
      <c r="AB141" s="28">
        <f t="shared" si="137"/>
        <v>7.0000000000000007E-2</v>
      </c>
    </row>
    <row r="142" spans="2:32" hidden="1" outlineLevel="1" x14ac:dyDescent="0.35">
      <c r="B142" t="s">
        <v>147</v>
      </c>
      <c r="C142" s="34">
        <f>+C137-C141</f>
        <v>-4.2957786707043664E-2</v>
      </c>
      <c r="D142" s="34">
        <f t="shared" ref="D142:R142" si="138">+D137-D141</f>
        <v>-2.9430691149737641E-2</v>
      </c>
      <c r="E142" s="34">
        <f t="shared" si="138"/>
        <v>-4.7240081772027917E-2</v>
      </c>
      <c r="F142" s="34">
        <f t="shared" si="138"/>
        <v>-9.0019029380139226E-3</v>
      </c>
      <c r="G142" s="34">
        <f t="shared" si="138"/>
        <v>-1.7788772543582465E-2</v>
      </c>
      <c r="H142" s="34">
        <f t="shared" si="138"/>
        <v>-3.2540897466013935E-3</v>
      </c>
      <c r="I142" s="34">
        <f t="shared" si="138"/>
        <v>9.9556678521739439E-3</v>
      </c>
      <c r="J142" s="34">
        <f t="shared" si="138"/>
        <v>1.3721382144691874E-2</v>
      </c>
      <c r="K142" s="34">
        <f t="shared" si="138"/>
        <v>7.4121771271836584E-3</v>
      </c>
      <c r="L142" s="34">
        <f t="shared" si="138"/>
        <v>1.3677592591255894E-2</v>
      </c>
      <c r="M142" s="34">
        <f t="shared" si="138"/>
        <v>1.5276140297841398E-2</v>
      </c>
      <c r="N142" s="34">
        <f t="shared" si="138"/>
        <v>1.1409037875014502E-2</v>
      </c>
      <c r="O142" s="34">
        <f t="shared" si="138"/>
        <v>1.5380224991728239E-2</v>
      </c>
      <c r="P142" s="34">
        <f t="shared" si="138"/>
        <v>2.6433359325259143E-2</v>
      </c>
      <c r="Q142" s="34">
        <f t="shared" si="138"/>
        <v>2.3436498883189091E-2</v>
      </c>
      <c r="R142" s="34">
        <f t="shared" ca="1" si="138"/>
        <v>2.4103535413975752E-2</v>
      </c>
      <c r="S142" s="34">
        <f t="shared" ref="S142" ca="1" si="139">+S137-S141</f>
        <v>2.2349663569857278E-2</v>
      </c>
      <c r="T142" s="34">
        <f t="shared" ref="T142" ca="1" si="140">+T137-T141</f>
        <v>1.8912056743548802E-2</v>
      </c>
      <c r="U142" s="34">
        <f t="shared" ref="U142" ca="1" si="141">+U137-U141</f>
        <v>1.8980671398962645E-2</v>
      </c>
      <c r="V142" s="34">
        <f t="shared" ref="V142" ca="1" si="142">+V137-V141</f>
        <v>1.9737543885714817E-2</v>
      </c>
      <c r="W142" s="34">
        <f t="shared" ref="W142" ca="1" si="143">+W137-W141</f>
        <v>2.0104449735407828E-2</v>
      </c>
      <c r="X142" s="34">
        <f t="shared" ref="X142" ca="1" si="144">+X137-X141</f>
        <v>2.0032905594260839E-2</v>
      </c>
      <c r="Y142" s="34">
        <f t="shared" ref="Y142" ca="1" si="145">+Y137-Y141</f>
        <v>1.9973330081766591E-2</v>
      </c>
      <c r="Z142" s="34">
        <f t="shared" ref="Z142" ca="1" si="146">+Z137-Z141</f>
        <v>2.014182914736376E-2</v>
      </c>
      <c r="AA142" s="34">
        <f t="shared" ref="AA142" ca="1" si="147">+AA137-AA141</f>
        <v>2.0188293808415372E-2</v>
      </c>
      <c r="AB142" s="34">
        <f t="shared" ref="AB142" ca="1" si="148">+AB137-AB141</f>
        <v>2.0053663819274772E-2</v>
      </c>
    </row>
    <row r="143" spans="2:32" hidden="1" outlineLevel="1" x14ac:dyDescent="0.35">
      <c r="B143" t="s">
        <v>148</v>
      </c>
      <c r="C143" s="35">
        <f t="shared" ref="C143:I143" si="149">+C133*C142</f>
        <v>-14631.91172180395</v>
      </c>
      <c r="D143" s="35">
        <f t="shared" si="149"/>
        <v>-8037.2434193505533</v>
      </c>
      <c r="E143" s="35">
        <f t="shared" si="149"/>
        <v>-11071.74155080554</v>
      </c>
      <c r="F143" s="35">
        <f t="shared" si="149"/>
        <v>-1607.1997189254309</v>
      </c>
      <c r="G143" s="35">
        <f t="shared" si="149"/>
        <v>-3312.6324353875762</v>
      </c>
      <c r="H143" s="35">
        <f t="shared" si="149"/>
        <v>-455.76644502264418</v>
      </c>
      <c r="I143" s="35">
        <f t="shared" si="149"/>
        <v>1257.909851703407</v>
      </c>
      <c r="J143" s="6">
        <f t="shared" ref="J143:Q143" si="150">+J134*J142</f>
        <v>1842.9599999999996</v>
      </c>
      <c r="K143" s="6">
        <f t="shared" si="150"/>
        <v>1010.6800000000005</v>
      </c>
      <c r="L143" s="6">
        <f t="shared" si="150"/>
        <v>1894.8800000000003</v>
      </c>
      <c r="M143" s="6">
        <f t="shared" si="150"/>
        <v>2122.3599999999988</v>
      </c>
      <c r="N143" s="6">
        <f t="shared" si="150"/>
        <v>1672.1200000000003</v>
      </c>
      <c r="O143" s="6">
        <f t="shared" si="150"/>
        <v>2231.2399999999993</v>
      </c>
      <c r="P143" s="6">
        <f t="shared" si="150"/>
        <v>3695.04</v>
      </c>
      <c r="Q143" s="6">
        <f t="shared" si="150"/>
        <v>3431.08</v>
      </c>
      <c r="R143" s="35">
        <f t="shared" ref="R143:AB143" ca="1" si="151">+R133*R142</f>
        <v>3745.1121888567982</v>
      </c>
      <c r="S143" s="35">
        <f t="shared" ca="1" si="151"/>
        <v>3472.6577417324756</v>
      </c>
      <c r="T143" s="35">
        <f t="shared" ca="1" si="151"/>
        <v>3038.5794376509975</v>
      </c>
      <c r="U143" s="35">
        <f t="shared" ca="1" si="151"/>
        <v>3225.7861541952975</v>
      </c>
      <c r="V143" s="35">
        <f t="shared" ca="1" si="151"/>
        <v>3527.9989815649647</v>
      </c>
      <c r="W143" s="35">
        <f t="shared" ca="1" si="151"/>
        <v>3717.6173944511893</v>
      </c>
      <c r="X143" s="35">
        <f t="shared" ca="1" si="151"/>
        <v>3807.3987768171505</v>
      </c>
      <c r="Y143" s="35">
        <f t="shared" ca="1" si="151"/>
        <v>3900.500694258355</v>
      </c>
      <c r="Z143" s="35">
        <f t="shared" ca="1" si="151"/>
        <v>4026.537528791343</v>
      </c>
      <c r="AA143" s="35">
        <f t="shared" ca="1" si="151"/>
        <v>4129.8029769381646</v>
      </c>
      <c r="AB143" s="35">
        <f t="shared" ca="1" si="151"/>
        <v>4198.1058291656136</v>
      </c>
    </row>
    <row r="144" spans="2:32" hidden="1" outlineLevel="1" x14ac:dyDescent="0.35">
      <c r="B144" s="2"/>
      <c r="C144" s="23"/>
      <c r="D144" s="23"/>
      <c r="E144" s="23"/>
      <c r="F144" s="23"/>
      <c r="G144" s="23"/>
      <c r="H144" s="23"/>
      <c r="I144" s="23"/>
      <c r="J144" s="12"/>
      <c r="K144" s="12"/>
      <c r="L144" s="12"/>
      <c r="M144" s="12"/>
      <c r="N144" s="12"/>
      <c r="O144" s="12"/>
      <c r="P144" s="12"/>
      <c r="Q144" s="1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2:28" collapsed="1" x14ac:dyDescent="0.35">
      <c r="B145" s="53" t="s">
        <v>230</v>
      </c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2:28" ht="5.15" customHeight="1" x14ac:dyDescent="0.35"/>
    <row r="147" spans="2:28" hidden="1" outlineLevel="1" x14ac:dyDescent="0.35">
      <c r="B147" t="s">
        <v>151</v>
      </c>
      <c r="C147" s="5"/>
      <c r="D147" s="5"/>
      <c r="E147" s="5">
        <v>6471</v>
      </c>
      <c r="F147" s="5">
        <v>6546</v>
      </c>
      <c r="G147" s="5">
        <v>6635</v>
      </c>
      <c r="H147" s="5">
        <v>4539</v>
      </c>
      <c r="I147" s="5">
        <v>4529</v>
      </c>
      <c r="J147" s="5">
        <v>4457</v>
      </c>
      <c r="K147" s="5">
        <v>4570</v>
      </c>
      <c r="L147" s="5">
        <v>5162</v>
      </c>
      <c r="M147" s="5">
        <v>5819</v>
      </c>
      <c r="N147" s="5">
        <v>6688</v>
      </c>
      <c r="O147" s="5">
        <v>7337</v>
      </c>
      <c r="P147" s="5">
        <v>6581</v>
      </c>
      <c r="Q147" s="5">
        <v>6468</v>
      </c>
    </row>
    <row r="148" spans="2:28" hidden="1" outlineLevel="1" x14ac:dyDescent="0.35">
      <c r="B148" t="s">
        <v>88</v>
      </c>
      <c r="C148" s="5"/>
      <c r="D148" s="5"/>
      <c r="E148" s="5">
        <v>98</v>
      </c>
      <c r="F148" s="5">
        <v>69</v>
      </c>
      <c r="G148" s="5">
        <v>54</v>
      </c>
      <c r="H148" s="5">
        <v>24</v>
      </c>
      <c r="I148" s="5">
        <v>10</v>
      </c>
      <c r="J148" s="5">
        <v>8</v>
      </c>
      <c r="K148" s="5">
        <v>8</v>
      </c>
      <c r="L148" s="5">
        <v>14</v>
      </c>
      <c r="M148" s="5">
        <v>37</v>
      </c>
      <c r="N148" s="5">
        <v>72</v>
      </c>
      <c r="O148" s="5">
        <v>78</v>
      </c>
      <c r="P148" s="5">
        <v>28</v>
      </c>
      <c r="Q148" s="5">
        <v>15</v>
      </c>
    </row>
    <row r="149" spans="2:28" hidden="1" outlineLevel="1" x14ac:dyDescent="0.35">
      <c r="B149" t="s">
        <v>93</v>
      </c>
      <c r="C149" s="5"/>
      <c r="D149" s="5"/>
      <c r="E149" s="5">
        <v>416</v>
      </c>
      <c r="F149" s="5">
        <v>601</v>
      </c>
      <c r="G149" s="5">
        <v>332</v>
      </c>
      <c r="H149" s="5">
        <v>98</v>
      </c>
      <c r="I149" s="5">
        <v>20</v>
      </c>
      <c r="J149" s="5">
        <v>1</v>
      </c>
      <c r="K149" s="5">
        <v>40</v>
      </c>
      <c r="L149" s="5">
        <v>0</v>
      </c>
      <c r="M149" s="5">
        <v>0</v>
      </c>
      <c r="N149" s="5">
        <v>15</v>
      </c>
      <c r="O149" s="5">
        <v>17</v>
      </c>
      <c r="P149" s="5">
        <v>17</v>
      </c>
      <c r="Q149" s="5">
        <v>18</v>
      </c>
    </row>
    <row r="150" spans="2:28" hidden="1" outlineLevel="1" x14ac:dyDescent="0.35">
      <c r="B150" t="s">
        <v>254</v>
      </c>
      <c r="C150" s="5"/>
      <c r="D150" s="5"/>
      <c r="E150" s="5">
        <f>132+211</f>
        <v>343</v>
      </c>
      <c r="F150" s="5">
        <f>15+339</f>
        <v>354</v>
      </c>
      <c r="G150" s="5">
        <f>19+373</f>
        <v>392</v>
      </c>
      <c r="H150" s="5">
        <f>10+262</f>
        <v>272</v>
      </c>
      <c r="I150" s="5">
        <v>300</v>
      </c>
      <c r="J150" s="5">
        <v>347</v>
      </c>
      <c r="K150" s="5">
        <v>381</v>
      </c>
      <c r="L150" s="5">
        <v>411</v>
      </c>
      <c r="M150" s="5">
        <v>568</v>
      </c>
      <c r="N150" s="5">
        <v>729</v>
      </c>
      <c r="O150" s="5">
        <v>887</v>
      </c>
      <c r="P150" s="5">
        <v>692</v>
      </c>
      <c r="Q150" s="5">
        <v>579</v>
      </c>
    </row>
    <row r="151" spans="2:28" hidden="1" outlineLevel="1" x14ac:dyDescent="0.35">
      <c r="B151" t="s">
        <v>244</v>
      </c>
      <c r="C151" s="5"/>
      <c r="D151" s="5"/>
      <c r="E151" s="5">
        <v>1916</v>
      </c>
      <c r="F151" s="5">
        <v>1693</v>
      </c>
      <c r="G151" s="5">
        <v>1260</v>
      </c>
      <c r="H151" s="5">
        <v>980</v>
      </c>
      <c r="I151" s="5">
        <v>1214</v>
      </c>
      <c r="J151" s="5">
        <v>1325</v>
      </c>
      <c r="K151" s="5">
        <v>1149</v>
      </c>
      <c r="L151" s="5">
        <v>942</v>
      </c>
      <c r="M151" s="5">
        <v>623</v>
      </c>
      <c r="N151" s="5">
        <v>464</v>
      </c>
      <c r="O151" s="5">
        <v>489</v>
      </c>
      <c r="P151" s="5">
        <v>584</v>
      </c>
      <c r="Q151" s="5">
        <v>980</v>
      </c>
    </row>
    <row r="152" spans="2:28" hidden="1" outlineLevel="1" x14ac:dyDescent="0.35">
      <c r="B152" t="s">
        <v>12</v>
      </c>
      <c r="C152" s="5"/>
      <c r="D152" s="5"/>
      <c r="E152" s="5">
        <f>+'Historical Detailed'!F238+'Historical Detailed'!F240-SUM(E147:E151)</f>
        <v>9</v>
      </c>
      <c r="F152" s="5">
        <f>+'Historical Detailed'!G238+'Historical Detailed'!G240-SUM(F147:F151)</f>
        <v>-2497</v>
      </c>
      <c r="G152" s="5">
        <f>+'Historical Detailed'!H238+'Historical Detailed'!H240-SUM(G147:G151)</f>
        <v>-2943</v>
      </c>
      <c r="H152" s="5">
        <f>+'Historical Detailed'!I238+'Historical Detailed'!I240-SUM(H147:H151)</f>
        <v>30</v>
      </c>
      <c r="I152" s="5">
        <f>+'Historical Detailed'!J238+'Historical Detailed'!J240-SUM(I147:I151)</f>
        <v>25</v>
      </c>
      <c r="J152" s="5">
        <f>+'Historical Detailed'!K238+'Historical Detailed'!K240-SUM(J147:J151)</f>
        <v>20</v>
      </c>
      <c r="K152" s="5">
        <f>+'Historical Detailed'!L238+'Historical Detailed'!L240-SUM(K147:K151)</f>
        <v>0</v>
      </c>
      <c r="L152" s="5">
        <f>+'Historical Detailed'!M238+'Historical Detailed'!M240-SUM(L147:L151)</f>
        <v>-40</v>
      </c>
      <c r="M152" s="5">
        <f>+'Historical Detailed'!N238+'Historical Detailed'!N240-SUM(M147:M151)</f>
        <v>-19</v>
      </c>
      <c r="N152" s="5">
        <f>+'Historical Detailed'!O238+'Historical Detailed'!O240-SUM(N147:N151)</f>
        <v>-8</v>
      </c>
      <c r="O152" s="5">
        <f>+'Historical Detailed'!P238+'Historical Detailed'!P240-SUM(O147:O151)</f>
        <v>-11</v>
      </c>
      <c r="P152" s="5">
        <f>+'Historical Detailed'!Q238+'Historical Detailed'!Q240-SUM(P147:P151)</f>
        <v>-36</v>
      </c>
      <c r="Q152" s="5">
        <f>+'Historical Detailed'!R238+'Historical Detailed'!R240-SUM(Q147:Q151)</f>
        <v>-37</v>
      </c>
    </row>
    <row r="153" spans="2:28" hidden="1" outlineLevel="1" x14ac:dyDescent="0.35">
      <c r="B153" s="3" t="s">
        <v>255</v>
      </c>
      <c r="C153" s="4"/>
      <c r="D153" s="4"/>
      <c r="E153" s="4">
        <f t="shared" ref="E153:P153" si="152">SUM(E147:E152)</f>
        <v>9253</v>
      </c>
      <c r="F153" s="4">
        <f t="shared" si="152"/>
        <v>6766</v>
      </c>
      <c r="G153" s="4">
        <f t="shared" si="152"/>
        <v>5730</v>
      </c>
      <c r="H153" s="4">
        <f t="shared" si="152"/>
        <v>5943</v>
      </c>
      <c r="I153" s="4">
        <f t="shared" si="152"/>
        <v>6098</v>
      </c>
      <c r="J153" s="4">
        <f t="shared" si="152"/>
        <v>6158</v>
      </c>
      <c r="K153" s="4">
        <f t="shared" si="152"/>
        <v>6148</v>
      </c>
      <c r="L153" s="4">
        <f t="shared" si="152"/>
        <v>6489</v>
      </c>
      <c r="M153" s="4">
        <f t="shared" si="152"/>
        <v>7028</v>
      </c>
      <c r="N153" s="4">
        <f t="shared" si="152"/>
        <v>7960</v>
      </c>
      <c r="O153" s="4">
        <f t="shared" si="152"/>
        <v>8797</v>
      </c>
      <c r="P153" s="4">
        <f t="shared" si="152"/>
        <v>7866</v>
      </c>
      <c r="Q153" s="4">
        <f>SUM(Q147:Q152)</f>
        <v>8023</v>
      </c>
    </row>
    <row r="154" spans="2:28" hidden="1" outlineLevel="1" x14ac:dyDescent="0.35"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</row>
    <row r="155" spans="2:28" hidden="1" outlineLevel="1" x14ac:dyDescent="0.35">
      <c r="B155" t="s">
        <v>100</v>
      </c>
      <c r="E155" s="5">
        <v>677</v>
      </c>
      <c r="F155" s="5">
        <v>641</v>
      </c>
      <c r="G155" s="5">
        <v>700</v>
      </c>
      <c r="H155" s="5">
        <v>645</v>
      </c>
      <c r="I155" s="5">
        <v>654</v>
      </c>
      <c r="J155" s="5">
        <v>664</v>
      </c>
      <c r="K155" s="5">
        <v>718</v>
      </c>
      <c r="L155" s="5">
        <v>830</v>
      </c>
      <c r="M155" s="5">
        <v>1077</v>
      </c>
      <c r="N155" s="5">
        <v>1735</v>
      </c>
      <c r="O155" s="5">
        <v>2538</v>
      </c>
      <c r="P155" s="5">
        <v>1952</v>
      </c>
      <c r="Q155" s="5">
        <v>1045</v>
      </c>
    </row>
    <row r="156" spans="2:28" hidden="1" outlineLevel="1" x14ac:dyDescent="0.35">
      <c r="B156" t="s">
        <v>102</v>
      </c>
      <c r="E156" s="5">
        <v>465</v>
      </c>
      <c r="F156" s="5">
        <v>324</v>
      </c>
      <c r="G156" s="5">
        <v>314</v>
      </c>
      <c r="H156" s="5">
        <v>71</v>
      </c>
      <c r="I156" s="5">
        <v>63</v>
      </c>
      <c r="J156" s="5">
        <v>52</v>
      </c>
      <c r="K156" s="5">
        <v>49</v>
      </c>
      <c r="L156" s="5">
        <v>57</v>
      </c>
      <c r="M156" s="5">
        <v>127</v>
      </c>
      <c r="N156" s="5">
        <v>149</v>
      </c>
      <c r="O156" s="5">
        <v>135</v>
      </c>
      <c r="P156" s="5">
        <v>42</v>
      </c>
      <c r="Q156" s="5">
        <v>1</v>
      </c>
    </row>
    <row r="157" spans="2:28" hidden="1" outlineLevel="1" x14ac:dyDescent="0.35">
      <c r="B157" t="s">
        <v>103</v>
      </c>
      <c r="E157" s="5">
        <v>5949</v>
      </c>
      <c r="F157" s="5">
        <v>5701</v>
      </c>
      <c r="G157" s="5">
        <v>5209</v>
      </c>
      <c r="H157" s="5">
        <v>3336</v>
      </c>
      <c r="I157" s="5">
        <v>2602</v>
      </c>
      <c r="J157" s="5">
        <v>2067</v>
      </c>
      <c r="K157" s="5">
        <v>1662</v>
      </c>
      <c r="L157" s="5">
        <v>1742</v>
      </c>
      <c r="M157" s="5">
        <v>1653</v>
      </c>
      <c r="N157" s="5">
        <v>1753</v>
      </c>
      <c r="O157" s="5">
        <v>1570</v>
      </c>
      <c r="P157" s="5">
        <v>1249</v>
      </c>
      <c r="Q157" s="5">
        <v>860</v>
      </c>
    </row>
    <row r="158" spans="2:28" hidden="1" outlineLevel="1" x14ac:dyDescent="0.35">
      <c r="B158" t="s">
        <v>12</v>
      </c>
      <c r="E158" s="5">
        <f>-'Historical Detailed'!F239-SUM(E155:E157)</f>
        <v>0</v>
      </c>
      <c r="F158" s="5">
        <f>-'Historical Detailed'!G239-SUM(F155:F157)</f>
        <v>-1206</v>
      </c>
      <c r="G158" s="5">
        <f>-'Historical Detailed'!H239-SUM(G155:G157)</f>
        <v>-1617</v>
      </c>
      <c r="H158" s="5">
        <f>-'Historical Detailed'!I239-SUM(H155:H157)</f>
        <v>0</v>
      </c>
      <c r="I158" s="5">
        <f>-'Historical Detailed'!J239-SUM(I155:I157)</f>
        <v>0</v>
      </c>
      <c r="J158" s="5">
        <f>-'Historical Detailed'!K239-SUM(J155:J157)</f>
        <v>0</v>
      </c>
      <c r="K158" s="5">
        <f>-'Historical Detailed'!L239-SUM(K155:K157)</f>
        <v>0</v>
      </c>
      <c r="L158" s="5">
        <f>-'Historical Detailed'!M239-SUM(L155:L157)</f>
        <v>-47</v>
      </c>
      <c r="M158" s="5">
        <f>-'Historical Detailed'!N239-SUM(M155:M157)</f>
        <v>-50</v>
      </c>
      <c r="N158" s="5">
        <f>-'Historical Detailed'!O239-SUM(N155:N157)</f>
        <v>-67</v>
      </c>
      <c r="O158" s="5">
        <f>-'Historical Detailed'!P239-SUM(O155:O157)</f>
        <v>-79</v>
      </c>
      <c r="P158" s="5">
        <f>-'Historical Detailed'!Q239-SUM(P155:P157)</f>
        <v>-80</v>
      </c>
      <c r="Q158" s="5">
        <f>-'Historical Detailed'!R239-SUM(Q155:Q157)</f>
        <v>-50</v>
      </c>
    </row>
    <row r="159" spans="2:28" hidden="1" outlineLevel="1" x14ac:dyDescent="0.35">
      <c r="B159" s="3" t="s">
        <v>251</v>
      </c>
      <c r="C159" s="3"/>
      <c r="D159" s="3"/>
      <c r="E159" s="4">
        <f t="shared" ref="E159:P159" si="153">SUM(E155:E158)</f>
        <v>7091</v>
      </c>
      <c r="F159" s="4">
        <f t="shared" si="153"/>
        <v>5460</v>
      </c>
      <c r="G159" s="4">
        <f t="shared" si="153"/>
        <v>4606</v>
      </c>
      <c r="H159" s="4">
        <f t="shared" si="153"/>
        <v>4052</v>
      </c>
      <c r="I159" s="4">
        <f t="shared" si="153"/>
        <v>3319</v>
      </c>
      <c r="J159" s="4">
        <f t="shared" si="153"/>
        <v>2783</v>
      </c>
      <c r="K159" s="4">
        <f t="shared" si="153"/>
        <v>2429</v>
      </c>
      <c r="L159" s="4">
        <f t="shared" si="153"/>
        <v>2582</v>
      </c>
      <c r="M159" s="4">
        <f t="shared" si="153"/>
        <v>2807</v>
      </c>
      <c r="N159" s="4">
        <f t="shared" si="153"/>
        <v>3570</v>
      </c>
      <c r="O159" s="4">
        <f t="shared" si="153"/>
        <v>4164</v>
      </c>
      <c r="P159" s="4">
        <f t="shared" si="153"/>
        <v>3163</v>
      </c>
      <c r="Q159" s="4">
        <f>SUM(Q155:Q158)</f>
        <v>1856</v>
      </c>
    </row>
    <row r="160" spans="2:28" hidden="1" outlineLevel="1" x14ac:dyDescent="0.35">
      <c r="B160" t="s">
        <v>252</v>
      </c>
      <c r="E160" s="12">
        <f t="shared" ref="E160:Q160" si="154">E155/AVERAGE(D78:E78)</f>
        <v>2.6259139305315829E-2</v>
      </c>
      <c r="F160" s="12">
        <f t="shared" si="154"/>
        <v>1.8106321676741428E-2</v>
      </c>
      <c r="G160" s="12">
        <f t="shared" si="154"/>
        <v>1.66472448809722E-2</v>
      </c>
      <c r="H160" s="12">
        <f t="shared" si="154"/>
        <v>1.3876189963964933E-2</v>
      </c>
      <c r="I160" s="12">
        <f t="shared" si="154"/>
        <v>1.2916604947415198E-2</v>
      </c>
      <c r="J160" s="12">
        <f t="shared" si="154"/>
        <v>1.1904655186323989E-2</v>
      </c>
      <c r="K160" s="12">
        <f t="shared" si="154"/>
        <v>1.1517392385367458E-2</v>
      </c>
      <c r="L160" s="12">
        <f t="shared" si="154"/>
        <v>1.140893470790378E-2</v>
      </c>
      <c r="M160" s="12">
        <f t="shared" si="154"/>
        <v>1.2503047400132344E-2</v>
      </c>
      <c r="N160" s="12">
        <f t="shared" si="154"/>
        <v>1.7399239848772025E-2</v>
      </c>
      <c r="O160" s="12">
        <f t="shared" si="154"/>
        <v>2.2368131141761775E-2</v>
      </c>
      <c r="P160" s="12">
        <f t="shared" si="154"/>
        <v>1.5144227039272581E-2</v>
      </c>
      <c r="Q160" s="12">
        <f t="shared" si="154"/>
        <v>7.5019562517498585E-3</v>
      </c>
    </row>
    <row r="161" spans="2:32" hidden="1" outlineLevel="1" x14ac:dyDescent="0.35">
      <c r="B161" t="s">
        <v>253</v>
      </c>
      <c r="E161" s="12">
        <f t="shared" ref="E161:Q161" si="155">SUM(E156:E157)/AVERAGE(D79:E79)</f>
        <v>5.7106226127834614E-2</v>
      </c>
      <c r="F161" s="12">
        <f t="shared" si="155"/>
        <v>6.2619197331019102E-2</v>
      </c>
      <c r="G161" s="12">
        <f t="shared" si="155"/>
        <v>5.6737807227059095E-2</v>
      </c>
      <c r="H161" s="12">
        <f t="shared" si="155"/>
        <v>3.7319195780641558E-2</v>
      </c>
      <c r="I161" s="12">
        <f t="shared" si="155"/>
        <v>3.330583883223355E-2</v>
      </c>
      <c r="J161" s="12">
        <f t="shared" si="155"/>
        <v>2.798246309061617E-2</v>
      </c>
      <c r="K161" s="12">
        <f t="shared" si="155"/>
        <v>2.3156512853827051E-2</v>
      </c>
      <c r="L161" s="12">
        <f t="shared" si="155"/>
        <v>2.549314136719193E-2</v>
      </c>
      <c r="M161" s="12">
        <f t="shared" si="155"/>
        <v>2.9075465534139169E-2</v>
      </c>
      <c r="N161" s="12">
        <f t="shared" si="155"/>
        <v>3.4638814777042226E-2</v>
      </c>
      <c r="O161" s="12">
        <f t="shared" si="155"/>
        <v>3.6377989716016981E-2</v>
      </c>
      <c r="P161" s="12">
        <f t="shared" si="155"/>
        <v>4.0533751962323387E-2</v>
      </c>
      <c r="Q161" s="12">
        <f t="shared" si="155"/>
        <v>4.1825556823978045E-2</v>
      </c>
    </row>
    <row r="162" spans="2:32" hidden="1" outlineLevel="1" x14ac:dyDescent="0.35"/>
    <row r="163" spans="2:32" hidden="1" outlineLevel="1" x14ac:dyDescent="0.35">
      <c r="B163" t="s">
        <v>256</v>
      </c>
      <c r="E163" s="6">
        <f t="shared" ref="E163:Q163" si="156">+E153</f>
        <v>9253</v>
      </c>
      <c r="F163" s="6">
        <f t="shared" si="156"/>
        <v>6766</v>
      </c>
      <c r="G163" s="6">
        <f t="shared" si="156"/>
        <v>5730</v>
      </c>
      <c r="H163" s="6">
        <f t="shared" si="156"/>
        <v>5943</v>
      </c>
      <c r="I163" s="6">
        <f t="shared" si="156"/>
        <v>6098</v>
      </c>
      <c r="J163" s="6">
        <f t="shared" si="156"/>
        <v>6158</v>
      </c>
      <c r="K163" s="6">
        <f t="shared" si="156"/>
        <v>6148</v>
      </c>
      <c r="L163" s="6">
        <f t="shared" si="156"/>
        <v>6489</v>
      </c>
      <c r="M163" s="6">
        <f t="shared" si="156"/>
        <v>7028</v>
      </c>
      <c r="N163" s="6">
        <f t="shared" si="156"/>
        <v>7960</v>
      </c>
      <c r="O163" s="6">
        <f t="shared" si="156"/>
        <v>8797</v>
      </c>
      <c r="P163" s="6">
        <f t="shared" si="156"/>
        <v>7866</v>
      </c>
      <c r="Q163" s="6">
        <f t="shared" si="156"/>
        <v>8023</v>
      </c>
    </row>
    <row r="164" spans="2:32" hidden="1" outlineLevel="1" x14ac:dyDescent="0.35">
      <c r="B164" t="s">
        <v>257</v>
      </c>
      <c r="E164" s="6">
        <f t="shared" ref="E164:P164" si="157">-E159</f>
        <v>-7091</v>
      </c>
      <c r="F164" s="6">
        <f t="shared" si="157"/>
        <v>-5460</v>
      </c>
      <c r="G164" s="6">
        <f t="shared" si="157"/>
        <v>-4606</v>
      </c>
      <c r="H164" s="6">
        <f t="shared" si="157"/>
        <v>-4052</v>
      </c>
      <c r="I164" s="6">
        <f t="shared" si="157"/>
        <v>-3319</v>
      </c>
      <c r="J164" s="6">
        <f t="shared" si="157"/>
        <v>-2783</v>
      </c>
      <c r="K164" s="6">
        <f t="shared" si="157"/>
        <v>-2429</v>
      </c>
      <c r="L164" s="6">
        <f t="shared" si="157"/>
        <v>-2582</v>
      </c>
      <c r="M164" s="6">
        <f t="shared" si="157"/>
        <v>-2807</v>
      </c>
      <c r="N164" s="6">
        <f t="shared" si="157"/>
        <v>-3570</v>
      </c>
      <c r="O164" s="6">
        <f t="shared" si="157"/>
        <v>-4164</v>
      </c>
      <c r="P164" s="6">
        <f t="shared" si="157"/>
        <v>-3163</v>
      </c>
      <c r="Q164" s="6">
        <f>-Q159</f>
        <v>-1856</v>
      </c>
    </row>
    <row r="165" spans="2:32" hidden="1" outlineLevel="1" x14ac:dyDescent="0.35">
      <c r="B165" s="3" t="s">
        <v>16</v>
      </c>
      <c r="C165" s="38">
        <f>+'Historical Detailed'!D241</f>
        <v>3783</v>
      </c>
      <c r="D165" s="38">
        <f>+'Historical Detailed'!E241</f>
        <v>2143</v>
      </c>
      <c r="E165" s="4">
        <f t="shared" ref="E165:P165" si="158">SUM(E163:E164)</f>
        <v>2162</v>
      </c>
      <c r="F165" s="4">
        <f t="shared" si="158"/>
        <v>1306</v>
      </c>
      <c r="G165" s="4">
        <f t="shared" si="158"/>
        <v>1124</v>
      </c>
      <c r="H165" s="4">
        <f t="shared" si="158"/>
        <v>1891</v>
      </c>
      <c r="I165" s="4">
        <f t="shared" si="158"/>
        <v>2779</v>
      </c>
      <c r="J165" s="4">
        <f t="shared" si="158"/>
        <v>3375</v>
      </c>
      <c r="K165" s="4">
        <f t="shared" si="158"/>
        <v>3719</v>
      </c>
      <c r="L165" s="4">
        <f t="shared" si="158"/>
        <v>3907</v>
      </c>
      <c r="M165" s="4">
        <f t="shared" si="158"/>
        <v>4221</v>
      </c>
      <c r="N165" s="4">
        <f t="shared" si="158"/>
        <v>4390</v>
      </c>
      <c r="O165" s="4">
        <f t="shared" si="158"/>
        <v>4633</v>
      </c>
      <c r="P165" s="4">
        <f t="shared" si="158"/>
        <v>4703</v>
      </c>
      <c r="Q165" s="4">
        <f>SUM(Q163:Q164)</f>
        <v>6167</v>
      </c>
      <c r="R165" s="38">
        <f t="shared" ref="R165:W165" ca="1" si="159">+R169*AVERAGE(Q72:R72)</f>
        <v>6649.7757392300064</v>
      </c>
      <c r="S165" s="38">
        <f t="shared" ca="1" si="159"/>
        <v>5692.9066238065334</v>
      </c>
      <c r="T165" s="38">
        <f t="shared" ca="1" si="159"/>
        <v>6014.1566555773516</v>
      </c>
      <c r="U165" s="38">
        <f t="shared" ca="1" si="159"/>
        <v>6787.5300468968962</v>
      </c>
      <c r="V165" s="38">
        <f t="shared" ca="1" si="159"/>
        <v>7203.8722469624036</v>
      </c>
      <c r="W165" s="38">
        <f t="shared" ca="1" si="159"/>
        <v>7589.9765136653805</v>
      </c>
      <c r="X165" s="38">
        <f t="shared" ref="X165:AB165" ca="1" si="160">+X169*AVERAGE(W72:X72)</f>
        <v>7940.2068500772366</v>
      </c>
      <c r="Y165" s="38">
        <f t="shared" ca="1" si="160"/>
        <v>8263.7277144504951</v>
      </c>
      <c r="Z165" s="38">
        <f t="shared" ca="1" si="160"/>
        <v>8561.1959731108127</v>
      </c>
      <c r="AA165" s="38">
        <f t="shared" ca="1" si="160"/>
        <v>8829.531359169996</v>
      </c>
      <c r="AB165" s="38">
        <f t="shared" ca="1" si="160"/>
        <v>9102.9340480928622</v>
      </c>
      <c r="AD165" s="12">
        <f ca="1">(R165/K165)^(1/7)-1</f>
        <v>8.6561725931880718E-2</v>
      </c>
      <c r="AE165" s="12">
        <f ca="1">(AB165/R165)^(1/10)-1</f>
        <v>3.1899589546656504E-2</v>
      </c>
      <c r="AF165" s="12"/>
    </row>
    <row r="166" spans="2:32" hidden="1" outlineLevel="1" x14ac:dyDescent="0.35">
      <c r="B166" s="18"/>
      <c r="C166" s="54"/>
      <c r="D166" s="54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</row>
    <row r="167" spans="2:32" hidden="1" outlineLevel="1" x14ac:dyDescent="0.35">
      <c r="B167" t="s">
        <v>256</v>
      </c>
      <c r="E167" s="12">
        <f t="shared" ref="E167:Q167" si="161">E153/AVERAGE(D72:E72)</f>
        <v>6.2248144933971086E-2</v>
      </c>
      <c r="F167" s="12">
        <f t="shared" si="161"/>
        <v>4.6960022209883399E-2</v>
      </c>
      <c r="G167" s="12">
        <f t="shared" si="161"/>
        <v>3.7341396815880196E-2</v>
      </c>
      <c r="H167" s="12">
        <f t="shared" si="161"/>
        <v>4.0332130992897931E-2</v>
      </c>
      <c r="I167" s="12">
        <f t="shared" si="161"/>
        <v>4.4326363573585909E-2</v>
      </c>
      <c r="J167" s="12">
        <f t="shared" si="161"/>
        <v>4.3802993228247877E-2</v>
      </c>
      <c r="K167" s="12">
        <f t="shared" si="161"/>
        <v>4.2226579805007707E-2</v>
      </c>
      <c r="L167" s="12">
        <f t="shared" si="161"/>
        <v>4.270048135925588E-2</v>
      </c>
      <c r="M167" s="12">
        <f t="shared" si="161"/>
        <v>4.4702260555407144E-2</v>
      </c>
      <c r="N167" s="12">
        <f t="shared" si="161"/>
        <v>4.8141473032308008E-2</v>
      </c>
      <c r="O167" s="12">
        <f t="shared" si="161"/>
        <v>5.1222927748130163E-2</v>
      </c>
      <c r="P167" s="12">
        <f t="shared" si="161"/>
        <v>4.5169644574732909E-2</v>
      </c>
      <c r="Q167" s="12">
        <f t="shared" si="161"/>
        <v>4.5881370665202668E-2</v>
      </c>
    </row>
    <row r="168" spans="2:32" hidden="1" outlineLevel="1" x14ac:dyDescent="0.35">
      <c r="B168" t="s">
        <v>257</v>
      </c>
      <c r="E168" s="12">
        <f t="shared" ref="E168:Q168" si="162">-E159/AVERAGE(D72:E72)</f>
        <v>-4.7703619985603476E-2</v>
      </c>
      <c r="F168" s="12">
        <f t="shared" si="162"/>
        <v>-3.7895613548028874E-2</v>
      </c>
      <c r="G168" s="12">
        <f t="shared" si="162"/>
        <v>-3.0016487562642961E-2</v>
      </c>
      <c r="H168" s="12">
        <f t="shared" si="162"/>
        <v>-2.7498871745452201E-2</v>
      </c>
      <c r="I168" s="12">
        <f t="shared" si="162"/>
        <v>-2.4125811856466322E-2</v>
      </c>
      <c r="J168" s="12">
        <f t="shared" si="162"/>
        <v>-1.979599385420816E-2</v>
      </c>
      <c r="K168" s="12">
        <f t="shared" si="162"/>
        <v>-1.6683207928816481E-2</v>
      </c>
      <c r="L168" s="12">
        <f t="shared" si="162"/>
        <v>-1.6990698546709614E-2</v>
      </c>
      <c r="M168" s="12">
        <f t="shared" si="162"/>
        <v>-1.7854189723822973E-2</v>
      </c>
      <c r="N168" s="12">
        <f t="shared" si="162"/>
        <v>-2.1591087779565275E-2</v>
      </c>
      <c r="O168" s="12">
        <f t="shared" si="162"/>
        <v>-2.4246023774379219E-2</v>
      </c>
      <c r="P168" s="12">
        <f t="shared" si="162"/>
        <v>-1.8163181514096134E-2</v>
      </c>
      <c r="Q168" s="12">
        <f t="shared" si="162"/>
        <v>-1.0613962851130022E-2</v>
      </c>
    </row>
    <row r="169" spans="2:32" hidden="1" outlineLevel="1" x14ac:dyDescent="0.35">
      <c r="B169" s="3" t="s">
        <v>230</v>
      </c>
      <c r="C169" s="55">
        <f>+C165/AVERAGE(B72:C72)</f>
        <v>1.773275708513411E-2</v>
      </c>
      <c r="D169" s="55">
        <f>+D165/AVERAGE(C72:D72)</f>
        <v>1.1569337745841679E-2</v>
      </c>
      <c r="E169" s="56">
        <f t="shared" ref="E169" si="163">SUM(E167:E168)</f>
        <v>1.454452494836761E-2</v>
      </c>
      <c r="F169" s="56">
        <f t="shared" ref="F169" si="164">SUM(F167:F168)</f>
        <v>9.0644086618545255E-3</v>
      </c>
      <c r="G169" s="56">
        <f t="shared" ref="G169" si="165">SUM(G167:G168)</f>
        <v>7.3249092532372342E-3</v>
      </c>
      <c r="H169" s="56">
        <f t="shared" ref="H169" si="166">SUM(H167:H168)</f>
        <v>1.283325924744573E-2</v>
      </c>
      <c r="I169" s="56">
        <f t="shared" ref="I169" si="167">SUM(I167:I168)</f>
        <v>2.0200551717119587E-2</v>
      </c>
      <c r="J169" s="56">
        <f t="shared" ref="J169" si="168">SUM(J167:J168)</f>
        <v>2.4006999374039717E-2</v>
      </c>
      <c r="K169" s="56">
        <f t="shared" ref="K169" si="169">SUM(K167:K168)</f>
        <v>2.5543371876191226E-2</v>
      </c>
      <c r="L169" s="56">
        <f t="shared" ref="L169" si="170">SUM(L167:L168)</f>
        <v>2.5709782812546267E-2</v>
      </c>
      <c r="M169" s="56">
        <f t="shared" ref="M169" si="171">SUM(M167:M168)</f>
        <v>2.6848070831584171E-2</v>
      </c>
      <c r="N169" s="56">
        <f t="shared" ref="N169" si="172">SUM(N167:N168)</f>
        <v>2.6550385252742732E-2</v>
      </c>
      <c r="O169" s="56">
        <f t="shared" ref="O169" si="173">SUM(O167:O168)</f>
        <v>2.6976903973750944E-2</v>
      </c>
      <c r="P169" s="56">
        <f t="shared" ref="P169" si="174">SUM(P167:P168)</f>
        <v>2.7006463060636775E-2</v>
      </c>
      <c r="Q169" s="56">
        <f t="shared" ref="Q169" si="175">SUM(Q167:Q168)</f>
        <v>3.5267407814072643E-2</v>
      </c>
      <c r="R169" s="55">
        <f t="shared" ref="R169:AB169" ca="1" si="176">+R6</f>
        <v>3.745350302157649E-2</v>
      </c>
      <c r="S169" s="55">
        <f t="shared" ca="1" si="176"/>
        <v>3.1425754553700933E-2</v>
      </c>
      <c r="T169" s="55">
        <f t="shared" ca="1" si="176"/>
        <v>3.2441724394623325E-2</v>
      </c>
      <c r="U169" s="55">
        <f t="shared" ca="1" si="176"/>
        <v>3.4909213375038231E-2</v>
      </c>
      <c r="V169" s="55">
        <f t="shared" ca="1" si="176"/>
        <v>3.5354303057575406E-2</v>
      </c>
      <c r="W169" s="55">
        <f t="shared" ca="1" si="176"/>
        <v>3.5716604895512989E-2</v>
      </c>
      <c r="X169" s="55">
        <f t="shared" ca="1" si="176"/>
        <v>3.6007940475116497E-2</v>
      </c>
      <c r="Y169" s="55">
        <f t="shared" ca="1" si="176"/>
        <v>3.625959777662463E-2</v>
      </c>
      <c r="Z169" s="55">
        <f t="shared" ca="1" si="176"/>
        <v>3.6487363311982622E-2</v>
      </c>
      <c r="AA169" s="55">
        <f t="shared" ca="1" si="176"/>
        <v>3.6693506803860458E-2</v>
      </c>
      <c r="AB169" s="55">
        <f t="shared" ca="1" si="176"/>
        <v>3.6883069219802375E-2</v>
      </c>
    </row>
    <row r="170" spans="2:32" hidden="1" outlineLevel="1" x14ac:dyDescent="0.35">
      <c r="B170" s="18"/>
      <c r="C170" s="54"/>
      <c r="D170" s="54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6"/>
    </row>
    <row r="171" spans="2:32" hidden="1" outlineLevel="1" x14ac:dyDescent="0.35">
      <c r="B171" s="95" t="s">
        <v>367</v>
      </c>
      <c r="C171" s="96"/>
      <c r="D171" s="96"/>
      <c r="E171" s="97"/>
      <c r="F171" s="97"/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8"/>
      <c r="S171" s="99"/>
      <c r="T171" s="99"/>
      <c r="U171" s="99"/>
      <c r="V171" s="99"/>
      <c r="W171" s="99"/>
      <c r="X171" s="99"/>
      <c r="Y171" s="99"/>
      <c r="Z171" s="99"/>
      <c r="AA171" s="99"/>
      <c r="AB171" s="99"/>
    </row>
    <row r="172" spans="2:32" hidden="1" outlineLevel="1" x14ac:dyDescent="0.35">
      <c r="B172" t="s">
        <v>361</v>
      </c>
      <c r="C172" s="31">
        <v>4.6267664000000014E-2</v>
      </c>
      <c r="D172" s="31">
        <v>3.6411494023904381E-2</v>
      </c>
      <c r="E172" s="31">
        <v>3.2442388000000044E-2</v>
      </c>
      <c r="F172" s="31">
        <v>3.1927415999999986E-2</v>
      </c>
      <c r="G172" s="31">
        <v>2.7638519999999996E-2</v>
      </c>
      <c r="H172" s="31">
        <v>1.7847988000000009E-2</v>
      </c>
      <c r="I172" s="31">
        <v>2.3338072000000012E-2</v>
      </c>
      <c r="J172" s="31">
        <v>2.5284176000000005E-2</v>
      </c>
      <c r="K172" s="31">
        <v>2.1310507999999995E-2</v>
      </c>
      <c r="L172" s="31">
        <v>1.8311683999999998E-2</v>
      </c>
      <c r="M172" s="31">
        <v>2.3256276000000003E-2</v>
      </c>
      <c r="N172" s="31">
        <v>2.9101363999999984E-2</v>
      </c>
      <c r="O172" s="31">
        <v>2.1372823999999992E-2</v>
      </c>
      <c r="P172" s="31">
        <v>8.8326334661354561E-3</v>
      </c>
      <c r="Q172" s="31">
        <v>1.4359887999999996E-2</v>
      </c>
      <c r="R172" s="31">
        <v>2.75E-2</v>
      </c>
      <c r="S172" s="31">
        <v>3.5000000000000003E-2</v>
      </c>
      <c r="T172" s="31">
        <v>3.5000000000000003E-2</v>
      </c>
      <c r="U172" s="31">
        <v>3.5000000000000003E-2</v>
      </c>
      <c r="V172" s="31">
        <v>3.5000000000000003E-2</v>
      </c>
      <c r="W172" s="31">
        <v>3.5000000000000003E-2</v>
      </c>
      <c r="X172" s="31">
        <v>3.5000000000000003E-2</v>
      </c>
      <c r="Y172" s="31">
        <v>3.5000000000000003E-2</v>
      </c>
      <c r="Z172" s="31">
        <v>3.5000000000000003E-2</v>
      </c>
      <c r="AA172" s="31">
        <v>3.5000000000000003E-2</v>
      </c>
      <c r="AB172" s="31">
        <v>3.5000000000000003E-2</v>
      </c>
    </row>
    <row r="173" spans="2:32" hidden="1" outlineLevel="1" x14ac:dyDescent="0.35">
      <c r="B173" s="3" t="s">
        <v>362</v>
      </c>
      <c r="C173" s="56"/>
      <c r="D173" s="56"/>
      <c r="E173" s="56">
        <f t="shared" ref="E173:Q173" si="177">+E167</f>
        <v>6.2248144933971086E-2</v>
      </c>
      <c r="F173" s="56">
        <f t="shared" si="177"/>
        <v>4.6960022209883399E-2</v>
      </c>
      <c r="G173" s="56">
        <f t="shared" si="177"/>
        <v>3.7341396815880196E-2</v>
      </c>
      <c r="H173" s="56">
        <f t="shared" si="177"/>
        <v>4.0332130992897931E-2</v>
      </c>
      <c r="I173" s="56">
        <f t="shared" si="177"/>
        <v>4.4326363573585909E-2</v>
      </c>
      <c r="J173" s="56">
        <f t="shared" si="177"/>
        <v>4.3802993228247877E-2</v>
      </c>
      <c r="K173" s="56">
        <f t="shared" si="177"/>
        <v>4.2226579805007707E-2</v>
      </c>
      <c r="L173" s="56">
        <f t="shared" si="177"/>
        <v>4.270048135925588E-2</v>
      </c>
      <c r="M173" s="56">
        <f t="shared" si="177"/>
        <v>4.4702260555407144E-2</v>
      </c>
      <c r="N173" s="56">
        <f t="shared" si="177"/>
        <v>4.8141473032308008E-2</v>
      </c>
      <c r="O173" s="56">
        <f t="shared" si="177"/>
        <v>5.1222927748130163E-2</v>
      </c>
      <c r="P173" s="56">
        <f t="shared" si="177"/>
        <v>4.5169644574732909E-2</v>
      </c>
      <c r="Q173" s="56">
        <f t="shared" si="177"/>
        <v>4.5881370665202668E-2</v>
      </c>
      <c r="R173" s="55">
        <f>+R172+R174</f>
        <v>5.45E-2</v>
      </c>
      <c r="S173" s="55">
        <f t="shared" ref="S173:AB173" si="178">+S172+S174</f>
        <v>6.0999999999999999E-2</v>
      </c>
      <c r="T173" s="55">
        <f t="shared" si="178"/>
        <v>6.25E-2</v>
      </c>
      <c r="U173" s="55">
        <f t="shared" si="178"/>
        <v>6.25E-2</v>
      </c>
      <c r="V173" s="55">
        <f t="shared" si="178"/>
        <v>6.25E-2</v>
      </c>
      <c r="W173" s="55">
        <f t="shared" si="178"/>
        <v>6.25E-2</v>
      </c>
      <c r="X173" s="55">
        <f t="shared" si="178"/>
        <v>6.25E-2</v>
      </c>
      <c r="Y173" s="55">
        <f t="shared" si="178"/>
        <v>6.25E-2</v>
      </c>
      <c r="Z173" s="55">
        <f t="shared" si="178"/>
        <v>6.25E-2</v>
      </c>
      <c r="AA173" s="55">
        <f t="shared" si="178"/>
        <v>6.25E-2</v>
      </c>
      <c r="AB173" s="55">
        <f t="shared" si="178"/>
        <v>6.25E-2</v>
      </c>
    </row>
    <row r="174" spans="2:32" hidden="1" outlineLevel="1" x14ac:dyDescent="0.35">
      <c r="B174" s="6" t="s">
        <v>363</v>
      </c>
      <c r="C174" s="12"/>
      <c r="D174" s="12"/>
      <c r="E174" s="12">
        <f t="shared" ref="E174:P174" si="179">+E173-E172</f>
        <v>2.9805756933971042E-2</v>
      </c>
      <c r="F174" s="12">
        <f t="shared" si="179"/>
        <v>1.5032606209883413E-2</v>
      </c>
      <c r="G174" s="12">
        <f t="shared" si="179"/>
        <v>9.7028768158801994E-3</v>
      </c>
      <c r="H174" s="12">
        <f t="shared" si="179"/>
        <v>2.2484142992897922E-2</v>
      </c>
      <c r="I174" s="12">
        <f t="shared" si="179"/>
        <v>2.0988291573585897E-2</v>
      </c>
      <c r="J174" s="12">
        <f t="shared" si="179"/>
        <v>1.8518817228247872E-2</v>
      </c>
      <c r="K174" s="12">
        <f t="shared" si="179"/>
        <v>2.0916071805007711E-2</v>
      </c>
      <c r="L174" s="12">
        <f t="shared" si="179"/>
        <v>2.4388797359255882E-2</v>
      </c>
      <c r="M174" s="12">
        <f t="shared" si="179"/>
        <v>2.1445984555407142E-2</v>
      </c>
      <c r="N174" s="12">
        <f t="shared" si="179"/>
        <v>1.9040109032308024E-2</v>
      </c>
      <c r="O174" s="12">
        <f t="shared" si="179"/>
        <v>2.9850103748130172E-2</v>
      </c>
      <c r="P174" s="12">
        <f t="shared" si="179"/>
        <v>3.6337011108597453E-2</v>
      </c>
      <c r="Q174" s="12">
        <f>+Q173-Q172</f>
        <v>3.1521482665202674E-2</v>
      </c>
      <c r="R174" s="31">
        <v>2.7E-2</v>
      </c>
      <c r="S174" s="31">
        <v>2.5999999999999999E-2</v>
      </c>
      <c r="T174" s="31">
        <v>2.75E-2</v>
      </c>
      <c r="U174" s="31">
        <v>2.75E-2</v>
      </c>
      <c r="V174" s="31">
        <v>2.75E-2</v>
      </c>
      <c r="W174" s="31">
        <v>2.75E-2</v>
      </c>
      <c r="X174" s="31">
        <v>2.75E-2</v>
      </c>
      <c r="Y174" s="31">
        <v>2.75E-2</v>
      </c>
      <c r="Z174" s="31">
        <v>2.75E-2</v>
      </c>
      <c r="AA174" s="31">
        <v>2.75E-2</v>
      </c>
      <c r="AB174" s="31">
        <v>2.75E-2</v>
      </c>
    </row>
    <row r="175" spans="2:32" hidden="1" outlineLevel="1" x14ac:dyDescent="0.35">
      <c r="B175" s="18"/>
      <c r="C175" s="54"/>
      <c r="D175" s="54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6"/>
    </row>
    <row r="176" spans="2:32" hidden="1" outlineLevel="1" x14ac:dyDescent="0.35">
      <c r="B176" t="s">
        <v>361</v>
      </c>
      <c r="C176" s="12">
        <f t="shared" ref="C176:D176" si="180">+C$172</f>
        <v>4.6267664000000014E-2</v>
      </c>
      <c r="D176" s="12">
        <f t="shared" si="180"/>
        <v>3.6411494023904381E-2</v>
      </c>
      <c r="E176" s="12">
        <f>+E$172</f>
        <v>3.2442388000000044E-2</v>
      </c>
      <c r="F176" s="12">
        <f t="shared" ref="F176:AB176" si="181">+F$172</f>
        <v>3.1927415999999986E-2</v>
      </c>
      <c r="G176" s="12">
        <f t="shared" si="181"/>
        <v>2.7638519999999996E-2</v>
      </c>
      <c r="H176" s="12">
        <f t="shared" si="181"/>
        <v>1.7847988000000009E-2</v>
      </c>
      <c r="I176" s="12">
        <f t="shared" si="181"/>
        <v>2.3338072000000012E-2</v>
      </c>
      <c r="J176" s="12">
        <f t="shared" si="181"/>
        <v>2.5284176000000005E-2</v>
      </c>
      <c r="K176" s="12">
        <f t="shared" si="181"/>
        <v>2.1310507999999995E-2</v>
      </c>
      <c r="L176" s="12">
        <f t="shared" si="181"/>
        <v>1.8311683999999998E-2</v>
      </c>
      <c r="M176" s="12">
        <f t="shared" si="181"/>
        <v>2.3256276000000003E-2</v>
      </c>
      <c r="N176" s="12">
        <f t="shared" si="181"/>
        <v>2.9101363999999984E-2</v>
      </c>
      <c r="O176" s="12">
        <f t="shared" si="181"/>
        <v>2.1372823999999992E-2</v>
      </c>
      <c r="P176" s="12">
        <f t="shared" si="181"/>
        <v>8.8326334661354561E-3</v>
      </c>
      <c r="Q176" s="12">
        <f t="shared" si="181"/>
        <v>1.4359887999999996E-2</v>
      </c>
      <c r="R176" s="12">
        <f t="shared" si="181"/>
        <v>2.75E-2</v>
      </c>
      <c r="S176" s="12">
        <f t="shared" si="181"/>
        <v>3.5000000000000003E-2</v>
      </c>
      <c r="T176" s="12">
        <f t="shared" si="181"/>
        <v>3.5000000000000003E-2</v>
      </c>
      <c r="U176" s="12">
        <f t="shared" si="181"/>
        <v>3.5000000000000003E-2</v>
      </c>
      <c r="V176" s="12">
        <f t="shared" si="181"/>
        <v>3.5000000000000003E-2</v>
      </c>
      <c r="W176" s="12">
        <f t="shared" si="181"/>
        <v>3.5000000000000003E-2</v>
      </c>
      <c r="X176" s="12">
        <f t="shared" si="181"/>
        <v>3.5000000000000003E-2</v>
      </c>
      <c r="Y176" s="12">
        <f t="shared" si="181"/>
        <v>3.5000000000000003E-2</v>
      </c>
      <c r="Z176" s="12">
        <f t="shared" si="181"/>
        <v>3.5000000000000003E-2</v>
      </c>
      <c r="AA176" s="12">
        <f t="shared" si="181"/>
        <v>3.5000000000000003E-2</v>
      </c>
      <c r="AB176" s="12">
        <f t="shared" si="181"/>
        <v>3.5000000000000003E-2</v>
      </c>
    </row>
    <row r="177" spans="2:28" hidden="1" outlineLevel="1" x14ac:dyDescent="0.35">
      <c r="B177" s="2" t="s">
        <v>363</v>
      </c>
      <c r="C177" s="12">
        <f>+C176-C178</f>
        <v>-4.2701846055776815E-3</v>
      </c>
      <c r="D177" s="12">
        <f t="shared" ref="D177:R177" si="182">+D176-D178</f>
        <v>1.5697208309618665E-2</v>
      </c>
      <c r="E177" s="12">
        <f t="shared" si="182"/>
        <v>3.2442388000000044E-2</v>
      </c>
      <c r="F177" s="12">
        <f t="shared" si="182"/>
        <v>3.1927415999999986E-2</v>
      </c>
      <c r="G177" s="12">
        <f t="shared" si="182"/>
        <v>2.7638519999999996E-2</v>
      </c>
      <c r="H177" s="12">
        <f t="shared" si="182"/>
        <v>1.7847988000000009E-2</v>
      </c>
      <c r="I177" s="12">
        <f t="shared" si="182"/>
        <v>2.3338072000000012E-2</v>
      </c>
      <c r="J177" s="12">
        <f t="shared" si="182"/>
        <v>2.5284176000000005E-2</v>
      </c>
      <c r="K177" s="12">
        <f t="shared" si="182"/>
        <v>2.120138101587301E-2</v>
      </c>
      <c r="L177" s="12">
        <f t="shared" si="182"/>
        <v>1.5692162087649401E-2</v>
      </c>
      <c r="M177" s="12">
        <f t="shared" si="182"/>
        <v>1.4750299904382473E-2</v>
      </c>
      <c r="N177" s="12">
        <f t="shared" si="182"/>
        <v>1.2537618980079664E-2</v>
      </c>
      <c r="O177" s="12">
        <f t="shared" si="182"/>
        <v>1.0441387410358473E-3</v>
      </c>
      <c r="P177" s="12">
        <f t="shared" si="182"/>
        <v>6.0460722013133215E-3</v>
      </c>
      <c r="Q177" s="12">
        <f t="shared" si="182"/>
        <v>1.4359887999999996E-2</v>
      </c>
      <c r="R177" s="12">
        <f t="shared" si="182"/>
        <v>1.09E-2</v>
      </c>
      <c r="S177" s="31">
        <v>3.0000000000000001E-3</v>
      </c>
      <c r="T177" s="31">
        <v>5.0000000000000001E-3</v>
      </c>
      <c r="U177" s="31">
        <v>1.2500000000000001E-2</v>
      </c>
      <c r="V177" s="31">
        <v>1.2500000000000001E-2</v>
      </c>
      <c r="W177" s="31">
        <v>1.2500000000000001E-2</v>
      </c>
      <c r="X177" s="31">
        <v>1.2500000000000001E-2</v>
      </c>
      <c r="Y177" s="31">
        <v>1.2500000000000001E-2</v>
      </c>
      <c r="Z177" s="31">
        <v>1.2500000000000001E-2</v>
      </c>
      <c r="AA177" s="31">
        <v>1.2500000000000001E-2</v>
      </c>
      <c r="AB177" s="31">
        <v>1.2500000000000001E-2</v>
      </c>
    </row>
    <row r="178" spans="2:28" hidden="1" outlineLevel="1" x14ac:dyDescent="0.35">
      <c r="B178" t="s">
        <v>364</v>
      </c>
      <c r="C178" s="31">
        <v>5.0537848605577695E-2</v>
      </c>
      <c r="D178" s="31">
        <v>2.0714285714285716E-2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1.0912698412698413E-4</v>
      </c>
      <c r="L178" s="31">
        <v>2.6195219123505975E-3</v>
      </c>
      <c r="M178" s="31">
        <v>8.5059760956175297E-3</v>
      </c>
      <c r="N178" s="31">
        <v>1.656374501992032E-2</v>
      </c>
      <c r="O178" s="31">
        <v>2.0328685258964144E-2</v>
      </c>
      <c r="P178" s="31">
        <v>2.7865612648221346E-3</v>
      </c>
      <c r="Q178" s="31">
        <v>0</v>
      </c>
      <c r="R178" s="31">
        <v>1.66E-2</v>
      </c>
      <c r="S178" s="23">
        <f t="shared" ref="S178:AB178" si="183">+S176-S177</f>
        <v>3.2000000000000001E-2</v>
      </c>
      <c r="T178" s="23">
        <f t="shared" si="183"/>
        <v>3.0000000000000002E-2</v>
      </c>
      <c r="U178" s="23">
        <f t="shared" si="183"/>
        <v>2.2500000000000003E-2</v>
      </c>
      <c r="V178" s="23">
        <f t="shared" si="183"/>
        <v>2.2500000000000003E-2</v>
      </c>
      <c r="W178" s="23">
        <f t="shared" si="183"/>
        <v>2.2500000000000003E-2</v>
      </c>
      <c r="X178" s="23">
        <f t="shared" si="183"/>
        <v>2.2500000000000003E-2</v>
      </c>
      <c r="Y178" s="23">
        <f t="shared" si="183"/>
        <v>2.2500000000000003E-2</v>
      </c>
      <c r="Z178" s="23">
        <f t="shared" si="183"/>
        <v>2.2500000000000003E-2</v>
      </c>
      <c r="AA178" s="23">
        <f t="shared" si="183"/>
        <v>2.2500000000000003E-2</v>
      </c>
      <c r="AB178" s="23">
        <f t="shared" si="183"/>
        <v>2.2500000000000003E-2</v>
      </c>
    </row>
    <row r="179" spans="2:28" hidden="1" outlineLevel="1" x14ac:dyDescent="0.35">
      <c r="B179" s="3" t="s">
        <v>365</v>
      </c>
      <c r="C179" s="56"/>
      <c r="D179" s="56"/>
      <c r="E179" s="56">
        <f t="shared" ref="E179:Q179" si="184">+E160</f>
        <v>2.6259139305315829E-2</v>
      </c>
      <c r="F179" s="56">
        <f t="shared" si="184"/>
        <v>1.8106321676741428E-2</v>
      </c>
      <c r="G179" s="56">
        <f t="shared" si="184"/>
        <v>1.66472448809722E-2</v>
      </c>
      <c r="H179" s="56">
        <f t="shared" si="184"/>
        <v>1.3876189963964933E-2</v>
      </c>
      <c r="I179" s="56">
        <f t="shared" si="184"/>
        <v>1.2916604947415198E-2</v>
      </c>
      <c r="J179" s="56">
        <f t="shared" si="184"/>
        <v>1.1904655186323989E-2</v>
      </c>
      <c r="K179" s="56">
        <f t="shared" si="184"/>
        <v>1.1517392385367458E-2</v>
      </c>
      <c r="L179" s="56">
        <f t="shared" si="184"/>
        <v>1.140893470790378E-2</v>
      </c>
      <c r="M179" s="56">
        <f t="shared" si="184"/>
        <v>1.2503047400132344E-2</v>
      </c>
      <c r="N179" s="56">
        <f t="shared" si="184"/>
        <v>1.7399239848772025E-2</v>
      </c>
      <c r="O179" s="56">
        <f t="shared" si="184"/>
        <v>2.2368131141761775E-2</v>
      </c>
      <c r="P179" s="56">
        <f t="shared" si="184"/>
        <v>1.5144227039272581E-2</v>
      </c>
      <c r="Q179" s="56">
        <f t="shared" si="184"/>
        <v>7.5019562517498585E-3</v>
      </c>
      <c r="R179" s="55">
        <f>+R178+R180</f>
        <v>1.3600000000000001E-2</v>
      </c>
      <c r="S179" s="55">
        <f t="shared" ref="S179" si="185">+S178+S180</f>
        <v>2.7E-2</v>
      </c>
      <c r="T179" s="55">
        <f t="shared" ref="T179" si="186">+T178+T180</f>
        <v>2.7500000000000004E-2</v>
      </c>
      <c r="U179" s="55">
        <f t="shared" ref="U179" si="187">+U178+U180</f>
        <v>2.5000000000000001E-2</v>
      </c>
      <c r="V179" s="55">
        <f t="shared" ref="V179" si="188">+V178+V180</f>
        <v>2.5000000000000001E-2</v>
      </c>
      <c r="W179" s="55">
        <f t="shared" ref="W179" si="189">+W178+W180</f>
        <v>2.5000000000000001E-2</v>
      </c>
      <c r="X179" s="55">
        <f t="shared" ref="X179" si="190">+X178+X180</f>
        <v>2.5000000000000001E-2</v>
      </c>
      <c r="Y179" s="55">
        <f t="shared" ref="Y179" si="191">+Y178+Y180</f>
        <v>2.5000000000000001E-2</v>
      </c>
      <c r="Z179" s="55">
        <f t="shared" ref="Z179" si="192">+Z178+Z180</f>
        <v>2.5000000000000001E-2</v>
      </c>
      <c r="AA179" s="55">
        <f t="shared" ref="AA179" si="193">+AA178+AA180</f>
        <v>2.5000000000000001E-2</v>
      </c>
      <c r="AB179" s="55">
        <f t="shared" ref="AB179" si="194">+AB178+AB180</f>
        <v>2.5000000000000001E-2</v>
      </c>
    </row>
    <row r="180" spans="2:28" hidden="1" outlineLevel="1" x14ac:dyDescent="0.35">
      <c r="B180" s="6" t="s">
        <v>363</v>
      </c>
      <c r="C180" s="12"/>
      <c r="D180" s="12"/>
      <c r="E180" s="12">
        <f t="shared" ref="E180:P180" si="195">+E179-E178</f>
        <v>2.6259139305315829E-2</v>
      </c>
      <c r="F180" s="12">
        <f t="shared" si="195"/>
        <v>1.8106321676741428E-2</v>
      </c>
      <c r="G180" s="12">
        <f t="shared" si="195"/>
        <v>1.66472448809722E-2</v>
      </c>
      <c r="H180" s="12">
        <f t="shared" si="195"/>
        <v>1.3876189963964933E-2</v>
      </c>
      <c r="I180" s="12">
        <f t="shared" si="195"/>
        <v>1.2916604947415198E-2</v>
      </c>
      <c r="J180" s="12">
        <f t="shared" si="195"/>
        <v>1.1904655186323989E-2</v>
      </c>
      <c r="K180" s="12">
        <f t="shared" si="195"/>
        <v>1.1408265401240474E-2</v>
      </c>
      <c r="L180" s="12">
        <f t="shared" si="195"/>
        <v>8.7894127955531823E-3</v>
      </c>
      <c r="M180" s="12">
        <f t="shared" si="195"/>
        <v>3.997071304514814E-3</v>
      </c>
      <c r="N180" s="12">
        <f t="shared" si="195"/>
        <v>8.3549482885170515E-4</v>
      </c>
      <c r="O180" s="12">
        <f t="shared" si="195"/>
        <v>2.039445882797631E-3</v>
      </c>
      <c r="P180" s="12">
        <f t="shared" si="195"/>
        <v>1.2357665774450447E-2</v>
      </c>
      <c r="Q180" s="12">
        <f>+Q179-Q178</f>
        <v>7.5019562517498585E-3</v>
      </c>
      <c r="R180" s="31">
        <v>-3.0000000000000001E-3</v>
      </c>
      <c r="S180" s="31">
        <v>-5.0000000000000001E-3</v>
      </c>
      <c r="T180" s="31">
        <v>-2.5000000000000001E-3</v>
      </c>
      <c r="U180" s="31">
        <v>2.5000000000000001E-3</v>
      </c>
      <c r="V180" s="31">
        <v>2.5000000000000001E-3</v>
      </c>
      <c r="W180" s="31">
        <v>2.5000000000000001E-3</v>
      </c>
      <c r="X180" s="31">
        <v>2.5000000000000001E-3</v>
      </c>
      <c r="Y180" s="31">
        <v>2.5000000000000001E-3</v>
      </c>
      <c r="Z180" s="31">
        <v>2.5000000000000001E-3</v>
      </c>
      <c r="AA180" s="31">
        <v>2.5000000000000001E-3</v>
      </c>
      <c r="AB180" s="31">
        <v>2.5000000000000001E-3</v>
      </c>
    </row>
    <row r="181" spans="2:28" hidden="1" outlineLevel="1" x14ac:dyDescent="0.35">
      <c r="B181" s="18"/>
      <c r="C181" s="54"/>
      <c r="D181" s="54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</row>
    <row r="182" spans="2:28" hidden="1" outlineLevel="1" x14ac:dyDescent="0.35">
      <c r="B182" s="18"/>
      <c r="C182" s="54"/>
      <c r="D182" s="54"/>
      <c r="E182" s="19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6"/>
      <c r="S182" s="12"/>
    </row>
    <row r="183" spans="2:28" hidden="1" outlineLevel="1" x14ac:dyDescent="0.35">
      <c r="B183" t="s">
        <v>361</v>
      </c>
      <c r="C183" s="12">
        <f t="shared" ref="C183:D183" si="196">+C$172</f>
        <v>4.6267664000000014E-2</v>
      </c>
      <c r="D183" s="12">
        <f t="shared" si="196"/>
        <v>3.6411494023904381E-2</v>
      </c>
      <c r="E183" s="12">
        <f>+E$172</f>
        <v>3.2442388000000044E-2</v>
      </c>
      <c r="F183" s="12">
        <f t="shared" ref="F183:AB183" si="197">+F$172</f>
        <v>3.1927415999999986E-2</v>
      </c>
      <c r="G183" s="12">
        <f t="shared" si="197"/>
        <v>2.7638519999999996E-2</v>
      </c>
      <c r="H183" s="12">
        <f t="shared" si="197"/>
        <v>1.7847988000000009E-2</v>
      </c>
      <c r="I183" s="12">
        <f t="shared" si="197"/>
        <v>2.3338072000000012E-2</v>
      </c>
      <c r="J183" s="12">
        <f t="shared" si="197"/>
        <v>2.5284176000000005E-2</v>
      </c>
      <c r="K183" s="12">
        <f t="shared" si="197"/>
        <v>2.1310507999999995E-2</v>
      </c>
      <c r="L183" s="12">
        <f t="shared" si="197"/>
        <v>1.8311683999999998E-2</v>
      </c>
      <c r="M183" s="12">
        <f t="shared" si="197"/>
        <v>2.3256276000000003E-2</v>
      </c>
      <c r="N183" s="12">
        <f t="shared" si="197"/>
        <v>2.9101363999999984E-2</v>
      </c>
      <c r="O183" s="12">
        <f t="shared" si="197"/>
        <v>2.1372823999999992E-2</v>
      </c>
      <c r="P183" s="12">
        <f t="shared" si="197"/>
        <v>8.8326334661354561E-3</v>
      </c>
      <c r="Q183" s="12">
        <f t="shared" si="197"/>
        <v>1.4359887999999996E-2</v>
      </c>
      <c r="R183" s="12">
        <f t="shared" si="197"/>
        <v>2.75E-2</v>
      </c>
      <c r="S183" s="12">
        <f t="shared" si="197"/>
        <v>3.5000000000000003E-2</v>
      </c>
      <c r="T183" s="12">
        <f t="shared" si="197"/>
        <v>3.5000000000000003E-2</v>
      </c>
      <c r="U183" s="12">
        <f t="shared" si="197"/>
        <v>3.5000000000000003E-2</v>
      </c>
      <c r="V183" s="12">
        <f t="shared" si="197"/>
        <v>3.5000000000000003E-2</v>
      </c>
      <c r="W183" s="12">
        <f t="shared" si="197"/>
        <v>3.5000000000000003E-2</v>
      </c>
      <c r="X183" s="12">
        <f t="shared" si="197"/>
        <v>3.5000000000000003E-2</v>
      </c>
      <c r="Y183" s="12">
        <f t="shared" si="197"/>
        <v>3.5000000000000003E-2</v>
      </c>
      <c r="Z183" s="12">
        <f t="shared" si="197"/>
        <v>3.5000000000000003E-2</v>
      </c>
      <c r="AA183" s="12">
        <f t="shared" si="197"/>
        <v>3.5000000000000003E-2</v>
      </c>
      <c r="AB183" s="12">
        <f t="shared" si="197"/>
        <v>3.5000000000000003E-2</v>
      </c>
    </row>
    <row r="184" spans="2:28" hidden="1" outlineLevel="1" x14ac:dyDescent="0.35">
      <c r="B184" s="3" t="s">
        <v>366</v>
      </c>
      <c r="C184" s="56"/>
      <c r="D184" s="56"/>
      <c r="E184" s="56">
        <f t="shared" ref="E184:Q184" si="198">+E161</f>
        <v>5.7106226127834614E-2</v>
      </c>
      <c r="F184" s="56">
        <f t="shared" si="198"/>
        <v>6.2619197331019102E-2</v>
      </c>
      <c r="G184" s="56">
        <f t="shared" si="198"/>
        <v>5.6737807227059095E-2</v>
      </c>
      <c r="H184" s="56">
        <f t="shared" si="198"/>
        <v>3.7319195780641558E-2</v>
      </c>
      <c r="I184" s="56">
        <f t="shared" si="198"/>
        <v>3.330583883223355E-2</v>
      </c>
      <c r="J184" s="56">
        <f t="shared" si="198"/>
        <v>2.798246309061617E-2</v>
      </c>
      <c r="K184" s="56">
        <f t="shared" si="198"/>
        <v>2.3156512853827051E-2</v>
      </c>
      <c r="L184" s="56">
        <f t="shared" si="198"/>
        <v>2.549314136719193E-2</v>
      </c>
      <c r="M184" s="56">
        <f t="shared" si="198"/>
        <v>2.9075465534139169E-2</v>
      </c>
      <c r="N184" s="56">
        <f t="shared" si="198"/>
        <v>3.4638814777042226E-2</v>
      </c>
      <c r="O184" s="56">
        <f t="shared" si="198"/>
        <v>3.6377989716016981E-2</v>
      </c>
      <c r="P184" s="56">
        <f t="shared" si="198"/>
        <v>4.0533751962323387E-2</v>
      </c>
      <c r="Q184" s="56">
        <f t="shared" si="198"/>
        <v>4.1825556823978045E-2</v>
      </c>
      <c r="R184" s="55">
        <f>+R183+R185</f>
        <v>5.2500000000000005E-2</v>
      </c>
      <c r="S184" s="55">
        <f t="shared" ref="S184" si="199">+S183+S185</f>
        <v>6.0000000000000005E-2</v>
      </c>
      <c r="T184" s="55">
        <f t="shared" ref="T184" si="200">+T183+T185</f>
        <v>6.25E-2</v>
      </c>
      <c r="U184" s="55">
        <f t="shared" ref="U184" si="201">+U183+U185</f>
        <v>6.25E-2</v>
      </c>
      <c r="V184" s="55">
        <f t="shared" ref="V184" si="202">+V183+V185</f>
        <v>6.25E-2</v>
      </c>
      <c r="W184" s="55">
        <f t="shared" ref="W184" si="203">+W183+W185</f>
        <v>6.25E-2</v>
      </c>
      <c r="X184" s="55">
        <f t="shared" ref="X184" si="204">+X183+X185</f>
        <v>6.25E-2</v>
      </c>
      <c r="Y184" s="55">
        <f t="shared" ref="Y184" si="205">+Y183+Y185</f>
        <v>6.25E-2</v>
      </c>
      <c r="Z184" s="55">
        <f t="shared" ref="Z184" si="206">+Z183+Z185</f>
        <v>6.25E-2</v>
      </c>
      <c r="AA184" s="55">
        <f t="shared" ref="AA184" si="207">+AA183+AA185</f>
        <v>6.25E-2</v>
      </c>
      <c r="AB184" s="55">
        <f t="shared" ref="AB184" si="208">+AB183+AB185</f>
        <v>6.25E-2</v>
      </c>
    </row>
    <row r="185" spans="2:28" hidden="1" outlineLevel="1" x14ac:dyDescent="0.35">
      <c r="B185" s="6" t="s">
        <v>363</v>
      </c>
      <c r="C185" s="12"/>
      <c r="D185" s="12"/>
      <c r="E185" s="12">
        <f>+E184-E183</f>
        <v>2.466383812783457E-2</v>
      </c>
      <c r="F185" s="12">
        <f t="shared" ref="F185:Q185" si="209">+F184-F183</f>
        <v>3.0691781331019116E-2</v>
      </c>
      <c r="G185" s="12">
        <f t="shared" si="209"/>
        <v>2.9099287227059099E-2</v>
      </c>
      <c r="H185" s="12">
        <f t="shared" si="209"/>
        <v>1.9471207780641549E-2</v>
      </c>
      <c r="I185" s="12">
        <f t="shared" si="209"/>
        <v>9.9677668322335385E-3</v>
      </c>
      <c r="J185" s="12">
        <f t="shared" si="209"/>
        <v>2.6982870906161645E-3</v>
      </c>
      <c r="K185" s="12">
        <f t="shared" si="209"/>
        <v>1.846004853827056E-3</v>
      </c>
      <c r="L185" s="12">
        <f t="shared" si="209"/>
        <v>7.1814573671919318E-3</v>
      </c>
      <c r="M185" s="12">
        <f t="shared" si="209"/>
        <v>5.8191895341391658E-3</v>
      </c>
      <c r="N185" s="12">
        <f t="shared" si="209"/>
        <v>5.5374507770422424E-3</v>
      </c>
      <c r="O185" s="12">
        <f t="shared" si="209"/>
        <v>1.500516571601699E-2</v>
      </c>
      <c r="P185" s="12">
        <f t="shared" si="209"/>
        <v>3.1701118496187931E-2</v>
      </c>
      <c r="Q185" s="12">
        <f t="shared" si="209"/>
        <v>2.7465668823978051E-2</v>
      </c>
      <c r="R185" s="31">
        <v>2.5000000000000001E-2</v>
      </c>
      <c r="S185" s="31">
        <v>2.5000000000000001E-2</v>
      </c>
      <c r="T185" s="31">
        <v>2.75E-2</v>
      </c>
      <c r="U185" s="31">
        <v>2.75E-2</v>
      </c>
      <c r="V185" s="31">
        <v>2.75E-2</v>
      </c>
      <c r="W185" s="31">
        <v>2.75E-2</v>
      </c>
      <c r="X185" s="31">
        <v>2.75E-2</v>
      </c>
      <c r="Y185" s="31">
        <v>2.75E-2</v>
      </c>
      <c r="Z185" s="31">
        <v>2.75E-2</v>
      </c>
      <c r="AA185" s="31">
        <v>2.75E-2</v>
      </c>
      <c r="AB185" s="31">
        <v>2.75E-2</v>
      </c>
    </row>
    <row r="186" spans="2:28" hidden="1" outlineLevel="1" x14ac:dyDescent="0.35">
      <c r="B186" s="2"/>
      <c r="C186" s="54"/>
      <c r="D186" s="54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</row>
    <row r="187" spans="2:28" hidden="1" outlineLevel="1" x14ac:dyDescent="0.35">
      <c r="B187" s="18" t="s">
        <v>230</v>
      </c>
      <c r="C187" s="54"/>
      <c r="D187" s="54"/>
      <c r="E187" s="25">
        <f t="shared" ref="E187:AB187" si="210">SUM(E173*AVERAGE(D72:E72),-E179*AVERAGE(D78:E78),-E184*AVERAGE(D79:E79),-E158)/AVERAGE(D72:E72)</f>
        <v>1.454452494836761E-2</v>
      </c>
      <c r="F187" s="25">
        <f t="shared" si="210"/>
        <v>9.0644086618545307E-3</v>
      </c>
      <c r="G187" s="25">
        <f t="shared" si="210"/>
        <v>7.3249092532372316E-3</v>
      </c>
      <c r="H187" s="25">
        <f t="shared" si="210"/>
        <v>1.2833259247445727E-2</v>
      </c>
      <c r="I187" s="25">
        <f t="shared" si="210"/>
        <v>2.020055171711959E-2</v>
      </c>
      <c r="J187" s="25">
        <f t="shared" si="210"/>
        <v>2.400699937403972E-2</v>
      </c>
      <c r="K187" s="25">
        <f t="shared" si="210"/>
        <v>2.5543371876191222E-2</v>
      </c>
      <c r="L187" s="25">
        <f t="shared" si="210"/>
        <v>2.5709782812546263E-2</v>
      </c>
      <c r="M187" s="25">
        <f t="shared" si="210"/>
        <v>2.6848070831584171E-2</v>
      </c>
      <c r="N187" s="25">
        <f t="shared" si="210"/>
        <v>2.6550385252742732E-2</v>
      </c>
      <c r="O187" s="25">
        <f t="shared" si="210"/>
        <v>2.6976903973750941E-2</v>
      </c>
      <c r="P187" s="25">
        <f t="shared" si="210"/>
        <v>2.7006463060636775E-2</v>
      </c>
      <c r="Q187" s="25">
        <f t="shared" si="210"/>
        <v>3.5267407814072643E-2</v>
      </c>
      <c r="R187" s="25">
        <f t="shared" ca="1" si="210"/>
        <v>3.745350302157649E-2</v>
      </c>
      <c r="S187" s="25">
        <f t="shared" ca="1" si="210"/>
        <v>3.1425754553700933E-2</v>
      </c>
      <c r="T187" s="25">
        <f t="shared" ca="1" si="210"/>
        <v>3.2441724394623325E-2</v>
      </c>
      <c r="U187" s="25">
        <f t="shared" ca="1" si="210"/>
        <v>3.4909213375038231E-2</v>
      </c>
      <c r="V187" s="25">
        <f t="shared" ca="1" si="210"/>
        <v>3.5354303057575406E-2</v>
      </c>
      <c r="W187" s="25">
        <f t="shared" ca="1" si="210"/>
        <v>3.5716604895512989E-2</v>
      </c>
      <c r="X187" s="25">
        <f t="shared" ca="1" si="210"/>
        <v>3.6007940475116497E-2</v>
      </c>
      <c r="Y187" s="25">
        <f t="shared" ca="1" si="210"/>
        <v>3.625959777662463E-2</v>
      </c>
      <c r="Z187" s="25">
        <f t="shared" ca="1" si="210"/>
        <v>3.6487363311982622E-2</v>
      </c>
      <c r="AA187" s="25">
        <f t="shared" ca="1" si="210"/>
        <v>3.6693506803860458E-2</v>
      </c>
      <c r="AB187" s="25">
        <f t="shared" ca="1" si="210"/>
        <v>3.6883069219802375E-2</v>
      </c>
    </row>
    <row r="188" spans="2:28" hidden="1" outlineLevel="1" x14ac:dyDescent="0.35">
      <c r="B188" s="14" t="s">
        <v>38</v>
      </c>
      <c r="C188" s="35"/>
      <c r="D188" s="35"/>
      <c r="E188" s="100" t="b">
        <f t="shared" ref="E188:P188" si="211">ABS(E187-E169)&lt;0.0001</f>
        <v>1</v>
      </c>
      <c r="F188" s="100" t="b">
        <f t="shared" si="211"/>
        <v>1</v>
      </c>
      <c r="G188" s="100" t="b">
        <f t="shared" si="211"/>
        <v>1</v>
      </c>
      <c r="H188" s="100" t="b">
        <f t="shared" si="211"/>
        <v>1</v>
      </c>
      <c r="I188" s="100" t="b">
        <f t="shared" si="211"/>
        <v>1</v>
      </c>
      <c r="J188" s="100" t="b">
        <f t="shared" si="211"/>
        <v>1</v>
      </c>
      <c r="K188" s="100" t="b">
        <f t="shared" si="211"/>
        <v>1</v>
      </c>
      <c r="L188" s="100" t="b">
        <f t="shared" si="211"/>
        <v>1</v>
      </c>
      <c r="M188" s="100" t="b">
        <f t="shared" si="211"/>
        <v>1</v>
      </c>
      <c r="N188" s="100" t="b">
        <f t="shared" si="211"/>
        <v>1</v>
      </c>
      <c r="O188" s="100" t="b">
        <f t="shared" si="211"/>
        <v>1</v>
      </c>
      <c r="P188" s="100" t="b">
        <f t="shared" si="211"/>
        <v>1</v>
      </c>
      <c r="Q188" s="100" t="b">
        <f>ABS(Q187-Q169)&lt;0.0001</f>
        <v>1</v>
      </c>
      <c r="R188" s="100" t="b">
        <f t="shared" ref="R188:AB188" ca="1" si="212">ABS(R187-R169)&lt;0.0001</f>
        <v>1</v>
      </c>
      <c r="S188" s="100" t="b">
        <f t="shared" ca="1" si="212"/>
        <v>1</v>
      </c>
      <c r="T188" s="100" t="b">
        <f t="shared" ca="1" si="212"/>
        <v>1</v>
      </c>
      <c r="U188" s="100" t="b">
        <f t="shared" ca="1" si="212"/>
        <v>1</v>
      </c>
      <c r="V188" s="100" t="b">
        <f t="shared" ca="1" si="212"/>
        <v>1</v>
      </c>
      <c r="W188" s="100" t="b">
        <f t="shared" ca="1" si="212"/>
        <v>1</v>
      </c>
      <c r="X188" s="100" t="b">
        <f t="shared" ca="1" si="212"/>
        <v>1</v>
      </c>
      <c r="Y188" s="100" t="b">
        <f t="shared" ca="1" si="212"/>
        <v>1</v>
      </c>
      <c r="Z188" s="100" t="b">
        <f t="shared" ca="1" si="212"/>
        <v>1</v>
      </c>
      <c r="AA188" s="100" t="b">
        <f t="shared" ca="1" si="212"/>
        <v>1</v>
      </c>
      <c r="AB188" s="100" t="b">
        <f t="shared" ca="1" si="212"/>
        <v>1</v>
      </c>
    </row>
    <row r="189" spans="2:28" hidden="1" outlineLevel="1" x14ac:dyDescent="0.35">
      <c r="B189" s="18" t="s">
        <v>368</v>
      </c>
      <c r="C189" s="54"/>
      <c r="D189" s="54"/>
      <c r="E189" s="25">
        <f t="shared" ref="E189:AB189" si="213">SUM(E173*AVERAGE(D72:E72),-E179*AVERAGE(SUM(E78:E79),SUM(D78:D79))*AVERAGE($P$78:$Q$78)/AVERAGE(SUM($Q$78:$Q$79),SUM($P$78:$P$79)),-E184*AVERAGE(SUM(E78:E79),SUM(D78:D79))*AVERAGE($P$79:$Q$79)/AVERAGE(SUM($Q$78:$Q$79),SUM($P$78:$P$79)),-E158)/AVERAGE(D72:E72)</f>
        <v>3.4162604699439714E-2</v>
      </c>
      <c r="F189" s="25">
        <f t="shared" si="213"/>
        <v>3.3554554071958689E-2</v>
      </c>
      <c r="G189" s="25">
        <f t="shared" si="213"/>
        <v>2.8067971081168683E-2</v>
      </c>
      <c r="H189" s="25">
        <f t="shared" si="213"/>
        <v>2.4535439767018167E-2</v>
      </c>
      <c r="I189" s="25">
        <f t="shared" si="213"/>
        <v>2.9566566122601941E-2</v>
      </c>
      <c r="J189" s="25">
        <f t="shared" si="213"/>
        <v>3.0731002557882629E-2</v>
      </c>
      <c r="K189" s="25">
        <f t="shared" si="213"/>
        <v>3.0047953124757033E-2</v>
      </c>
      <c r="L189" s="25">
        <f t="shared" si="213"/>
        <v>3.0539838798627005E-2</v>
      </c>
      <c r="M189" s="25">
        <f t="shared" si="213"/>
        <v>3.1301340287989497E-2</v>
      </c>
      <c r="N189" s="25">
        <f t="shared" si="213"/>
        <v>3.0199688644229995E-2</v>
      </c>
      <c r="O189" s="25">
        <f t="shared" si="213"/>
        <v>2.9116270229916627E-2</v>
      </c>
      <c r="P189" s="25">
        <f t="shared" si="213"/>
        <v>2.8632616543623986E-2</v>
      </c>
      <c r="Q189" s="25">
        <f t="shared" si="213"/>
        <v>3.5267407814072643E-2</v>
      </c>
      <c r="R189" s="25">
        <f t="shared" ca="1" si="213"/>
        <v>3.7299852868039426E-2</v>
      </c>
      <c r="S189" s="25">
        <f t="shared" ca="1" si="213"/>
        <v>3.1695004412183786E-2</v>
      </c>
      <c r="T189" s="25">
        <f t="shared" ca="1" si="213"/>
        <v>3.2442021571776163E-2</v>
      </c>
      <c r="U189" s="25">
        <f t="shared" ca="1" si="213"/>
        <v>3.4532844126183113E-2</v>
      </c>
      <c r="V189" s="25">
        <f t="shared" ca="1" si="213"/>
        <v>3.4648152170746835E-2</v>
      </c>
      <c r="W189" s="25">
        <f t="shared" ca="1" si="213"/>
        <v>3.4719780854711696E-2</v>
      </c>
      <c r="X189" s="25">
        <f t="shared" ca="1" si="213"/>
        <v>3.4754780653094862E-2</v>
      </c>
      <c r="Y189" s="25">
        <f t="shared" ca="1" si="213"/>
        <v>3.4780219658084845E-2</v>
      </c>
      <c r="Z189" s="25">
        <f t="shared" ca="1" si="213"/>
        <v>3.4809625595527818E-2</v>
      </c>
      <c r="AA189" s="25">
        <f t="shared" ca="1" si="213"/>
        <v>3.4841711577277425E-2</v>
      </c>
      <c r="AB189" s="25">
        <f t="shared" ca="1" si="213"/>
        <v>3.4867350212730575E-2</v>
      </c>
    </row>
    <row r="190" spans="2:28" hidden="1" outlineLevel="1" x14ac:dyDescent="0.35">
      <c r="B190" s="18" t="s">
        <v>369</v>
      </c>
      <c r="C190" s="54"/>
      <c r="D190" s="54"/>
      <c r="E190" s="12">
        <f t="shared" ref="E190:AB190" si="214">E78/SUM(E78:E79)</f>
        <v>0.24414733718257234</v>
      </c>
      <c r="F190" s="12">
        <f t="shared" si="214"/>
        <v>0.29322359726060315</v>
      </c>
      <c r="G190" s="12">
        <f t="shared" si="214"/>
        <v>0.30937746798063387</v>
      </c>
      <c r="H190" s="12">
        <f t="shared" si="214"/>
        <v>0.36875562772728321</v>
      </c>
      <c r="I190" s="12">
        <f t="shared" si="214"/>
        <v>0.40613580998781973</v>
      </c>
      <c r="J190" s="12">
        <f t="shared" si="214"/>
        <v>0.44212085533062401</v>
      </c>
      <c r="K190" s="12">
        <f t="shared" si="214"/>
        <v>0.47210129746543289</v>
      </c>
      <c r="L190" s="12">
        <f t="shared" si="214"/>
        <v>0.54190354059373347</v>
      </c>
      <c r="M190" s="12">
        <f t="shared" si="214"/>
        <v>0.62632056146949189</v>
      </c>
      <c r="N190" s="12">
        <f t="shared" si="214"/>
        <v>0.66213098192793629</v>
      </c>
      <c r="O190" s="12">
        <f t="shared" si="214"/>
        <v>0.7532405963445824</v>
      </c>
      <c r="P190" s="12">
        <f t="shared" si="214"/>
        <v>0.85021528992790585</v>
      </c>
      <c r="Q190" s="12">
        <f t="shared" si="214"/>
        <v>0.89262045438781235</v>
      </c>
      <c r="R190" s="12">
        <f t="shared" si="214"/>
        <v>0.85953183330057625</v>
      </c>
      <c r="S190" s="12">
        <f t="shared" si="214"/>
        <v>0.8655507604543542</v>
      </c>
      <c r="T190" s="12">
        <f t="shared" si="214"/>
        <v>0.87667035121406611</v>
      </c>
      <c r="U190" s="12">
        <f t="shared" si="214"/>
        <v>0.88699037111463908</v>
      </c>
      <c r="V190" s="12">
        <f t="shared" si="214"/>
        <v>0.89566627800167642</v>
      </c>
      <c r="W190" s="12">
        <f t="shared" si="214"/>
        <v>0.90374840095207909</v>
      </c>
      <c r="X190" s="12">
        <f t="shared" si="214"/>
        <v>0.91048963815120332</v>
      </c>
      <c r="Y190" s="12">
        <f t="shared" si="214"/>
        <v>0.91680219942925611</v>
      </c>
      <c r="Z190" s="12">
        <f t="shared" si="214"/>
        <v>0.92201547727986866</v>
      </c>
      <c r="AA190" s="12">
        <f t="shared" si="214"/>
        <v>0.92692812125973423</v>
      </c>
      <c r="AB190" s="12">
        <f t="shared" si="214"/>
        <v>0.93155426633475491</v>
      </c>
    </row>
    <row r="191" spans="2:28" hidden="1" outlineLevel="1" x14ac:dyDescent="0.35">
      <c r="B191" s="18"/>
      <c r="C191" s="54"/>
      <c r="D191" s="54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</row>
    <row r="192" spans="2:28" collapsed="1" x14ac:dyDescent="0.35">
      <c r="B192" s="53" t="s">
        <v>281</v>
      </c>
      <c r="C192" s="53"/>
      <c r="D192" s="53"/>
      <c r="E192" s="53"/>
      <c r="F192" s="53"/>
      <c r="G192" s="53"/>
      <c r="H192" s="53"/>
      <c r="I192" s="53"/>
      <c r="J192" s="53"/>
      <c r="K192" s="53"/>
      <c r="L192" s="53"/>
      <c r="M192" s="53"/>
      <c r="N192" s="53"/>
      <c r="O192" s="53"/>
      <c r="P192" s="53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</row>
    <row r="193" spans="2:32" ht="5.15" customHeight="1" x14ac:dyDescent="0.35"/>
    <row r="194" spans="2:32" hidden="1" outlineLevel="1" x14ac:dyDescent="0.35">
      <c r="B194" t="s">
        <v>192</v>
      </c>
      <c r="D194" s="6"/>
      <c r="E194" s="6"/>
      <c r="F194" s="6">
        <f>+'Historical Detailed'!G73</f>
        <v>304</v>
      </c>
      <c r="G194" s="6">
        <f>+'Historical Detailed'!H73</f>
        <v>154</v>
      </c>
      <c r="H194" s="6">
        <f>+'Historical Detailed'!I73</f>
        <v>372</v>
      </c>
      <c r="I194" s="6">
        <f>+'Historical Detailed'!J73</f>
        <v>490</v>
      </c>
      <c r="J194" s="6">
        <f>+'Historical Detailed'!K73</f>
        <v>540</v>
      </c>
      <c r="K194" s="6">
        <f>+'Historical Detailed'!L73</f>
        <v>739</v>
      </c>
      <c r="L194" s="6">
        <f>+'Historical Detailed'!M73</f>
        <v>919</v>
      </c>
      <c r="M194" s="6">
        <f>+'Historical Detailed'!N73</f>
        <v>1127</v>
      </c>
      <c r="N194" s="6">
        <f>+'Historical Detailed'!O73</f>
        <v>911</v>
      </c>
      <c r="O194" s="6">
        <f>+'Historical Detailed'!P73</f>
        <v>957</v>
      </c>
      <c r="P194" s="6">
        <f>+'Historical Detailed'!Q73</f>
        <v>1194</v>
      </c>
      <c r="Q194" s="6">
        <f>+'Historical Detailed'!R73</f>
        <v>104</v>
      </c>
    </row>
    <row r="195" spans="2:32" hidden="1" outlineLevel="1" x14ac:dyDescent="0.35">
      <c r="B195" t="s">
        <v>8</v>
      </c>
      <c r="F195" s="6">
        <f>+'Historical Detailed'!G155</f>
        <v>-144</v>
      </c>
      <c r="G195" s="6">
        <f>+'Historical Detailed'!H155</f>
        <v>-123</v>
      </c>
      <c r="H195" s="6">
        <f>+'Historical Detailed'!I155</f>
        <v>-86</v>
      </c>
      <c r="I195" s="6">
        <f>+'Historical Detailed'!J155</f>
        <v>-13</v>
      </c>
      <c r="J195" s="6">
        <f>+'Historical Detailed'!K155</f>
        <v>69</v>
      </c>
      <c r="K195" s="6">
        <f>+'Historical Detailed'!L155</f>
        <v>-1</v>
      </c>
      <c r="L195" s="6">
        <f>+'Historical Detailed'!M155</f>
        <v>4</v>
      </c>
      <c r="M195" s="6">
        <f>+'Historical Detailed'!N155</f>
        <v>-8</v>
      </c>
      <c r="N195" s="6">
        <f>+'Historical Detailed'!O155</f>
        <v>-1</v>
      </c>
      <c r="O195" s="6">
        <f>+'Historical Detailed'!P155</f>
        <v>-5</v>
      </c>
      <c r="P195" s="6">
        <f>+'Historical Detailed'!Q155</f>
        <v>-7</v>
      </c>
      <c r="Q195" s="6">
        <f>+'Historical Detailed'!R155</f>
        <v>1</v>
      </c>
    </row>
    <row r="196" spans="2:32" hidden="1" outlineLevel="1" x14ac:dyDescent="0.35">
      <c r="B196" t="s">
        <v>301</v>
      </c>
      <c r="F196" s="7">
        <f t="shared" ref="F196:P196" si="215">+F197-SUM(F194:F195)</f>
        <v>197</v>
      </c>
      <c r="G196" s="7">
        <f t="shared" si="215"/>
        <v>130</v>
      </c>
      <c r="H196" s="7">
        <f t="shared" si="215"/>
        <v>43</v>
      </c>
      <c r="I196" s="7">
        <f t="shared" si="215"/>
        <v>24</v>
      </c>
      <c r="J196" s="7">
        <f t="shared" si="215"/>
        <v>-152</v>
      </c>
      <c r="K196" s="7">
        <f t="shared" si="215"/>
        <v>-31</v>
      </c>
      <c r="L196" s="7">
        <f t="shared" si="215"/>
        <v>-6</v>
      </c>
      <c r="M196" s="7">
        <f t="shared" si="215"/>
        <v>29</v>
      </c>
      <c r="N196" s="7">
        <f t="shared" si="215"/>
        <v>8</v>
      </c>
      <c r="O196" s="7">
        <f t="shared" si="215"/>
        <v>46</v>
      </c>
      <c r="P196" s="7">
        <f t="shared" si="215"/>
        <v>252</v>
      </c>
      <c r="Q196" s="7">
        <f>+Q197-SUM(Q194:Q195)</f>
        <v>136</v>
      </c>
    </row>
    <row r="197" spans="2:32" hidden="1" outlineLevel="1" x14ac:dyDescent="0.35">
      <c r="B197" s="3" t="s">
        <v>292</v>
      </c>
      <c r="C197" s="4"/>
      <c r="D197" s="4">
        <f t="shared" ref="D197:P197" si="216">-D251</f>
        <v>3410</v>
      </c>
      <c r="E197" s="4">
        <f t="shared" si="216"/>
        <v>5603</v>
      </c>
      <c r="F197" s="4">
        <f t="shared" si="216"/>
        <v>357</v>
      </c>
      <c r="G197" s="4">
        <f t="shared" si="216"/>
        <v>161</v>
      </c>
      <c r="H197" s="4">
        <f t="shared" si="216"/>
        <v>329</v>
      </c>
      <c r="I197" s="4">
        <f t="shared" si="216"/>
        <v>501</v>
      </c>
      <c r="J197" s="4">
        <f t="shared" si="216"/>
        <v>457</v>
      </c>
      <c r="K197" s="4">
        <f t="shared" si="216"/>
        <v>707</v>
      </c>
      <c r="L197" s="4">
        <f t="shared" si="216"/>
        <v>917</v>
      </c>
      <c r="M197" s="4">
        <f t="shared" si="216"/>
        <v>1148</v>
      </c>
      <c r="N197" s="4">
        <f t="shared" si="216"/>
        <v>918</v>
      </c>
      <c r="O197" s="4">
        <f t="shared" si="216"/>
        <v>998</v>
      </c>
      <c r="P197" s="4">
        <f t="shared" si="216"/>
        <v>1439</v>
      </c>
      <c r="Q197" s="4">
        <f>-Q251</f>
        <v>241</v>
      </c>
    </row>
    <row r="198" spans="2:32" hidden="1" outlineLevel="1" x14ac:dyDescent="0.35"/>
    <row r="199" spans="2:32" hidden="1" outlineLevel="1" x14ac:dyDescent="0.35">
      <c r="B199" t="s">
        <v>192</v>
      </c>
      <c r="D199" s="6"/>
      <c r="E199" s="6"/>
      <c r="F199" s="6">
        <f>-SUM('Historical Detailed'!G71:G72)</f>
        <v>580</v>
      </c>
      <c r="G199" s="6">
        <f>-SUM('Historical Detailed'!H71:H72)</f>
        <v>321</v>
      </c>
      <c r="H199" s="6">
        <f>-SUM('Historical Detailed'!I71:I72)</f>
        <v>369</v>
      </c>
      <c r="I199" s="6">
        <f>-SUM('Historical Detailed'!J71:J72)</f>
        <v>402</v>
      </c>
      <c r="J199" s="6">
        <f>-SUM('Historical Detailed'!K71:K72)</f>
        <v>501</v>
      </c>
      <c r="K199" s="6">
        <f>-SUM('Historical Detailed'!L71:L72)</f>
        <v>578</v>
      </c>
      <c r="L199" s="6">
        <f>-SUM('Historical Detailed'!M71:M72)</f>
        <v>795</v>
      </c>
      <c r="M199" s="6">
        <f>-SUM('Historical Detailed'!N71:N72)</f>
        <v>986</v>
      </c>
      <c r="N199" s="6">
        <f>-SUM('Historical Detailed'!O71:O72)</f>
        <v>927</v>
      </c>
      <c r="O199" s="6">
        <f>-SUM('Historical Detailed'!P71:P72)</f>
        <v>930</v>
      </c>
      <c r="P199" s="6">
        <f>-SUM('Historical Detailed'!Q71:Q72)</f>
        <v>702</v>
      </c>
      <c r="Q199" s="6">
        <f>-SUM('Historical Detailed'!R71:R72)</f>
        <v>237</v>
      </c>
      <c r="R199" s="35">
        <f t="shared" ref="R199:AB199" si="217">AVERAGE(Q60:R60)*R205</f>
        <v>809.26980213887612</v>
      </c>
      <c r="S199" s="35">
        <f t="shared" si="217"/>
        <v>2673.5840474225374</v>
      </c>
      <c r="T199" s="35">
        <f t="shared" si="217"/>
        <v>2552.9299981029562</v>
      </c>
      <c r="U199" s="35">
        <f t="shared" si="217"/>
        <v>1483.9536832929009</v>
      </c>
      <c r="V199" s="35">
        <f t="shared" si="217"/>
        <v>1414.7384207509269</v>
      </c>
      <c r="W199" s="35">
        <f t="shared" si="217"/>
        <v>1464.1155656320377</v>
      </c>
      <c r="X199" s="35">
        <f t="shared" si="217"/>
        <v>1500.6102688936048</v>
      </c>
      <c r="Y199" s="35">
        <f t="shared" si="217"/>
        <v>1530.6224742714767</v>
      </c>
      <c r="Z199" s="35">
        <f t="shared" si="217"/>
        <v>1561.2349237569065</v>
      </c>
      <c r="AA199" s="35">
        <f t="shared" si="217"/>
        <v>1592.4596222320445</v>
      </c>
      <c r="AB199" s="35">
        <f t="shared" si="217"/>
        <v>1624.3088146766852</v>
      </c>
    </row>
    <row r="200" spans="2:32" hidden="1" outlineLevel="1" x14ac:dyDescent="0.35">
      <c r="B200" t="s">
        <v>8</v>
      </c>
      <c r="F200" s="42"/>
      <c r="G200" s="42">
        <v>193</v>
      </c>
      <c r="H200" s="42">
        <v>8</v>
      </c>
      <c r="I200" s="42">
        <v>75</v>
      </c>
      <c r="J200" s="42">
        <v>43</v>
      </c>
      <c r="K200" s="42">
        <f>2+29</f>
        <v>31</v>
      </c>
      <c r="L200" s="42">
        <v>7</v>
      </c>
      <c r="M200" s="42">
        <f>1+5</f>
        <v>6</v>
      </c>
      <c r="N200" s="42">
        <v>10</v>
      </c>
      <c r="O200" s="42">
        <v>-8</v>
      </c>
      <c r="P200" s="42">
        <v>-3</v>
      </c>
      <c r="Q200" s="42">
        <v>-7</v>
      </c>
      <c r="R200" s="42">
        <v>0</v>
      </c>
      <c r="S200" s="42">
        <v>0</v>
      </c>
      <c r="T200" s="42">
        <v>0</v>
      </c>
      <c r="U200" s="42">
        <v>0</v>
      </c>
      <c r="V200" s="42">
        <v>0</v>
      </c>
      <c r="W200" s="42">
        <v>0</v>
      </c>
      <c r="X200" s="42">
        <v>0</v>
      </c>
      <c r="Y200" s="42">
        <v>0</v>
      </c>
      <c r="Z200" s="42">
        <v>0</v>
      </c>
      <c r="AA200" s="42">
        <v>0</v>
      </c>
      <c r="AB200" s="42">
        <v>0</v>
      </c>
    </row>
    <row r="201" spans="2:32" hidden="1" outlineLevel="1" x14ac:dyDescent="0.35">
      <c r="B201" t="s">
        <v>301</v>
      </c>
      <c r="F201" s="42">
        <v>0</v>
      </c>
      <c r="G201" s="42">
        <v>39</v>
      </c>
      <c r="H201" s="42">
        <f>-1-1-31</f>
        <v>-33</v>
      </c>
      <c r="I201" s="42">
        <v>-5</v>
      </c>
      <c r="J201" s="42">
        <v>-7</v>
      </c>
      <c r="K201" s="42">
        <v>0</v>
      </c>
      <c r="L201" s="42">
        <v>-1</v>
      </c>
      <c r="M201" s="42">
        <v>18</v>
      </c>
      <c r="N201" s="42">
        <v>8</v>
      </c>
      <c r="O201" s="42">
        <f>5+49</f>
        <v>54</v>
      </c>
      <c r="P201" s="42">
        <f>14+51</f>
        <v>65</v>
      </c>
      <c r="Q201" s="42">
        <f>28+11</f>
        <v>39</v>
      </c>
      <c r="R201" s="35">
        <f t="shared" ref="R201:AB201" si="218">+AVERAGE(R67-R60,Q67-Q60)*R204</f>
        <v>117.035270783819</v>
      </c>
      <c r="S201" s="35">
        <f t="shared" si="218"/>
        <v>253.53096092910633</v>
      </c>
      <c r="T201" s="35">
        <f t="shared" si="218"/>
        <v>278.74220842608656</v>
      </c>
      <c r="U201" s="35">
        <f t="shared" si="218"/>
        <v>187.41442694833364</v>
      </c>
      <c r="V201" s="35">
        <f t="shared" si="218"/>
        <v>214.46163512730712</v>
      </c>
      <c r="W201" s="35">
        <f t="shared" si="218"/>
        <v>235.62631297941871</v>
      </c>
      <c r="X201" s="35">
        <f t="shared" si="218"/>
        <v>251.68230938477373</v>
      </c>
      <c r="Y201" s="35">
        <f t="shared" si="218"/>
        <v>268.36501084375368</v>
      </c>
      <c r="Z201" s="35">
        <f t="shared" si="218"/>
        <v>285.66637246031809</v>
      </c>
      <c r="AA201" s="35">
        <f t="shared" si="218"/>
        <v>295.1774679736294</v>
      </c>
      <c r="AB201" s="35">
        <f t="shared" si="218"/>
        <v>304.78618794699241</v>
      </c>
    </row>
    <row r="202" spans="2:32" hidden="1" outlineLevel="1" x14ac:dyDescent="0.35">
      <c r="B202" s="3" t="s">
        <v>293</v>
      </c>
      <c r="C202" s="4"/>
      <c r="D202" s="4"/>
      <c r="E202" s="4"/>
      <c r="F202" s="4">
        <f t="shared" ref="F202:P202" si="219">SUM(F199:F201)</f>
        <v>580</v>
      </c>
      <c r="G202" s="4">
        <f t="shared" si="219"/>
        <v>553</v>
      </c>
      <c r="H202" s="4">
        <f t="shared" si="219"/>
        <v>344</v>
      </c>
      <c r="I202" s="4">
        <f t="shared" si="219"/>
        <v>472</v>
      </c>
      <c r="J202" s="4">
        <f t="shared" si="219"/>
        <v>537</v>
      </c>
      <c r="K202" s="4">
        <f t="shared" si="219"/>
        <v>609</v>
      </c>
      <c r="L202" s="4">
        <f t="shared" si="219"/>
        <v>801</v>
      </c>
      <c r="M202" s="4">
        <f t="shared" si="219"/>
        <v>1010</v>
      </c>
      <c r="N202" s="4">
        <f t="shared" si="219"/>
        <v>945</v>
      </c>
      <c r="O202" s="4">
        <f t="shared" si="219"/>
        <v>976</v>
      </c>
      <c r="P202" s="4">
        <f t="shared" si="219"/>
        <v>764</v>
      </c>
      <c r="Q202" s="4">
        <f>SUM(Q199:Q201)</f>
        <v>269</v>
      </c>
      <c r="R202" s="38">
        <f>SUM(R199:R201)</f>
        <v>926.3050729226951</v>
      </c>
      <c r="S202" s="38">
        <f t="shared" ref="S202:AB202" si="220">SUM(S199:S201)</f>
        <v>2927.1150083516436</v>
      </c>
      <c r="T202" s="38">
        <f t="shared" si="220"/>
        <v>2831.6722065290428</v>
      </c>
      <c r="U202" s="38">
        <f t="shared" si="220"/>
        <v>1671.3681102412345</v>
      </c>
      <c r="V202" s="38">
        <f t="shared" si="220"/>
        <v>1629.200055878234</v>
      </c>
      <c r="W202" s="38">
        <f t="shared" si="220"/>
        <v>1699.7418786114565</v>
      </c>
      <c r="X202" s="38">
        <f t="shared" si="220"/>
        <v>1752.2925782783786</v>
      </c>
      <c r="Y202" s="38">
        <f t="shared" si="220"/>
        <v>1798.9874851152304</v>
      </c>
      <c r="Z202" s="38">
        <f t="shared" si="220"/>
        <v>1846.9012962172246</v>
      </c>
      <c r="AA202" s="38">
        <f t="shared" si="220"/>
        <v>1887.6370902056738</v>
      </c>
      <c r="AB202" s="38">
        <f t="shared" si="220"/>
        <v>1929.0950026236776</v>
      </c>
    </row>
    <row r="203" spans="2:32" hidden="1" outlineLevel="1" x14ac:dyDescent="0.35">
      <c r="B203" s="18" t="s">
        <v>295</v>
      </c>
      <c r="C203" s="19"/>
      <c r="D203" s="19"/>
      <c r="E203" s="19"/>
      <c r="F203" s="25">
        <f t="shared" ref="F203:AB203" si="221">+F202/AVERAGE(E67:F67)</f>
        <v>6.4403655462651433E-3</v>
      </c>
      <c r="G203" s="25">
        <f t="shared" si="221"/>
        <v>5.0928313563692621E-3</v>
      </c>
      <c r="H203" s="25">
        <f t="shared" si="221"/>
        <v>3.2178102053224827E-3</v>
      </c>
      <c r="I203" s="25">
        <f t="shared" si="221"/>
        <v>4.734606260313066E-3</v>
      </c>
      <c r="J203" s="25">
        <f t="shared" si="221"/>
        <v>5.3625996125347018E-3</v>
      </c>
      <c r="K203" s="25">
        <f t="shared" si="221"/>
        <v>5.7575585682681941E-3</v>
      </c>
      <c r="L203" s="25">
        <f t="shared" si="221"/>
        <v>6.9487820112429733E-3</v>
      </c>
      <c r="M203" s="25">
        <f t="shared" si="221"/>
        <v>8.3527334526974778E-3</v>
      </c>
      <c r="N203" s="25">
        <f t="shared" si="221"/>
        <v>7.4757039621231001E-3</v>
      </c>
      <c r="O203" s="25">
        <f t="shared" si="221"/>
        <v>7.5612902226164696E-3</v>
      </c>
      <c r="P203" s="25">
        <f t="shared" si="221"/>
        <v>6.1921261118878289E-3</v>
      </c>
      <c r="Q203" s="25">
        <f t="shared" si="221"/>
        <v>2.2342007126186659E-3</v>
      </c>
      <c r="R203" s="25">
        <f t="shared" si="221"/>
        <v>7.2514261746242734E-3</v>
      </c>
      <c r="S203" s="25">
        <f t="shared" si="221"/>
        <v>2.2013296504915125E-2</v>
      </c>
      <c r="T203" s="25">
        <f t="shared" si="221"/>
        <v>2.1084656608825608E-2</v>
      </c>
      <c r="U203" s="25">
        <f t="shared" si="221"/>
        <v>1.1889570834286172E-2</v>
      </c>
      <c r="V203" s="25">
        <f t="shared" si="221"/>
        <v>1.085964191169329E-2</v>
      </c>
      <c r="W203" s="25">
        <f t="shared" si="221"/>
        <v>1.0805941684368848E-2</v>
      </c>
      <c r="X203" s="25">
        <f t="shared" si="221"/>
        <v>1.0815517623856881E-2</v>
      </c>
      <c r="Y203" s="25">
        <f t="shared" si="221"/>
        <v>1.0811545983765788E-2</v>
      </c>
      <c r="Z203" s="25">
        <f t="shared" si="221"/>
        <v>1.0811189378516533E-2</v>
      </c>
      <c r="AA203" s="25">
        <f t="shared" si="221"/>
        <v>1.0765943189159008E-2</v>
      </c>
      <c r="AB203" s="25">
        <f t="shared" si="221"/>
        <v>1.072318666283514E-2</v>
      </c>
    </row>
    <row r="204" spans="2:32" hidden="1" outlineLevel="1" x14ac:dyDescent="0.35">
      <c r="B204" s="18" t="s">
        <v>300</v>
      </c>
      <c r="C204" s="19"/>
      <c r="D204" s="19"/>
      <c r="E204" s="19"/>
      <c r="F204" s="25">
        <f t="shared" ref="F204:Q204" si="222">SUM(F200:F201)/AVERAGE(F67-F60,E67-E60)</f>
        <v>0</v>
      </c>
      <c r="G204" s="25">
        <f t="shared" si="222"/>
        <v>4.5288175296471622E-3</v>
      </c>
      <c r="H204" s="25">
        <f t="shared" si="222"/>
        <v>-5.1740552175172816E-4</v>
      </c>
      <c r="I204" s="25">
        <f t="shared" si="222"/>
        <v>1.568609875519602E-3</v>
      </c>
      <c r="J204" s="25">
        <f t="shared" si="222"/>
        <v>8.2484620055218874E-4</v>
      </c>
      <c r="K204" s="25">
        <f t="shared" si="222"/>
        <v>6.8453886614981956E-4</v>
      </c>
      <c r="L204" s="25">
        <f t="shared" si="222"/>
        <v>1.2178740203924904E-4</v>
      </c>
      <c r="M204" s="25">
        <f t="shared" si="222"/>
        <v>4.4886522615308975E-4</v>
      </c>
      <c r="N204" s="25">
        <f t="shared" si="222"/>
        <v>3.1684263643056663E-4</v>
      </c>
      <c r="O204" s="25">
        <f t="shared" si="222"/>
        <v>8.0112836586639167E-4</v>
      </c>
      <c r="P204" s="25">
        <f t="shared" si="222"/>
        <v>1.2001478047915333E-3</v>
      </c>
      <c r="Q204" s="25">
        <f t="shared" si="222"/>
        <v>7.0103749902872845E-4</v>
      </c>
      <c r="R204" s="23">
        <f t="shared" ref="R204:AB204" si="223">+R11</f>
        <v>2.5000000000000001E-3</v>
      </c>
      <c r="S204" s="23">
        <f t="shared" si="223"/>
        <v>5.0000000000000001E-3</v>
      </c>
      <c r="T204" s="23">
        <f t="shared" si="223"/>
        <v>5.0000000000000001E-3</v>
      </c>
      <c r="U204" s="23">
        <f t="shared" si="223"/>
        <v>3.0000000000000001E-3</v>
      </c>
      <c r="V204" s="23">
        <f t="shared" si="223"/>
        <v>3.0999999999999999E-3</v>
      </c>
      <c r="W204" s="23">
        <f t="shared" si="223"/>
        <v>3.1999999999999997E-3</v>
      </c>
      <c r="X204" s="23">
        <f t="shared" si="223"/>
        <v>3.2999999999999995E-3</v>
      </c>
      <c r="Y204" s="23">
        <f t="shared" si="223"/>
        <v>3.3999999999999994E-3</v>
      </c>
      <c r="Z204" s="23">
        <f t="shared" si="223"/>
        <v>3.4999999999999992E-3</v>
      </c>
      <c r="AA204" s="23">
        <f t="shared" si="223"/>
        <v>3.4999999999999992E-3</v>
      </c>
      <c r="AB204" s="23">
        <f t="shared" si="223"/>
        <v>3.4999999999999992E-3</v>
      </c>
    </row>
    <row r="205" spans="2:32" hidden="1" outlineLevel="1" x14ac:dyDescent="0.35">
      <c r="B205" s="18" t="s">
        <v>296</v>
      </c>
      <c r="C205" s="19"/>
      <c r="D205" s="19"/>
      <c r="E205" s="19"/>
      <c r="F205" s="24">
        <f>+'Historical Detailed'!G81</f>
        <v>1.2733260153677277E-2</v>
      </c>
      <c r="G205" s="24">
        <f>+'Historical Detailed'!H81</f>
        <v>5.5965758022194527E-3</v>
      </c>
      <c r="H205" s="24">
        <f>+'Historical Detailed'!I81</f>
        <v>6.2983255671053302E-3</v>
      </c>
      <c r="I205" s="24">
        <f>+'Historical Detailed'!J81</f>
        <v>7.3003305124759374E-3</v>
      </c>
      <c r="J205" s="24">
        <f>+'Historical Detailed'!K81</f>
        <v>8.8682768814111364E-3</v>
      </c>
      <c r="K205" s="25">
        <f t="shared" ref="K205:Q205" si="224">+K199/AVERAGE(J60:K60)</f>
        <v>9.5556080844331689E-3</v>
      </c>
      <c r="L205" s="25">
        <f t="shared" si="224"/>
        <v>1.2044392343252126E-2</v>
      </c>
      <c r="M205" s="25">
        <f t="shared" si="224"/>
        <v>1.4618163139196142E-2</v>
      </c>
      <c r="N205" s="25">
        <f t="shared" si="224"/>
        <v>1.3319163771782385E-2</v>
      </c>
      <c r="O205" s="25">
        <f t="shared" si="224"/>
        <v>1.2978044332350972E-2</v>
      </c>
      <c r="P205" s="25">
        <f t="shared" si="224"/>
        <v>9.7877649536527965E-3</v>
      </c>
      <c r="Q205" s="25">
        <f t="shared" si="224"/>
        <v>3.1703832566660497E-3</v>
      </c>
      <c r="R205" s="23">
        <f t="shared" ref="R205:AB205" si="225">+R12</f>
        <v>0.01</v>
      </c>
      <c r="S205" s="23">
        <f t="shared" si="225"/>
        <v>3.2500000000000001E-2</v>
      </c>
      <c r="T205" s="23">
        <f t="shared" si="225"/>
        <v>3.2500000000000001E-2</v>
      </c>
      <c r="U205" s="23">
        <f t="shared" si="225"/>
        <v>1.9E-2</v>
      </c>
      <c r="V205" s="23">
        <f t="shared" si="225"/>
        <v>1.7500000000000002E-2</v>
      </c>
      <c r="W205" s="23">
        <f t="shared" si="225"/>
        <v>1.7500000000000002E-2</v>
      </c>
      <c r="X205" s="23">
        <f t="shared" si="225"/>
        <v>1.7500000000000002E-2</v>
      </c>
      <c r="Y205" s="23">
        <f t="shared" si="225"/>
        <v>1.7500000000000002E-2</v>
      </c>
      <c r="Z205" s="23">
        <f t="shared" si="225"/>
        <v>1.7500000000000002E-2</v>
      </c>
      <c r="AA205" s="23">
        <f t="shared" si="225"/>
        <v>1.7500000000000002E-2</v>
      </c>
      <c r="AB205" s="23">
        <f t="shared" si="225"/>
        <v>1.7500000000000002E-2</v>
      </c>
    </row>
    <row r="206" spans="2:32" hidden="1" outlineLevel="1" x14ac:dyDescent="0.35">
      <c r="B206" s="18"/>
      <c r="C206" s="19"/>
      <c r="D206" s="19"/>
      <c r="E206" s="19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</row>
    <row r="207" spans="2:32" hidden="1" outlineLevel="1" x14ac:dyDescent="0.35"/>
    <row r="208" spans="2:32" hidden="1" outlineLevel="1" x14ac:dyDescent="0.35">
      <c r="B208" s="18" t="s">
        <v>288</v>
      </c>
      <c r="C208" s="18"/>
      <c r="D208" s="19">
        <f t="shared" ref="D208:P208" si="226">+C212</f>
        <v>2755</v>
      </c>
      <c r="E208" s="19">
        <f t="shared" si="226"/>
        <v>3433</v>
      </c>
      <c r="F208" s="19">
        <f t="shared" si="226"/>
        <v>2445</v>
      </c>
      <c r="G208" s="19">
        <f t="shared" si="226"/>
        <v>1873</v>
      </c>
      <c r="H208" s="19">
        <f t="shared" si="226"/>
        <v>1503</v>
      </c>
      <c r="I208" s="19">
        <f t="shared" si="226"/>
        <v>1170</v>
      </c>
      <c r="J208" s="19">
        <f t="shared" si="226"/>
        <v>1208</v>
      </c>
      <c r="K208" s="19">
        <f t="shared" si="226"/>
        <v>977</v>
      </c>
      <c r="L208" s="19">
        <f t="shared" si="226"/>
        <v>1054</v>
      </c>
      <c r="M208" s="19">
        <f t="shared" si="226"/>
        <v>1144</v>
      </c>
      <c r="N208" s="19">
        <f t="shared" si="226"/>
        <v>1276</v>
      </c>
      <c r="O208" s="19">
        <f t="shared" si="226"/>
        <v>1242</v>
      </c>
      <c r="P208" s="19">
        <f t="shared" si="226"/>
        <v>1263</v>
      </c>
      <c r="Q208" s="19">
        <f>+P212</f>
        <v>3283</v>
      </c>
      <c r="R208" s="19">
        <f>+Q212</f>
        <v>3267</v>
      </c>
      <c r="S208" s="19">
        <f t="shared" ref="S208:AB208" si="227">+R212</f>
        <v>3743.4393962945278</v>
      </c>
      <c r="T208" s="19">
        <f t="shared" si="227"/>
        <v>3331.1342641274819</v>
      </c>
      <c r="U208" s="19">
        <f t="shared" si="227"/>
        <v>3128.5558340511229</v>
      </c>
      <c r="V208" s="19">
        <f t="shared" si="227"/>
        <v>3275.6601577446872</v>
      </c>
      <c r="W208" s="19">
        <f t="shared" si="227"/>
        <v>3443.5481958073347</v>
      </c>
      <c r="X208" s="19">
        <f t="shared" si="227"/>
        <v>3550.9235364120032</v>
      </c>
      <c r="Y208" s="19">
        <f t="shared" si="227"/>
        <v>3633.8682358771384</v>
      </c>
      <c r="Z208" s="19">
        <f t="shared" si="227"/>
        <v>3717.3828065066127</v>
      </c>
      <c r="AA208" s="19">
        <f t="shared" si="227"/>
        <v>3803.0824628641094</v>
      </c>
      <c r="AB208" s="19">
        <f t="shared" si="227"/>
        <v>3889.4936436889125</v>
      </c>
      <c r="AD208" s="12"/>
      <c r="AE208" s="12"/>
      <c r="AF208" s="12"/>
    </row>
    <row r="209" spans="2:28" hidden="1" outlineLevel="1" x14ac:dyDescent="0.35">
      <c r="B209" s="2" t="s">
        <v>290</v>
      </c>
      <c r="D209" s="6">
        <f t="shared" ref="D209:P209" si="228">+D197</f>
        <v>3410</v>
      </c>
      <c r="E209" s="6">
        <f t="shared" si="228"/>
        <v>5603</v>
      </c>
      <c r="F209" s="6">
        <f t="shared" si="228"/>
        <v>357</v>
      </c>
      <c r="G209" s="6">
        <f t="shared" si="228"/>
        <v>161</v>
      </c>
      <c r="H209" s="6">
        <f t="shared" si="228"/>
        <v>329</v>
      </c>
      <c r="I209" s="6">
        <f t="shared" si="228"/>
        <v>501</v>
      </c>
      <c r="J209" s="6">
        <f t="shared" si="228"/>
        <v>457</v>
      </c>
      <c r="K209" s="6">
        <f t="shared" si="228"/>
        <v>707</v>
      </c>
      <c r="L209" s="6">
        <f t="shared" si="228"/>
        <v>917</v>
      </c>
      <c r="M209" s="6">
        <f t="shared" si="228"/>
        <v>1148</v>
      </c>
      <c r="N209" s="6">
        <f t="shared" si="228"/>
        <v>918</v>
      </c>
      <c r="O209" s="6">
        <f t="shared" si="228"/>
        <v>998</v>
      </c>
      <c r="P209" s="6">
        <f t="shared" si="228"/>
        <v>1439</v>
      </c>
      <c r="Q209" s="6">
        <f>+Q197</f>
        <v>241</v>
      </c>
      <c r="R209" s="35">
        <f>+R212-SUM(R210:R211,R208)</f>
        <v>1402.744469217223</v>
      </c>
      <c r="S209" s="35">
        <f t="shared" ref="S209:AB209" si="229">+S212-SUM(S210:S211,S208)</f>
        <v>2514.8098761845977</v>
      </c>
      <c r="T209" s="35">
        <f t="shared" si="229"/>
        <v>2629.0937764526839</v>
      </c>
      <c r="U209" s="35">
        <f t="shared" si="229"/>
        <v>1818.4724339347988</v>
      </c>
      <c r="V209" s="35">
        <f t="shared" si="229"/>
        <v>1797.0880939408814</v>
      </c>
      <c r="W209" s="35">
        <f t="shared" si="229"/>
        <v>1807.117219216125</v>
      </c>
      <c r="X209" s="35">
        <f t="shared" si="229"/>
        <v>1835.2372777435139</v>
      </c>
      <c r="Y209" s="35">
        <f t="shared" si="229"/>
        <v>1882.5020557447046</v>
      </c>
      <c r="Z209" s="35">
        <f t="shared" si="229"/>
        <v>1932.6009525747213</v>
      </c>
      <c r="AA209" s="35">
        <f t="shared" si="229"/>
        <v>1974.0482710304768</v>
      </c>
      <c r="AB209" s="35">
        <f t="shared" si="229"/>
        <v>2017.7077474378796</v>
      </c>
    </row>
    <row r="210" spans="2:28" hidden="1" outlineLevel="1" x14ac:dyDescent="0.35">
      <c r="B210" s="2" t="s">
        <v>291</v>
      </c>
      <c r="D210" s="7">
        <f t="shared" ref="D210:O210" si="230">-D202</f>
        <v>0</v>
      </c>
      <c r="E210" s="7">
        <f t="shared" si="230"/>
        <v>0</v>
      </c>
      <c r="F210" s="7">
        <f t="shared" si="230"/>
        <v>-580</v>
      </c>
      <c r="G210" s="7">
        <f t="shared" si="230"/>
        <v>-553</v>
      </c>
      <c r="H210" s="7">
        <f t="shared" si="230"/>
        <v>-344</v>
      </c>
      <c r="I210" s="7">
        <f t="shared" si="230"/>
        <v>-472</v>
      </c>
      <c r="J210" s="7">
        <f t="shared" si="230"/>
        <v>-537</v>
      </c>
      <c r="K210" s="7">
        <f t="shared" si="230"/>
        <v>-609</v>
      </c>
      <c r="L210" s="7">
        <f t="shared" si="230"/>
        <v>-801</v>
      </c>
      <c r="M210" s="7">
        <f t="shared" si="230"/>
        <v>-1010</v>
      </c>
      <c r="N210" s="7">
        <f t="shared" si="230"/>
        <v>-945</v>
      </c>
      <c r="O210" s="7">
        <f t="shared" si="230"/>
        <v>-976</v>
      </c>
      <c r="P210" s="7">
        <f t="shared" ref="P210" si="231">-P202</f>
        <v>-764</v>
      </c>
      <c r="Q210" s="7">
        <f>-Q202</f>
        <v>-269</v>
      </c>
      <c r="R210" s="7">
        <f>-R202</f>
        <v>-926.3050729226951</v>
      </c>
      <c r="S210" s="7">
        <f t="shared" ref="S210:AB210" si="232">-S202</f>
        <v>-2927.1150083516436</v>
      </c>
      <c r="T210" s="7">
        <f t="shared" si="232"/>
        <v>-2831.6722065290428</v>
      </c>
      <c r="U210" s="7">
        <f t="shared" si="232"/>
        <v>-1671.3681102412345</v>
      </c>
      <c r="V210" s="7">
        <f t="shared" si="232"/>
        <v>-1629.200055878234</v>
      </c>
      <c r="W210" s="7">
        <f t="shared" si="232"/>
        <v>-1699.7418786114565</v>
      </c>
      <c r="X210" s="7">
        <f t="shared" si="232"/>
        <v>-1752.2925782783786</v>
      </c>
      <c r="Y210" s="7">
        <f t="shared" si="232"/>
        <v>-1798.9874851152304</v>
      </c>
      <c r="Z210" s="7">
        <f t="shared" si="232"/>
        <v>-1846.9012962172246</v>
      </c>
      <c r="AA210" s="7">
        <f t="shared" si="232"/>
        <v>-1887.6370902056738</v>
      </c>
      <c r="AB210" s="7">
        <f t="shared" si="232"/>
        <v>-1929.0950026236776</v>
      </c>
    </row>
    <row r="211" spans="2:28" hidden="1" outlineLevel="1" x14ac:dyDescent="0.35">
      <c r="B211" s="2" t="s">
        <v>12</v>
      </c>
      <c r="D211" s="6">
        <f t="shared" ref="D211:Q211" si="233">+D212-SUM(D208:D210)</f>
        <v>-2732</v>
      </c>
      <c r="E211" s="6">
        <f t="shared" si="233"/>
        <v>-6591</v>
      </c>
      <c r="F211" s="6">
        <f t="shared" si="233"/>
        <v>-349</v>
      </c>
      <c r="G211" s="6">
        <f t="shared" si="233"/>
        <v>22</v>
      </c>
      <c r="H211" s="6">
        <f t="shared" si="233"/>
        <v>-318</v>
      </c>
      <c r="I211" s="6">
        <f t="shared" si="233"/>
        <v>9</v>
      </c>
      <c r="J211" s="6">
        <f t="shared" si="233"/>
        <v>-151</v>
      </c>
      <c r="K211" s="6">
        <f t="shared" si="233"/>
        <v>-21</v>
      </c>
      <c r="L211" s="6">
        <f t="shared" si="233"/>
        <v>-26</v>
      </c>
      <c r="M211" s="6">
        <f t="shared" si="233"/>
        <v>-6</v>
      </c>
      <c r="N211" s="6">
        <f t="shared" si="233"/>
        <v>-7</v>
      </c>
      <c r="O211" s="6">
        <f t="shared" si="233"/>
        <v>-1</v>
      </c>
      <c r="P211" s="6">
        <f t="shared" si="233"/>
        <v>1345</v>
      </c>
      <c r="Q211" s="6">
        <f t="shared" si="233"/>
        <v>12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</row>
    <row r="212" spans="2:28" hidden="1" outlineLevel="1" x14ac:dyDescent="0.35">
      <c r="B212" s="3" t="s">
        <v>289</v>
      </c>
      <c r="C212" s="4">
        <f t="shared" ref="C212:Q212" si="234">-C74</f>
        <v>2755</v>
      </c>
      <c r="D212" s="4">
        <f t="shared" si="234"/>
        <v>3433</v>
      </c>
      <c r="E212" s="4">
        <f t="shared" si="234"/>
        <v>2445</v>
      </c>
      <c r="F212" s="4">
        <f t="shared" si="234"/>
        <v>1873</v>
      </c>
      <c r="G212" s="4">
        <f t="shared" si="234"/>
        <v>1503</v>
      </c>
      <c r="H212" s="4">
        <f t="shared" si="234"/>
        <v>1170</v>
      </c>
      <c r="I212" s="4">
        <f t="shared" si="234"/>
        <v>1208</v>
      </c>
      <c r="J212" s="4">
        <f t="shared" si="234"/>
        <v>977</v>
      </c>
      <c r="K212" s="4">
        <f t="shared" si="234"/>
        <v>1054</v>
      </c>
      <c r="L212" s="4">
        <f t="shared" si="234"/>
        <v>1144</v>
      </c>
      <c r="M212" s="4">
        <f t="shared" si="234"/>
        <v>1276</v>
      </c>
      <c r="N212" s="4">
        <f t="shared" si="234"/>
        <v>1242</v>
      </c>
      <c r="O212" s="4">
        <f t="shared" si="234"/>
        <v>1263</v>
      </c>
      <c r="P212" s="4">
        <f t="shared" si="234"/>
        <v>3283</v>
      </c>
      <c r="Q212" s="4">
        <f t="shared" si="234"/>
        <v>3267</v>
      </c>
      <c r="R212" s="38">
        <f>SUM(R213:R214)</f>
        <v>3743.4393962945278</v>
      </c>
      <c r="S212" s="38">
        <f t="shared" ref="S212:AB212" si="235">SUM(S213:S214)</f>
        <v>3331.1342641274819</v>
      </c>
      <c r="T212" s="38">
        <f t="shared" si="235"/>
        <v>3128.5558340511229</v>
      </c>
      <c r="U212" s="38">
        <f t="shared" si="235"/>
        <v>3275.6601577446872</v>
      </c>
      <c r="V212" s="38">
        <f t="shared" si="235"/>
        <v>3443.5481958073347</v>
      </c>
      <c r="W212" s="38">
        <f t="shared" si="235"/>
        <v>3550.9235364120032</v>
      </c>
      <c r="X212" s="38">
        <f t="shared" si="235"/>
        <v>3633.8682358771384</v>
      </c>
      <c r="Y212" s="38">
        <f t="shared" si="235"/>
        <v>3717.3828065066127</v>
      </c>
      <c r="Z212" s="38">
        <f t="shared" si="235"/>
        <v>3803.0824628641094</v>
      </c>
      <c r="AA212" s="38">
        <f t="shared" si="235"/>
        <v>3889.4936436889125</v>
      </c>
      <c r="AB212" s="38">
        <f t="shared" si="235"/>
        <v>3978.1063885031144</v>
      </c>
    </row>
    <row r="213" spans="2:28" hidden="1" outlineLevel="1" x14ac:dyDescent="0.35">
      <c r="B213" s="2" t="s">
        <v>294</v>
      </c>
      <c r="C213" s="6"/>
      <c r="D213" s="6"/>
      <c r="E213" s="6">
        <f t="shared" ref="E213:P213" si="236">+E212-E214</f>
        <v>1421</v>
      </c>
      <c r="F213" s="6">
        <f t="shared" si="236"/>
        <v>903</v>
      </c>
      <c r="G213" s="6">
        <f t="shared" si="236"/>
        <v>737</v>
      </c>
      <c r="H213" s="6">
        <f t="shared" si="236"/>
        <v>595</v>
      </c>
      <c r="I213" s="6">
        <f t="shared" si="236"/>
        <v>535</v>
      </c>
      <c r="J213" s="6">
        <f t="shared" si="236"/>
        <v>292</v>
      </c>
      <c r="K213" s="6">
        <f t="shared" si="236"/>
        <v>220</v>
      </c>
      <c r="L213" s="6">
        <f t="shared" si="236"/>
        <v>212</v>
      </c>
      <c r="M213" s="6">
        <f t="shared" si="236"/>
        <v>210</v>
      </c>
      <c r="N213" s="6">
        <f t="shared" si="236"/>
        <v>194</v>
      </c>
      <c r="O213" s="6">
        <f t="shared" si="236"/>
        <v>188</v>
      </c>
      <c r="P213" s="6">
        <f t="shared" si="236"/>
        <v>381</v>
      </c>
      <c r="Q213" s="6">
        <f>+Q212-Q214</f>
        <v>498</v>
      </c>
      <c r="R213" s="35">
        <f t="shared" ref="R213:AB213" si="237">+R215*(R67-R60)</f>
        <v>537.24787591404868</v>
      </c>
      <c r="S213" s="35">
        <f t="shared" si="237"/>
        <v>525.71668379456287</v>
      </c>
      <c r="T213" s="35">
        <f t="shared" si="237"/>
        <v>589.2521499097835</v>
      </c>
      <c r="U213" s="35">
        <f t="shared" si="237"/>
        <v>660.17736307910752</v>
      </c>
      <c r="V213" s="35">
        <f t="shared" si="237"/>
        <v>723.44608935513213</v>
      </c>
      <c r="W213" s="35">
        <f t="shared" si="237"/>
        <v>749.21836676623502</v>
      </c>
      <c r="X213" s="35">
        <f t="shared" si="237"/>
        <v>776.12896283845453</v>
      </c>
      <c r="Y213" s="35">
        <f t="shared" si="237"/>
        <v>802.48874800715555</v>
      </c>
      <c r="Z213" s="35">
        <f t="shared" si="237"/>
        <v>829.89052319466259</v>
      </c>
      <c r="AA213" s="35">
        <f t="shared" si="237"/>
        <v>856.83786522607716</v>
      </c>
      <c r="AB213" s="35">
        <f t="shared" si="237"/>
        <v>884.79749447102279</v>
      </c>
    </row>
    <row r="214" spans="2:28" hidden="1" outlineLevel="1" x14ac:dyDescent="0.35">
      <c r="B214" s="2" t="s">
        <v>299</v>
      </c>
      <c r="C214" s="6"/>
      <c r="D214" s="6"/>
      <c r="E214" s="6">
        <f>+'Historical Detailed'!F75</f>
        <v>1024</v>
      </c>
      <c r="F214" s="6">
        <f>+'Historical Detailed'!G75</f>
        <v>970</v>
      </c>
      <c r="G214" s="6">
        <f>+'Historical Detailed'!H75</f>
        <v>766</v>
      </c>
      <c r="H214" s="6">
        <f>+'Historical Detailed'!I75</f>
        <v>575</v>
      </c>
      <c r="I214" s="6">
        <f>+'Historical Detailed'!J75</f>
        <v>673</v>
      </c>
      <c r="J214" s="6">
        <f>+'Historical Detailed'!K75</f>
        <v>685</v>
      </c>
      <c r="K214" s="6">
        <f>+'Historical Detailed'!L75</f>
        <v>834</v>
      </c>
      <c r="L214" s="6">
        <f>+'Historical Detailed'!M75</f>
        <v>932</v>
      </c>
      <c r="M214" s="6">
        <f>+'Historical Detailed'!N75</f>
        <v>1066</v>
      </c>
      <c r="N214" s="6">
        <f>+'Historical Detailed'!O75</f>
        <v>1048</v>
      </c>
      <c r="O214" s="6">
        <f>+'Historical Detailed'!P75</f>
        <v>1075</v>
      </c>
      <c r="P214" s="6">
        <f>+'Historical Detailed'!Q75</f>
        <v>2902</v>
      </c>
      <c r="Q214" s="6">
        <f>+'Historical Detailed'!R75</f>
        <v>2769</v>
      </c>
      <c r="R214" s="35">
        <f t="shared" ref="R214:AB214" si="238">+R216*R60</f>
        <v>3206.1915203804792</v>
      </c>
      <c r="S214" s="35">
        <f t="shared" si="238"/>
        <v>2805.417580332919</v>
      </c>
      <c r="T214" s="35">
        <f t="shared" si="238"/>
        <v>2539.3036841413395</v>
      </c>
      <c r="U214" s="35">
        <f t="shared" si="238"/>
        <v>2615.4827946655796</v>
      </c>
      <c r="V214" s="35">
        <f t="shared" si="238"/>
        <v>2720.1021064522024</v>
      </c>
      <c r="W214" s="35">
        <f t="shared" si="238"/>
        <v>2801.7051696457684</v>
      </c>
      <c r="X214" s="35">
        <f t="shared" si="238"/>
        <v>2857.7392730386837</v>
      </c>
      <c r="Y214" s="35">
        <f t="shared" si="238"/>
        <v>2914.8940584994571</v>
      </c>
      <c r="Z214" s="35">
        <f t="shared" si="238"/>
        <v>2973.1919396694466</v>
      </c>
      <c r="AA214" s="35">
        <f t="shared" si="238"/>
        <v>3032.6557784628353</v>
      </c>
      <c r="AB214" s="35">
        <f t="shared" si="238"/>
        <v>3093.3088940320918</v>
      </c>
    </row>
    <row r="215" spans="2:28" hidden="1" outlineLevel="1" x14ac:dyDescent="0.35">
      <c r="B215" s="2" t="s">
        <v>297</v>
      </c>
      <c r="E215" s="12"/>
      <c r="F215" s="12">
        <f t="shared" ref="F215:Q215" si="239">+F213/(F67-F60)</f>
        <v>1.7650853222306924E-2</v>
      </c>
      <c r="G215" s="12">
        <f t="shared" si="239"/>
        <v>1.4367592014971928E-2</v>
      </c>
      <c r="H215" s="12">
        <f t="shared" si="239"/>
        <v>1.3123070136744597E-2</v>
      </c>
      <c r="I215" s="12">
        <f t="shared" si="239"/>
        <v>1.2183735282730979E-2</v>
      </c>
      <c r="J215" s="12">
        <f t="shared" si="239"/>
        <v>6.7315228917884645E-3</v>
      </c>
      <c r="K215" s="12">
        <f t="shared" si="239"/>
        <v>4.6616173452558897E-3</v>
      </c>
      <c r="L215" s="12">
        <f t="shared" si="239"/>
        <v>4.1294594903049245E-3</v>
      </c>
      <c r="M215" s="12">
        <f t="shared" si="239"/>
        <v>3.7771216138797852E-3</v>
      </c>
      <c r="N215" s="12">
        <f t="shared" si="239"/>
        <v>3.3434913505110851E-3</v>
      </c>
      <c r="O215" s="12">
        <f t="shared" si="239"/>
        <v>3.3089942722818429E-3</v>
      </c>
      <c r="P215" s="12">
        <f t="shared" si="239"/>
        <v>8.1925333473059549E-3</v>
      </c>
      <c r="Q215" s="12">
        <f t="shared" si="239"/>
        <v>1.1119173719023876E-2</v>
      </c>
      <c r="R215" s="31">
        <v>1.0999999999999999E-2</v>
      </c>
      <c r="S215" s="31">
        <v>0.01</v>
      </c>
      <c r="T215" s="31">
        <v>0.01</v>
      </c>
      <c r="U215" s="31">
        <v>0.01</v>
      </c>
      <c r="V215" s="31">
        <v>0.01</v>
      </c>
      <c r="W215" s="31">
        <v>0.01</v>
      </c>
      <c r="X215" s="31">
        <v>0.01</v>
      </c>
      <c r="Y215" s="31">
        <v>0.01</v>
      </c>
      <c r="Z215" s="31">
        <v>0.01</v>
      </c>
      <c r="AA215" s="31">
        <v>0.01</v>
      </c>
      <c r="AB215" s="31">
        <v>0.01</v>
      </c>
    </row>
    <row r="216" spans="2:28" hidden="1" outlineLevel="1" x14ac:dyDescent="0.35">
      <c r="B216" s="61" t="s">
        <v>298</v>
      </c>
      <c r="C216" s="18"/>
      <c r="D216" s="18"/>
      <c r="E216" s="24"/>
      <c r="F216" s="25">
        <f>+'Historical Detailed'!G87</f>
        <v>1.9E-2</v>
      </c>
      <c r="G216" s="25">
        <f>+'Historical Detailed'!H87</f>
        <v>1.2E-2</v>
      </c>
      <c r="H216" s="25">
        <f>+'Historical Detailed'!I87</f>
        <v>1.0999999999999999E-2</v>
      </c>
      <c r="I216" s="25">
        <f>+'Historical Detailed'!J87</f>
        <v>1.2E-2</v>
      </c>
      <c r="J216" s="25">
        <f>+'Historical Detailed'!K87</f>
        <v>1.2E-2</v>
      </c>
      <c r="K216" s="25">
        <f>+'Historical Detailed'!L87</f>
        <v>1.2999999999999999E-2</v>
      </c>
      <c r="L216" s="25">
        <f>+'Historical Detailed'!M87</f>
        <v>1.4E-2</v>
      </c>
      <c r="M216" s="25">
        <f>+'Historical Detailed'!N87</f>
        <v>1.6E-2</v>
      </c>
      <c r="N216" s="25">
        <f>+'Historical Detailed'!O87</f>
        <v>1.4999999999999999E-2</v>
      </c>
      <c r="O216" s="25">
        <f>+'Historical Detailed'!P87</f>
        <v>1.4999999999999999E-2</v>
      </c>
      <c r="P216" s="25">
        <f>+'Historical Detailed'!Q87</f>
        <v>3.9E-2</v>
      </c>
      <c r="Q216" s="25">
        <f>+'Historical Detailed'!R87</f>
        <v>3.5000000000000003E-2</v>
      </c>
      <c r="R216" s="24">
        <f>+R217+R218</f>
        <v>3.8000000000000006E-2</v>
      </c>
      <c r="S216" s="24">
        <f t="shared" ref="S216:AB216" si="240">+S217+S218</f>
        <v>3.5000000000000003E-2</v>
      </c>
      <c r="T216" s="24">
        <f t="shared" si="240"/>
        <v>3.3000000000000002E-2</v>
      </c>
      <c r="U216" s="24">
        <f t="shared" si="240"/>
        <v>3.3000000000000002E-2</v>
      </c>
      <c r="V216" s="24">
        <f t="shared" si="240"/>
        <v>3.3000000000000002E-2</v>
      </c>
      <c r="W216" s="24">
        <f t="shared" si="240"/>
        <v>3.3000000000000002E-2</v>
      </c>
      <c r="X216" s="24">
        <f t="shared" si="240"/>
        <v>3.3000000000000002E-2</v>
      </c>
      <c r="Y216" s="24">
        <f t="shared" si="240"/>
        <v>3.3000000000000002E-2</v>
      </c>
      <c r="Z216" s="24">
        <f t="shared" si="240"/>
        <v>3.3000000000000002E-2</v>
      </c>
      <c r="AA216" s="24">
        <f t="shared" si="240"/>
        <v>3.3000000000000002E-2</v>
      </c>
      <c r="AB216" s="24">
        <f t="shared" si="240"/>
        <v>3.3000000000000002E-2</v>
      </c>
    </row>
    <row r="217" spans="2:28" hidden="1" outlineLevel="1" x14ac:dyDescent="0.35">
      <c r="B217" s="2" t="s">
        <v>303</v>
      </c>
      <c r="E217" s="23"/>
      <c r="F217" s="12">
        <f>+'Historical Detailed'!G88</f>
        <v>0</v>
      </c>
      <c r="G217" s="12">
        <f>+'Historical Detailed'!H88</f>
        <v>0</v>
      </c>
      <c r="H217" s="12">
        <f>+'Historical Detailed'!I88</f>
        <v>0</v>
      </c>
      <c r="I217" s="12">
        <f>+'Historical Detailed'!J88</f>
        <v>0</v>
      </c>
      <c r="J217" s="12">
        <f>+'Historical Detailed'!K88</f>
        <v>0</v>
      </c>
      <c r="K217" s="12">
        <f>+'Historical Detailed'!L88</f>
        <v>0</v>
      </c>
      <c r="L217" s="12">
        <f>+'Historical Detailed'!M88</f>
        <v>0</v>
      </c>
      <c r="M217" s="12">
        <f>+'Historical Detailed'!N88</f>
        <v>0</v>
      </c>
      <c r="N217" s="12">
        <f>+'Historical Detailed'!O88</f>
        <v>0</v>
      </c>
      <c r="O217" s="12">
        <f>+'Historical Detailed'!P88</f>
        <v>0</v>
      </c>
      <c r="P217" s="12">
        <f>+'Historical Detailed'!Q88</f>
        <v>1.8006474237928245E-2</v>
      </c>
      <c r="Q217" s="12">
        <f>+'Historical Detailed'!R88</f>
        <v>1.7332260074781888E-2</v>
      </c>
      <c r="R217" s="31">
        <v>1.7000000000000001E-2</v>
      </c>
      <c r="S217" s="31">
        <v>1.7000000000000001E-2</v>
      </c>
      <c r="T217" s="31">
        <v>1.7000000000000001E-2</v>
      </c>
      <c r="U217" s="31">
        <v>1.7000000000000001E-2</v>
      </c>
      <c r="V217" s="31">
        <v>1.7000000000000001E-2</v>
      </c>
      <c r="W217" s="31">
        <v>1.7000000000000001E-2</v>
      </c>
      <c r="X217" s="31">
        <v>1.7000000000000001E-2</v>
      </c>
      <c r="Y217" s="31">
        <v>1.7000000000000001E-2</v>
      </c>
      <c r="Z217" s="31">
        <v>1.7000000000000001E-2</v>
      </c>
      <c r="AA217" s="31">
        <v>1.7000000000000001E-2</v>
      </c>
      <c r="AB217" s="31">
        <v>1.7000000000000001E-2</v>
      </c>
    </row>
    <row r="218" spans="2:28" hidden="1" outlineLevel="1" x14ac:dyDescent="0.35">
      <c r="B218" s="2" t="s">
        <v>302</v>
      </c>
      <c r="F218" s="12">
        <f t="shared" ref="F218:P218" si="241">+F216-F217</f>
        <v>1.9E-2</v>
      </c>
      <c r="G218" s="12">
        <f t="shared" si="241"/>
        <v>1.2E-2</v>
      </c>
      <c r="H218" s="12">
        <f t="shared" si="241"/>
        <v>1.0999999999999999E-2</v>
      </c>
      <c r="I218" s="12">
        <f t="shared" si="241"/>
        <v>1.2E-2</v>
      </c>
      <c r="J218" s="12">
        <f t="shared" si="241"/>
        <v>1.2E-2</v>
      </c>
      <c r="K218" s="12">
        <f t="shared" si="241"/>
        <v>1.2999999999999999E-2</v>
      </c>
      <c r="L218" s="12">
        <f t="shared" si="241"/>
        <v>1.4E-2</v>
      </c>
      <c r="M218" s="12">
        <f t="shared" si="241"/>
        <v>1.6E-2</v>
      </c>
      <c r="N218" s="12">
        <f t="shared" si="241"/>
        <v>1.4999999999999999E-2</v>
      </c>
      <c r="O218" s="12">
        <f t="shared" si="241"/>
        <v>1.4999999999999999E-2</v>
      </c>
      <c r="P218" s="12">
        <f t="shared" si="241"/>
        <v>2.0993525762071755E-2</v>
      </c>
      <c r="Q218" s="12">
        <f>+Q216-Q217</f>
        <v>1.7667739925218116E-2</v>
      </c>
      <c r="R218" s="31">
        <v>2.1000000000000001E-2</v>
      </c>
      <c r="S218" s="31">
        <v>1.7999999999999999E-2</v>
      </c>
      <c r="T218" s="31">
        <v>1.6E-2</v>
      </c>
      <c r="U218" s="31">
        <v>1.6E-2</v>
      </c>
      <c r="V218" s="31">
        <v>1.6E-2</v>
      </c>
      <c r="W218" s="31">
        <v>1.6E-2</v>
      </c>
      <c r="X218" s="31">
        <v>1.6E-2</v>
      </c>
      <c r="Y218" s="31">
        <v>1.6E-2</v>
      </c>
      <c r="Z218" s="31">
        <v>1.6E-2</v>
      </c>
      <c r="AA218" s="31">
        <v>1.6E-2</v>
      </c>
      <c r="AB218" s="31">
        <v>1.6E-2</v>
      </c>
    </row>
    <row r="219" spans="2:28" hidden="1" outlineLevel="1" x14ac:dyDescent="0.35"/>
    <row r="220" spans="2:28" collapsed="1" x14ac:dyDescent="0.35">
      <c r="B220" s="53" t="s">
        <v>335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</row>
    <row r="221" spans="2:28" ht="5.15" customHeight="1" x14ac:dyDescent="0.35"/>
    <row r="222" spans="2:28" hidden="1" outlineLevel="1" x14ac:dyDescent="0.35">
      <c r="B222" s="2" t="s">
        <v>17</v>
      </c>
      <c r="D222" s="6"/>
      <c r="E222" s="6"/>
      <c r="F222" s="6">
        <f>+'Historical Detailed'!G242</f>
        <v>1371</v>
      </c>
      <c r="G222" s="6">
        <f>+'Historical Detailed'!H242</f>
        <v>1153</v>
      </c>
      <c r="H222" s="6">
        <f>+'Historical Detailed'!I242</f>
        <v>1055</v>
      </c>
      <c r="I222" s="6">
        <f>+'Historical Detailed'!J242</f>
        <v>1012</v>
      </c>
      <c r="J222" s="6">
        <f>+'Historical Detailed'!K242</f>
        <v>979</v>
      </c>
      <c r="K222" s="6">
        <f>+'Historical Detailed'!L242</f>
        <v>940</v>
      </c>
      <c r="L222" s="6">
        <f>+'Historical Detailed'!M242</f>
        <v>945</v>
      </c>
      <c r="M222" s="6">
        <f>+'Historical Detailed'!N242</f>
        <v>973</v>
      </c>
      <c r="N222" s="6">
        <f>+'Historical Detailed'!O242</f>
        <v>1022</v>
      </c>
      <c r="O222" s="6">
        <f>+'Historical Detailed'!P242</f>
        <v>1087</v>
      </c>
      <c r="P222" s="6">
        <f>+'Historical Detailed'!Q242</f>
        <v>1103</v>
      </c>
      <c r="Q222" s="6">
        <f>+'Historical Detailed'!R242</f>
        <v>1117</v>
      </c>
      <c r="R222" s="35">
        <f>+R235*R237</f>
        <v>1079.9803016018454</v>
      </c>
      <c r="S222" s="35">
        <f t="shared" ref="S222:AB222" si="242">+S235*S237</f>
        <v>1066.0586805265093</v>
      </c>
      <c r="T222" s="35">
        <f t="shared" si="242"/>
        <v>1023.4163333054489</v>
      </c>
      <c r="U222" s="35">
        <f t="shared" si="242"/>
        <v>1054.1188233046125</v>
      </c>
      <c r="V222" s="35">
        <f t="shared" si="242"/>
        <v>1096.2835762367968</v>
      </c>
      <c r="W222" s="35">
        <f t="shared" si="242"/>
        <v>1129.1720835239007</v>
      </c>
      <c r="X222" s="35">
        <f t="shared" si="242"/>
        <v>1151.7555251943786</v>
      </c>
      <c r="Y222" s="35">
        <f t="shared" si="242"/>
        <v>1174.790635698266</v>
      </c>
      <c r="Z222" s="35">
        <f t="shared" si="242"/>
        <v>1198.2864484122317</v>
      </c>
      <c r="AA222" s="35">
        <f t="shared" si="242"/>
        <v>1222.2521773804763</v>
      </c>
      <c r="AB222" s="35">
        <f t="shared" si="242"/>
        <v>1246.6972209280855</v>
      </c>
    </row>
    <row r="223" spans="2:28" hidden="1" outlineLevel="1" x14ac:dyDescent="0.35">
      <c r="B223" s="2" t="s">
        <v>18</v>
      </c>
      <c r="F223" s="6">
        <f>+'Historical Detailed'!G243</f>
        <v>1239</v>
      </c>
      <c r="G223" s="6">
        <f>+'Historical Detailed'!H243</f>
        <v>229</v>
      </c>
      <c r="H223" s="6">
        <f>+'Historical Detailed'!I243</f>
        <v>379</v>
      </c>
      <c r="I223" s="6">
        <f>+'Historical Detailed'!J243</f>
        <v>55</v>
      </c>
      <c r="J223" s="6">
        <f>+'Historical Detailed'!K243</f>
        <v>7</v>
      </c>
      <c r="K223" s="6">
        <f>+'Historical Detailed'!L243</f>
        <v>45</v>
      </c>
      <c r="L223" s="6">
        <f>+'Historical Detailed'!M243</f>
        <v>11</v>
      </c>
      <c r="M223" s="6">
        <f>+'Historical Detailed'!N243</f>
        <v>68</v>
      </c>
      <c r="N223" s="6">
        <f>+'Historical Detailed'!O243</f>
        <v>25</v>
      </c>
      <c r="O223" s="6">
        <f>+'Historical Detailed'!P243</f>
        <v>28</v>
      </c>
      <c r="P223" s="6">
        <f>+'Historical Detailed'!Q243</f>
        <v>110</v>
      </c>
      <c r="Q223" s="6">
        <f>+'Historical Detailed'!R243</f>
        <v>87</v>
      </c>
      <c r="R223" s="35">
        <f t="shared" ref="R223:AB223" si="243">+R231*R64</f>
        <v>38.579200000000007</v>
      </c>
      <c r="S223" s="35">
        <f t="shared" si="243"/>
        <v>77.158400000000015</v>
      </c>
      <c r="T223" s="35">
        <f t="shared" si="243"/>
        <v>81.016320000000007</v>
      </c>
      <c r="U223" s="35">
        <f t="shared" si="243"/>
        <v>85.067136000000019</v>
      </c>
      <c r="V223" s="35">
        <f t="shared" si="243"/>
        <v>89.320492800000025</v>
      </c>
      <c r="W223" s="35">
        <f t="shared" si="243"/>
        <v>93.786517440000026</v>
      </c>
      <c r="X223" s="35">
        <f t="shared" si="243"/>
        <v>98.475843312000023</v>
      </c>
      <c r="Y223" s="35">
        <f t="shared" si="243"/>
        <v>103.39963547760004</v>
      </c>
      <c r="Z223" s="35">
        <f t="shared" si="243"/>
        <v>108.56961725148004</v>
      </c>
      <c r="AA223" s="35">
        <f t="shared" si="243"/>
        <v>113.99809811405406</v>
      </c>
      <c r="AB223" s="35">
        <f t="shared" si="243"/>
        <v>119.69800301975675</v>
      </c>
    </row>
    <row r="224" spans="2:28" hidden="1" outlineLevel="1" x14ac:dyDescent="0.35">
      <c r="B224" s="2" t="s">
        <v>42</v>
      </c>
      <c r="F224" s="6">
        <f>+'Historical Detailed'!G244</f>
        <v>-124</v>
      </c>
      <c r="G224" s="6">
        <f>+'Historical Detailed'!H244</f>
        <v>-64</v>
      </c>
      <c r="H224" s="6">
        <f>+'Historical Detailed'!I244</f>
        <v>-148</v>
      </c>
      <c r="I224" s="6">
        <f>+'Historical Detailed'!J244</f>
        <v>-59</v>
      </c>
      <c r="J224" s="6">
        <f>+'Historical Detailed'!K244</f>
        <v>-202</v>
      </c>
      <c r="K224" s="6">
        <f>+'Historical Detailed'!L244</f>
        <v>-357</v>
      </c>
      <c r="L224" s="6">
        <f>+'Historical Detailed'!M244</f>
        <v>0</v>
      </c>
      <c r="M224" s="6">
        <f>+'Historical Detailed'!N244</f>
        <v>0</v>
      </c>
      <c r="N224" s="6">
        <f>+'Historical Detailed'!O244</f>
        <v>-1</v>
      </c>
      <c r="O224" s="6">
        <f>+'Historical Detailed'!P244</f>
        <v>-2</v>
      </c>
      <c r="P224" s="6">
        <f>+'Historical Detailed'!Q244</f>
        <v>-102</v>
      </c>
      <c r="Q224" s="6">
        <f>+'Historical Detailed'!R244</f>
        <v>-136</v>
      </c>
      <c r="R224" s="42">
        <v>0</v>
      </c>
      <c r="S224" s="42">
        <v>0</v>
      </c>
      <c r="T224" s="42">
        <v>0</v>
      </c>
      <c r="U224" s="42">
        <v>0</v>
      </c>
      <c r="V224" s="42">
        <v>0</v>
      </c>
      <c r="W224" s="42">
        <v>0</v>
      </c>
      <c r="X224" s="42">
        <v>0</v>
      </c>
      <c r="Y224" s="42">
        <v>0</v>
      </c>
      <c r="Z224" s="42">
        <v>0</v>
      </c>
      <c r="AA224" s="42">
        <v>0</v>
      </c>
      <c r="AB224" s="42">
        <v>0</v>
      </c>
    </row>
    <row r="225" spans="2:32" hidden="1" outlineLevel="1" x14ac:dyDescent="0.35">
      <c r="B225" s="2" t="s">
        <v>19</v>
      </c>
      <c r="F225" s="6">
        <f>+'Historical Detailed'!G245</f>
        <v>502</v>
      </c>
      <c r="G225" s="6">
        <f>+'Historical Detailed'!H245</f>
        <v>258</v>
      </c>
      <c r="H225" s="6">
        <f>+'Historical Detailed'!I245</f>
        <v>146</v>
      </c>
      <c r="I225" s="6">
        <f>+'Historical Detailed'!J245</f>
        <v>180</v>
      </c>
      <c r="J225" s="6">
        <f>+'Historical Detailed'!K245</f>
        <v>181</v>
      </c>
      <c r="K225" s="6">
        <f>+'Historical Detailed'!L245</f>
        <v>155</v>
      </c>
      <c r="L225" s="6">
        <f>+'Historical Detailed'!M245</f>
        <v>185</v>
      </c>
      <c r="M225" s="6">
        <f>+'Historical Detailed'!N245</f>
        <v>102</v>
      </c>
      <c r="N225" s="6">
        <f>+'Historical Detailed'!O245</f>
        <v>-43</v>
      </c>
      <c r="O225" s="6">
        <f>+'Historical Detailed'!P245</f>
        <v>238</v>
      </c>
      <c r="P225" s="6">
        <f>+'Historical Detailed'!Q245</f>
        <v>308</v>
      </c>
      <c r="Q225" s="6">
        <f>+'Historical Detailed'!R245</f>
        <v>280</v>
      </c>
      <c r="R225" s="6">
        <f ca="1">+R240+R243</f>
        <v>-259.68119460982678</v>
      </c>
      <c r="S225" s="6">
        <f t="shared" ref="S225:AB225" ca="1" si="244">+S240+S243</f>
        <v>-21.845753078282307</v>
      </c>
      <c r="T225" s="6">
        <f t="shared" ca="1" si="244"/>
        <v>146.09259047842903</v>
      </c>
      <c r="U225" s="6">
        <f t="shared" ca="1" si="244"/>
        <v>147.9438586290712</v>
      </c>
      <c r="V225" s="6">
        <f t="shared" ca="1" si="244"/>
        <v>151.55493904001403</v>
      </c>
      <c r="W225" s="6">
        <f t="shared" ca="1" si="244"/>
        <v>156.87032464548727</v>
      </c>
      <c r="X225" s="6">
        <f t="shared" ca="1" si="244"/>
        <v>162.9719409698946</v>
      </c>
      <c r="Y225" s="6">
        <f t="shared" ca="1" si="244"/>
        <v>168.27973282674623</v>
      </c>
      <c r="Z225" s="6">
        <f t="shared" ca="1" si="244"/>
        <v>172.91370822302417</v>
      </c>
      <c r="AA225" s="6">
        <f t="shared" ca="1" si="244"/>
        <v>176.79594918387593</v>
      </c>
      <c r="AB225" s="6">
        <f t="shared" ca="1" si="244"/>
        <v>180.84473424807976</v>
      </c>
    </row>
    <row r="226" spans="2:32" hidden="1" outlineLevel="1" x14ac:dyDescent="0.35">
      <c r="B226" s="2" t="s">
        <v>20</v>
      </c>
      <c r="F226" s="6">
        <f>+'Historical Detailed'!G246</f>
        <v>1428</v>
      </c>
      <c r="G226" s="6">
        <f>+'Historical Detailed'!H246</f>
        <v>712</v>
      </c>
      <c r="H226" s="6">
        <f>+'Historical Detailed'!I246</f>
        <v>1142</v>
      </c>
      <c r="I226" s="6">
        <f>+'Historical Detailed'!J246</f>
        <v>296</v>
      </c>
      <c r="J226" s="6">
        <f>+'Historical Detailed'!K246</f>
        <v>311</v>
      </c>
      <c r="K226" s="6">
        <f>+'Historical Detailed'!L246</f>
        <v>359</v>
      </c>
      <c r="L226" s="6">
        <f>+'Historical Detailed'!M246</f>
        <v>389</v>
      </c>
      <c r="M226" s="6">
        <f>+'Historical Detailed'!N246</f>
        <v>401</v>
      </c>
      <c r="N226" s="6">
        <f>+'Historical Detailed'!O246</f>
        <v>411</v>
      </c>
      <c r="O226" s="6">
        <f>+'Historical Detailed'!P246</f>
        <v>410</v>
      </c>
      <c r="P226" s="6">
        <f>+'Historical Detailed'!Q246</f>
        <v>564</v>
      </c>
      <c r="Q226" s="6">
        <f>+'Historical Detailed'!R246</f>
        <v>691</v>
      </c>
      <c r="R226" s="35">
        <f ca="1">+R248*R232</f>
        <v>432.23542304995044</v>
      </c>
      <c r="S226" s="35">
        <f t="shared" ref="S226:AB226" ca="1" si="245">+S248*S232</f>
        <v>426.96799678549002</v>
      </c>
      <c r="T226" s="35">
        <f t="shared" ca="1" si="245"/>
        <v>451.06174916830133</v>
      </c>
      <c r="U226" s="35">
        <f t="shared" ca="1" si="245"/>
        <v>475.1271032827828</v>
      </c>
      <c r="V226" s="35">
        <f t="shared" ca="1" si="245"/>
        <v>494.18563614162093</v>
      </c>
      <c r="W226" s="35">
        <f t="shared" ca="1" si="245"/>
        <v>510.25894106069626</v>
      </c>
      <c r="X226" s="35">
        <f t="shared" ca="1" si="245"/>
        <v>523.12814159465279</v>
      </c>
      <c r="Y226" s="35">
        <f t="shared" ca="1" si="245"/>
        <v>533.55395287030967</v>
      </c>
      <c r="Z226" s="35">
        <f t="shared" ca="1" si="245"/>
        <v>541.70501599026943</v>
      </c>
      <c r="AA226" s="35">
        <f t="shared" ca="1" si="245"/>
        <v>547.510115678435</v>
      </c>
      <c r="AB226" s="35">
        <f t="shared" ca="1" si="245"/>
        <v>553.17426322272388</v>
      </c>
    </row>
    <row r="227" spans="2:32" hidden="1" outlineLevel="1" x14ac:dyDescent="0.35">
      <c r="B227" s="3" t="s">
        <v>336</v>
      </c>
      <c r="C227" s="4"/>
      <c r="D227" s="4"/>
      <c r="E227" s="4"/>
      <c r="F227" s="4">
        <f t="shared" ref="F227:P227" si="246">SUM(F222:F226)</f>
        <v>4416</v>
      </c>
      <c r="G227" s="4">
        <f t="shared" si="246"/>
        <v>2288</v>
      </c>
      <c r="H227" s="4">
        <f t="shared" si="246"/>
        <v>2574</v>
      </c>
      <c r="I227" s="4">
        <f t="shared" si="246"/>
        <v>1484</v>
      </c>
      <c r="J227" s="4">
        <f t="shared" si="246"/>
        <v>1276</v>
      </c>
      <c r="K227" s="4">
        <f t="shared" si="246"/>
        <v>1142</v>
      </c>
      <c r="L227" s="4">
        <f t="shared" si="246"/>
        <v>1530</v>
      </c>
      <c r="M227" s="4">
        <f t="shared" si="246"/>
        <v>1544</v>
      </c>
      <c r="N227" s="4">
        <f t="shared" si="246"/>
        <v>1414</v>
      </c>
      <c r="O227" s="4">
        <f t="shared" si="246"/>
        <v>1761</v>
      </c>
      <c r="P227" s="4">
        <f t="shared" si="246"/>
        <v>1983</v>
      </c>
      <c r="Q227" s="4">
        <f>SUM(Q222:Q226)</f>
        <v>2039</v>
      </c>
      <c r="R227" s="38">
        <f ca="1">SUM(R222:R226)</f>
        <v>1291.1137300419691</v>
      </c>
      <c r="S227" s="38">
        <f t="shared" ref="S227:AB227" ca="1" si="247">SUM(S222:S226)</f>
        <v>1548.339324233717</v>
      </c>
      <c r="T227" s="38">
        <f t="shared" ca="1" si="247"/>
        <v>1701.5869929521791</v>
      </c>
      <c r="U227" s="38">
        <f t="shared" ca="1" si="247"/>
        <v>1762.2569212164667</v>
      </c>
      <c r="V227" s="38">
        <f t="shared" ca="1" si="247"/>
        <v>1831.3446442184318</v>
      </c>
      <c r="W227" s="38">
        <f t="shared" ca="1" si="247"/>
        <v>1890.0878666700844</v>
      </c>
      <c r="X227" s="38">
        <f t="shared" ca="1" si="247"/>
        <v>1936.3314510709261</v>
      </c>
      <c r="Y227" s="38">
        <f t="shared" ca="1" si="247"/>
        <v>1980.0239568729221</v>
      </c>
      <c r="Z227" s="38">
        <f t="shared" ca="1" si="247"/>
        <v>2021.4747898770054</v>
      </c>
      <c r="AA227" s="38">
        <f t="shared" ca="1" si="247"/>
        <v>2060.5563403568412</v>
      </c>
      <c r="AB227" s="38">
        <f t="shared" ca="1" si="247"/>
        <v>2100.4142214186459</v>
      </c>
      <c r="AD227" s="12"/>
      <c r="AE227" s="12"/>
      <c r="AF227" s="12"/>
    </row>
    <row r="228" spans="2:32" hidden="1" outlineLevel="1" x14ac:dyDescent="0.35">
      <c r="B228" s="14" t="s">
        <v>38</v>
      </c>
      <c r="C228" s="10"/>
      <c r="D228" s="10"/>
      <c r="E228" s="10"/>
      <c r="F228" s="86" t="b">
        <f t="shared" ref="F228:AB228" si="248">ABS(F249-F227)&lt;1</f>
        <v>1</v>
      </c>
      <c r="G228" s="86" t="b">
        <f t="shared" si="248"/>
        <v>1</v>
      </c>
      <c r="H228" s="86" t="b">
        <f t="shared" si="248"/>
        <v>1</v>
      </c>
      <c r="I228" s="86" t="b">
        <f t="shared" si="248"/>
        <v>1</v>
      </c>
      <c r="J228" s="86" t="b">
        <f t="shared" si="248"/>
        <v>1</v>
      </c>
      <c r="K228" s="86" t="b">
        <f t="shared" si="248"/>
        <v>1</v>
      </c>
      <c r="L228" s="86" t="b">
        <f t="shared" si="248"/>
        <v>1</v>
      </c>
      <c r="M228" s="86" t="b">
        <f t="shared" si="248"/>
        <v>1</v>
      </c>
      <c r="N228" s="86" t="b">
        <f t="shared" si="248"/>
        <v>1</v>
      </c>
      <c r="O228" s="86" t="b">
        <f t="shared" si="248"/>
        <v>1</v>
      </c>
      <c r="P228" s="86" t="b">
        <f t="shared" si="248"/>
        <v>1</v>
      </c>
      <c r="Q228" s="86" t="b">
        <f t="shared" si="248"/>
        <v>1</v>
      </c>
      <c r="R228" s="86" t="b">
        <f t="shared" ca="1" si="248"/>
        <v>1</v>
      </c>
      <c r="S228" s="86" t="b">
        <f t="shared" ca="1" si="248"/>
        <v>1</v>
      </c>
      <c r="T228" s="86" t="b">
        <f t="shared" ca="1" si="248"/>
        <v>1</v>
      </c>
      <c r="U228" s="86" t="b">
        <f t="shared" ca="1" si="248"/>
        <v>1</v>
      </c>
      <c r="V228" s="86" t="b">
        <f t="shared" ca="1" si="248"/>
        <v>1</v>
      </c>
      <c r="W228" s="86" t="b">
        <f t="shared" ca="1" si="248"/>
        <v>1</v>
      </c>
      <c r="X228" s="86" t="b">
        <f t="shared" ca="1" si="248"/>
        <v>1</v>
      </c>
      <c r="Y228" s="86" t="b">
        <f t="shared" ca="1" si="248"/>
        <v>1</v>
      </c>
      <c r="Z228" s="86" t="b">
        <f t="shared" ca="1" si="248"/>
        <v>1</v>
      </c>
      <c r="AA228" s="86" t="b">
        <f t="shared" ca="1" si="248"/>
        <v>1</v>
      </c>
      <c r="AB228" s="86" t="b">
        <f t="shared" ca="1" si="248"/>
        <v>1</v>
      </c>
    </row>
    <row r="229" spans="2:32" hidden="1" outlineLevel="1" x14ac:dyDescent="0.35">
      <c r="B229" s="2" t="s">
        <v>348</v>
      </c>
      <c r="F229" s="6"/>
      <c r="G229" s="6"/>
      <c r="H229" s="6"/>
      <c r="I229" s="43">
        <f>+I227/I248</f>
        <v>0.53400503778337527</v>
      </c>
      <c r="J229" s="43">
        <f>+J227/J248</f>
        <v>0.37807407407407406</v>
      </c>
      <c r="K229" s="43">
        <f t="shared" ref="K229:AB229" si="249">+K227/K248</f>
        <v>0.30707179349287445</v>
      </c>
      <c r="L229" s="43">
        <f t="shared" si="249"/>
        <v>0.39160481187611978</v>
      </c>
      <c r="M229" s="43">
        <f t="shared" si="249"/>
        <v>0.36579009713338073</v>
      </c>
      <c r="N229" s="43">
        <f t="shared" si="249"/>
        <v>0.32209567198177674</v>
      </c>
      <c r="O229" s="43">
        <f t="shared" si="249"/>
        <v>0.3800992877185409</v>
      </c>
      <c r="P229" s="43">
        <f t="shared" si="249"/>
        <v>0.42164575802679138</v>
      </c>
      <c r="Q229" s="43">
        <f t="shared" si="249"/>
        <v>0.3306307767147722</v>
      </c>
      <c r="R229" s="43">
        <f t="shared" ca="1" si="249"/>
        <v>0.1941589883137127</v>
      </c>
      <c r="S229" s="43">
        <f t="shared" ca="1" si="249"/>
        <v>0.27197694017303725</v>
      </c>
      <c r="T229" s="43">
        <f t="shared" ca="1" si="249"/>
        <v>0.2829302744174742</v>
      </c>
      <c r="U229" s="43">
        <f t="shared" ca="1" si="249"/>
        <v>0.25963154623855111</v>
      </c>
      <c r="V229" s="43">
        <f t="shared" ca="1" si="249"/>
        <v>0.25421670199532476</v>
      </c>
      <c r="W229" s="43">
        <f t="shared" ca="1" si="249"/>
        <v>0.24902420491908953</v>
      </c>
      <c r="X229" s="43">
        <f t="shared" ca="1" si="249"/>
        <v>0.24386410677098302</v>
      </c>
      <c r="Y229" s="43">
        <f t="shared" ca="1" si="249"/>
        <v>0.23960421074989227</v>
      </c>
      <c r="Z229" s="43">
        <f t="shared" ca="1" si="249"/>
        <v>0.23612060700702292</v>
      </c>
      <c r="AA229" s="43">
        <f t="shared" ca="1" si="249"/>
        <v>0.23337097480454955</v>
      </c>
      <c r="AB229" s="43">
        <f t="shared" ca="1" si="249"/>
        <v>0.23074035364001122</v>
      </c>
    </row>
    <row r="230" spans="2:32" hidden="1" outlineLevel="1" x14ac:dyDescent="0.35"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</row>
    <row r="231" spans="2:32" hidden="1" outlineLevel="1" x14ac:dyDescent="0.35">
      <c r="B231" s="2" t="s">
        <v>337</v>
      </c>
      <c r="F231" s="27"/>
      <c r="G231" s="27"/>
      <c r="H231" s="27"/>
      <c r="I231" s="27"/>
      <c r="J231" s="27"/>
      <c r="K231" s="27">
        <f t="shared" ref="K231:Q231" si="250">+K223/K64</f>
        <v>7.1553506121799972E-3</v>
      </c>
      <c r="L231" s="27">
        <f t="shared" si="250"/>
        <v>1.3545129910109593E-3</v>
      </c>
      <c r="M231" s="27">
        <f t="shared" si="250"/>
        <v>5.9633429799175654E-3</v>
      </c>
      <c r="N231" s="27">
        <f t="shared" si="250"/>
        <v>1.6812373907195697E-3</v>
      </c>
      <c r="O231" s="27">
        <f t="shared" si="250"/>
        <v>1.7593465284322966E-3</v>
      </c>
      <c r="P231" s="27">
        <f t="shared" si="250"/>
        <v>7.6161462300076161E-3</v>
      </c>
      <c r="Q231" s="27">
        <f t="shared" si="250"/>
        <v>4.9612226277372263E-3</v>
      </c>
      <c r="R231" s="26">
        <v>2E-3</v>
      </c>
      <c r="S231" s="26">
        <v>4.0000000000000001E-3</v>
      </c>
      <c r="T231" s="26">
        <v>4.0000000000000001E-3</v>
      </c>
      <c r="U231" s="26">
        <v>4.0000000000000001E-3</v>
      </c>
      <c r="V231" s="26">
        <v>4.0000000000000001E-3</v>
      </c>
      <c r="W231" s="26">
        <v>4.0000000000000001E-3</v>
      </c>
      <c r="X231" s="26">
        <v>4.0000000000000001E-3</v>
      </c>
      <c r="Y231" s="26">
        <v>4.0000000000000001E-3</v>
      </c>
      <c r="Z231" s="26">
        <v>4.0000000000000001E-3</v>
      </c>
      <c r="AA231" s="26">
        <v>4.0000000000000001E-3</v>
      </c>
      <c r="AB231" s="26">
        <v>4.0000000000000001E-3</v>
      </c>
    </row>
    <row r="232" spans="2:32" hidden="1" outlineLevel="1" x14ac:dyDescent="0.35">
      <c r="B232" s="2" t="s">
        <v>341</v>
      </c>
      <c r="F232" s="27"/>
      <c r="G232" s="27"/>
      <c r="H232" s="27"/>
      <c r="I232" s="27"/>
      <c r="J232" s="27"/>
      <c r="K232" s="27">
        <f t="shared" ref="K232:Q232" si="251">+K226/K248</f>
        <v>9.6531325625168057E-2</v>
      </c>
      <c r="L232" s="27">
        <f t="shared" si="251"/>
        <v>9.9564883542359872E-2</v>
      </c>
      <c r="M232" s="27">
        <f t="shared" si="251"/>
        <v>9.5001184553423365E-2</v>
      </c>
      <c r="N232" s="27">
        <f t="shared" si="251"/>
        <v>9.362186788154897E-2</v>
      </c>
      <c r="O232" s="27">
        <f t="shared" si="251"/>
        <v>8.8495575221238937E-2</v>
      </c>
      <c r="P232" s="27">
        <f t="shared" si="251"/>
        <v>0.11992345311503295</v>
      </c>
      <c r="Q232" s="27">
        <f t="shared" si="251"/>
        <v>0.11204799740554565</v>
      </c>
      <c r="R232" s="26">
        <v>6.5000000000000002E-2</v>
      </c>
      <c r="S232" s="26">
        <v>7.4999999999999997E-2</v>
      </c>
      <c r="T232" s="26">
        <v>7.4999999999999997E-2</v>
      </c>
      <c r="U232" s="26">
        <v>7.0000000000000007E-2</v>
      </c>
      <c r="V232" s="26">
        <f>+U232*0.98</f>
        <v>6.8600000000000008E-2</v>
      </c>
      <c r="W232" s="26">
        <f t="shared" ref="W232:AB232" si="252">+V232*0.98</f>
        <v>6.722800000000001E-2</v>
      </c>
      <c r="X232" s="26">
        <f t="shared" si="252"/>
        <v>6.5883440000000015E-2</v>
      </c>
      <c r="Y232" s="26">
        <f t="shared" si="252"/>
        <v>6.4565771200000011E-2</v>
      </c>
      <c r="Z232" s="26">
        <f t="shared" si="252"/>
        <v>6.3274455776000008E-2</v>
      </c>
      <c r="AA232" s="26">
        <f t="shared" si="252"/>
        <v>6.200896666048001E-2</v>
      </c>
      <c r="AB232" s="26">
        <f t="shared" si="252"/>
        <v>6.076878732727041E-2</v>
      </c>
    </row>
    <row r="233" spans="2:32" hidden="1" outlineLevel="1" x14ac:dyDescent="0.35">
      <c r="B233" s="2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</row>
    <row r="234" spans="2:32" hidden="1" outlineLevel="1" x14ac:dyDescent="0.35">
      <c r="B234" s="15" t="s">
        <v>3</v>
      </c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</row>
    <row r="235" spans="2:32" hidden="1" outlineLevel="1" x14ac:dyDescent="0.35">
      <c r="B235" t="s">
        <v>338</v>
      </c>
      <c r="F235" s="6">
        <f>+'Historical Detailed'!G133</f>
        <v>5850</v>
      </c>
      <c r="G235" s="6">
        <f>+'Historical Detailed'!H133</f>
        <v>5267</v>
      </c>
      <c r="H235" s="6">
        <f>+'Historical Detailed'!I133</f>
        <v>5144</v>
      </c>
      <c r="I235" s="6">
        <f>+'Historical Detailed'!J133</f>
        <v>5295</v>
      </c>
      <c r="J235" s="6">
        <f>+'Historical Detailed'!K133</f>
        <v>5313</v>
      </c>
      <c r="K235" s="6">
        <f>+'Historical Detailed'!L133</f>
        <v>5053</v>
      </c>
      <c r="L235" s="6">
        <f>+'Historical Detailed'!M133</f>
        <v>5033</v>
      </c>
      <c r="M235" s="6">
        <f>+'Historical Detailed'!N133</f>
        <v>5171</v>
      </c>
      <c r="N235" s="6">
        <f>+'Historical Detailed'!O133</f>
        <v>5092</v>
      </c>
      <c r="O235" s="6">
        <f>+'Historical Detailed'!P133</f>
        <v>5742</v>
      </c>
      <c r="P235" s="6">
        <f>+'Historical Detailed'!Q133</f>
        <v>5421</v>
      </c>
      <c r="Q235" s="6">
        <f>+'Historical Detailed'!R133</f>
        <v>5530</v>
      </c>
      <c r="R235" s="35">
        <f t="shared" ref="R235:AB235" si="253">+R236*R60</f>
        <v>5399.9015080092267</v>
      </c>
      <c r="S235" s="35">
        <f t="shared" si="253"/>
        <v>5610.835160665838</v>
      </c>
      <c r="T235" s="35">
        <f t="shared" si="253"/>
        <v>5386.4017542392048</v>
      </c>
      <c r="U235" s="35">
        <f t="shared" si="253"/>
        <v>5547.9938068663814</v>
      </c>
      <c r="V235" s="35">
        <f t="shared" si="253"/>
        <v>5769.9135591410359</v>
      </c>
      <c r="W235" s="35">
        <f t="shared" si="253"/>
        <v>5943.0109659152668</v>
      </c>
      <c r="X235" s="35">
        <f t="shared" si="253"/>
        <v>6061.8711852335719</v>
      </c>
      <c r="Y235" s="35">
        <f t="shared" si="253"/>
        <v>6183.1086089382425</v>
      </c>
      <c r="Z235" s="35">
        <f t="shared" si="253"/>
        <v>6306.7707811170085</v>
      </c>
      <c r="AA235" s="35">
        <f t="shared" si="253"/>
        <v>6432.9061967393482</v>
      </c>
      <c r="AB235" s="35">
        <f t="shared" si="253"/>
        <v>6561.5643206741343</v>
      </c>
    </row>
    <row r="236" spans="2:32" hidden="1" outlineLevel="1" x14ac:dyDescent="0.35">
      <c r="B236" s="2" t="s">
        <v>343</v>
      </c>
      <c r="F236" s="27"/>
      <c r="G236" s="27"/>
      <c r="H236" s="27"/>
      <c r="I236" s="27"/>
      <c r="J236" s="27"/>
      <c r="K236" s="27">
        <f t="shared" ref="K236:Q236" si="254">+K235/K60</f>
        <v>7.8455326985688065E-2</v>
      </c>
      <c r="L236" s="27">
        <f t="shared" si="254"/>
        <v>7.4446537397351673E-2</v>
      </c>
      <c r="M236" s="27">
        <f t="shared" si="254"/>
        <v>7.6840652502769932E-2</v>
      </c>
      <c r="N236" s="27">
        <f t="shared" si="254"/>
        <v>7.0817806454251508E-2</v>
      </c>
      <c r="O236" s="27">
        <f t="shared" si="254"/>
        <v>8.0401977403205135E-2</v>
      </c>
      <c r="P236" s="27">
        <f t="shared" si="254"/>
        <v>7.5262148501162293E-2</v>
      </c>
      <c r="Q236" s="27">
        <f t="shared" si="254"/>
        <v>7.137279761117149E-2</v>
      </c>
      <c r="R236" s="26">
        <v>6.4000000000000001E-2</v>
      </c>
      <c r="S236" s="26">
        <v>7.0000000000000007E-2</v>
      </c>
      <c r="T236" s="26">
        <v>7.0000000000000007E-2</v>
      </c>
      <c r="U236" s="26">
        <v>7.0000000000000007E-2</v>
      </c>
      <c r="V236" s="26">
        <v>7.0000000000000007E-2</v>
      </c>
      <c r="W236" s="26">
        <v>7.0000000000000007E-2</v>
      </c>
      <c r="X236" s="26">
        <v>7.0000000000000007E-2</v>
      </c>
      <c r="Y236" s="26">
        <v>7.0000000000000007E-2</v>
      </c>
      <c r="Z236" s="26">
        <v>7.0000000000000007E-2</v>
      </c>
      <c r="AA236" s="26">
        <v>7.0000000000000007E-2</v>
      </c>
      <c r="AB236" s="26">
        <v>7.0000000000000007E-2</v>
      </c>
    </row>
    <row r="237" spans="2:32" hidden="1" outlineLevel="1" x14ac:dyDescent="0.35">
      <c r="B237" s="2" t="s">
        <v>339</v>
      </c>
      <c r="F237" s="43">
        <f t="shared" ref="F237:Q237" si="255">(F222)/F235</f>
        <v>0.23435897435897435</v>
      </c>
      <c r="G237" s="43">
        <f t="shared" si="255"/>
        <v>0.21891019555724323</v>
      </c>
      <c r="H237" s="43">
        <f t="shared" si="255"/>
        <v>0.20509331259720062</v>
      </c>
      <c r="I237" s="43">
        <f t="shared" si="255"/>
        <v>0.19112370160528802</v>
      </c>
      <c r="J237" s="43">
        <f t="shared" si="255"/>
        <v>0.18426501035196688</v>
      </c>
      <c r="K237" s="43">
        <f t="shared" si="255"/>
        <v>0.18602810211755394</v>
      </c>
      <c r="L237" s="43">
        <f t="shared" si="255"/>
        <v>0.18776077885952713</v>
      </c>
      <c r="M237" s="43">
        <f t="shared" si="255"/>
        <v>0.18816476503577645</v>
      </c>
      <c r="N237" s="43">
        <f t="shared" si="255"/>
        <v>0.2007069913589945</v>
      </c>
      <c r="O237" s="43">
        <f t="shared" si="255"/>
        <v>0.18930686172065483</v>
      </c>
      <c r="P237" s="43">
        <f t="shared" si="255"/>
        <v>0.2034679948349013</v>
      </c>
      <c r="Q237" s="43">
        <f t="shared" si="255"/>
        <v>0.2019891500904159</v>
      </c>
      <c r="R237" s="26">
        <v>0.2</v>
      </c>
      <c r="S237" s="26">
        <v>0.19</v>
      </c>
      <c r="T237" s="26">
        <v>0.19</v>
      </c>
      <c r="U237" s="26">
        <v>0.19</v>
      </c>
      <c r="V237" s="26">
        <v>0.19</v>
      </c>
      <c r="W237" s="26">
        <v>0.19</v>
      </c>
      <c r="X237" s="26">
        <v>0.19</v>
      </c>
      <c r="Y237" s="26">
        <v>0.19</v>
      </c>
      <c r="Z237" s="26">
        <v>0.19</v>
      </c>
      <c r="AA237" s="26">
        <v>0.19</v>
      </c>
      <c r="AB237" s="26">
        <v>0.19</v>
      </c>
    </row>
    <row r="238" spans="2:32" hidden="1" outlineLevel="1" x14ac:dyDescent="0.35">
      <c r="B238" s="2" t="s">
        <v>340</v>
      </c>
      <c r="F238" s="27">
        <f t="shared" ref="F238:H238" si="256">(F253)/F235</f>
        <v>-8.7350427350427348E-2</v>
      </c>
      <c r="G238" s="27">
        <f t="shared" si="256"/>
        <v>-8.5817353332067595E-2</v>
      </c>
      <c r="H238" s="27">
        <f t="shared" si="256"/>
        <v>-8.8258164852255058E-2</v>
      </c>
      <c r="I238" s="27">
        <f t="shared" ref="I238:J238" si="257">(I253)/I235</f>
        <v>-7.6487252124645896E-2</v>
      </c>
      <c r="J238" s="27">
        <f t="shared" si="257"/>
        <v>-7.7169207603990209E-2</v>
      </c>
      <c r="K238" s="27">
        <f t="shared" ref="K238:P238" si="258">(K253)/K235</f>
        <v>-5.7985355234514153E-2</v>
      </c>
      <c r="L238" s="27">
        <f t="shared" si="258"/>
        <v>-6.795151996820982E-2</v>
      </c>
      <c r="M238" s="27">
        <f t="shared" si="258"/>
        <v>-6.4204215818990523E-2</v>
      </c>
      <c r="N238" s="27">
        <f t="shared" si="258"/>
        <v>-5.7934014139827177E-2</v>
      </c>
      <c r="O238" s="27">
        <f t="shared" si="258"/>
        <v>-5.5903866248693833E-2</v>
      </c>
      <c r="P238" s="27">
        <f t="shared" si="258"/>
        <v>-6.6961815163254015E-2</v>
      </c>
      <c r="Q238" s="27">
        <f>(Q253)/Q235</f>
        <v>-4.7197106690777577E-2</v>
      </c>
      <c r="R238" s="26">
        <v>-0.06</v>
      </c>
      <c r="S238" s="26">
        <v>-0.06</v>
      </c>
      <c r="T238" s="26">
        <v>-0.06</v>
      </c>
      <c r="U238" s="26">
        <v>-0.06</v>
      </c>
      <c r="V238" s="26">
        <v>-0.06</v>
      </c>
      <c r="W238" s="26">
        <v>-0.06</v>
      </c>
      <c r="X238" s="26">
        <v>-0.06</v>
      </c>
      <c r="Y238" s="26">
        <v>-0.06</v>
      </c>
      <c r="Z238" s="26">
        <v>-0.06</v>
      </c>
      <c r="AA238" s="26">
        <v>-0.06</v>
      </c>
      <c r="AB238" s="26">
        <v>-0.06</v>
      </c>
    </row>
    <row r="239" spans="2:32" hidden="1" outlineLevel="1" x14ac:dyDescent="0.35">
      <c r="B239" s="2" t="s">
        <v>342</v>
      </c>
      <c r="F239" s="27">
        <f>+F238+F237</f>
        <v>0.14700854700854699</v>
      </c>
      <c r="G239" s="27">
        <f t="shared" ref="G239:R239" si="259">+G238+G237</f>
        <v>0.13309284222517564</v>
      </c>
      <c r="H239" s="27">
        <f t="shared" si="259"/>
        <v>0.11683514774494556</v>
      </c>
      <c r="I239" s="27">
        <f t="shared" si="259"/>
        <v>0.11463644948064212</v>
      </c>
      <c r="J239" s="27">
        <f t="shared" si="259"/>
        <v>0.10709580274797667</v>
      </c>
      <c r="K239" s="27">
        <f t="shared" si="259"/>
        <v>0.12804274688303979</v>
      </c>
      <c r="L239" s="27">
        <f t="shared" si="259"/>
        <v>0.11980925889131731</v>
      </c>
      <c r="M239" s="27">
        <f t="shared" si="259"/>
        <v>0.12396054921678593</v>
      </c>
      <c r="N239" s="27">
        <f t="shared" si="259"/>
        <v>0.14277297721916732</v>
      </c>
      <c r="O239" s="27">
        <f t="shared" si="259"/>
        <v>0.13340299547196099</v>
      </c>
      <c r="P239" s="27">
        <f t="shared" si="259"/>
        <v>0.1365061796716473</v>
      </c>
      <c r="Q239" s="27">
        <f t="shared" si="259"/>
        <v>0.15479204339963831</v>
      </c>
      <c r="R239" s="27">
        <f t="shared" si="259"/>
        <v>0.14000000000000001</v>
      </c>
      <c r="S239" s="27">
        <f t="shared" ref="S239" si="260">+S238+S237</f>
        <v>0.13</v>
      </c>
      <c r="T239" s="27">
        <f t="shared" ref="T239" si="261">+T238+T237</f>
        <v>0.13</v>
      </c>
      <c r="U239" s="27">
        <f t="shared" ref="U239" si="262">+U238+U237</f>
        <v>0.13</v>
      </c>
      <c r="V239" s="27">
        <f t="shared" ref="V239" si="263">+V238+V237</f>
        <v>0.13</v>
      </c>
      <c r="W239" s="27">
        <f t="shared" ref="W239" si="264">+W238+W237</f>
        <v>0.13</v>
      </c>
      <c r="X239" s="27">
        <f t="shared" ref="X239" si="265">+X238+X237</f>
        <v>0.13</v>
      </c>
      <c r="Y239" s="27">
        <f t="shared" ref="Y239" si="266">+Y238+Y237</f>
        <v>0.13</v>
      </c>
      <c r="Z239" s="27">
        <f t="shared" ref="Z239" si="267">+Z238+Z237</f>
        <v>0.13</v>
      </c>
      <c r="AA239" s="27">
        <f t="shared" ref="AA239" si="268">+AA238+AA237</f>
        <v>0.13</v>
      </c>
      <c r="AB239" s="27">
        <f t="shared" ref="AB239" si="269">+AB238+AB237</f>
        <v>0.13</v>
      </c>
    </row>
    <row r="240" spans="2:32" hidden="1" outlineLevel="1" x14ac:dyDescent="0.35">
      <c r="B240" t="s">
        <v>346</v>
      </c>
      <c r="F240" s="6">
        <f>+'Historical Detailed'!G112</f>
        <v>418</v>
      </c>
      <c r="G240" s="6">
        <f>+'Historical Detailed'!H112</f>
        <v>220</v>
      </c>
      <c r="H240" s="6">
        <f>+'Historical Detailed'!I112</f>
        <v>124</v>
      </c>
      <c r="I240" s="6">
        <f>+'Historical Detailed'!J112</f>
        <v>227</v>
      </c>
      <c r="J240" s="6">
        <f>+'Historical Detailed'!K112</f>
        <v>194</v>
      </c>
      <c r="K240" s="6">
        <f>+'Historical Detailed'!L112</f>
        <v>134</v>
      </c>
      <c r="L240" s="6">
        <f>+'Historical Detailed'!M112</f>
        <v>84</v>
      </c>
      <c r="M240" s="6">
        <f>+'Historical Detailed'!N112</f>
        <v>78</v>
      </c>
      <c r="N240" s="6">
        <f>+'Historical Detailed'!O112</f>
        <v>-51</v>
      </c>
      <c r="O240" s="6">
        <f>+'Historical Detailed'!P112</f>
        <v>175</v>
      </c>
      <c r="P240" s="6">
        <f>+'Historical Detailed'!Q112</f>
        <v>220</v>
      </c>
      <c r="Q240" s="6">
        <f>+'Historical Detailed'!R112</f>
        <v>216</v>
      </c>
      <c r="R240" s="35">
        <f>+R241*AVERAGE(Q235:R235)</f>
        <v>-191.2732763901615</v>
      </c>
      <c r="S240" s="35">
        <f t="shared" ref="S240:AB240" si="270">+S241*AVERAGE(R235:S235)</f>
        <v>-55.053683343375326</v>
      </c>
      <c r="T240" s="35">
        <f t="shared" si="270"/>
        <v>109.97236914905044</v>
      </c>
      <c r="U240" s="35">
        <f t="shared" si="270"/>
        <v>109.34395561105586</v>
      </c>
      <c r="V240" s="35">
        <f t="shared" si="270"/>
        <v>113.17907366007418</v>
      </c>
      <c r="W240" s="35">
        <f t="shared" si="270"/>
        <v>117.12924525056303</v>
      </c>
      <c r="X240" s="35">
        <f t="shared" si="270"/>
        <v>120.04882151148838</v>
      </c>
      <c r="Y240" s="35">
        <f t="shared" si="270"/>
        <v>122.44979794171813</v>
      </c>
      <c r="Z240" s="35">
        <f t="shared" si="270"/>
        <v>124.89879390055252</v>
      </c>
      <c r="AA240" s="35">
        <f t="shared" si="270"/>
        <v>127.39676977856358</v>
      </c>
      <c r="AB240" s="35">
        <f t="shared" si="270"/>
        <v>129.94470517413484</v>
      </c>
    </row>
    <row r="241" spans="2:32" hidden="1" outlineLevel="1" x14ac:dyDescent="0.35">
      <c r="B241" t="s">
        <v>345</v>
      </c>
      <c r="F241" s="27">
        <f t="shared" ref="F241:P241" si="271">+F240/AVERAGE(E235:F235)</f>
        <v>7.1452991452991457E-2</v>
      </c>
      <c r="G241" s="27">
        <f t="shared" si="271"/>
        <v>3.9579023117747594E-2</v>
      </c>
      <c r="H241" s="27">
        <f t="shared" si="271"/>
        <v>2.3820958601479203E-2</v>
      </c>
      <c r="I241" s="27">
        <f t="shared" si="271"/>
        <v>4.3490755819522942E-2</v>
      </c>
      <c r="J241" s="27">
        <f t="shared" si="271"/>
        <v>3.6576168929110107E-2</v>
      </c>
      <c r="K241" s="27">
        <f t="shared" si="271"/>
        <v>2.5853752652903725E-2</v>
      </c>
      <c r="L241" s="27">
        <f t="shared" si="271"/>
        <v>1.6656751933372991E-2</v>
      </c>
      <c r="M241" s="27">
        <f t="shared" si="271"/>
        <v>1.528812230497844E-2</v>
      </c>
      <c r="N241" s="27">
        <f t="shared" si="271"/>
        <v>-9.9386144402221575E-3</v>
      </c>
      <c r="O241" s="27">
        <f t="shared" si="271"/>
        <v>3.2305704264352961E-2</v>
      </c>
      <c r="P241" s="27">
        <f t="shared" si="271"/>
        <v>3.941592761802383E-2</v>
      </c>
      <c r="Q241" s="27">
        <f>+Q240/AVERAGE(P235:Q235)</f>
        <v>3.9448452196146469E-2</v>
      </c>
      <c r="R241" s="26">
        <v>-3.5000000000000003E-2</v>
      </c>
      <c r="S241" s="26">
        <v>-0.01</v>
      </c>
      <c r="T241" s="26">
        <v>0.02</v>
      </c>
      <c r="U241" s="26">
        <v>0.02</v>
      </c>
      <c r="V241" s="26">
        <v>0.02</v>
      </c>
      <c r="W241" s="26">
        <v>0.02</v>
      </c>
      <c r="X241" s="26">
        <v>0.02</v>
      </c>
      <c r="Y241" s="26">
        <v>0.02</v>
      </c>
      <c r="Z241" s="26">
        <v>0.02</v>
      </c>
      <c r="AA241" s="26">
        <v>0.02</v>
      </c>
      <c r="AB241" s="26">
        <v>0.02</v>
      </c>
    </row>
    <row r="242" spans="2:32" hidden="1" outlineLevel="1" x14ac:dyDescent="0.35"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</row>
    <row r="243" spans="2:32" hidden="1" outlineLevel="1" x14ac:dyDescent="0.35">
      <c r="B243" t="s">
        <v>344</v>
      </c>
      <c r="F243" s="6">
        <f t="shared" ref="F243:Q243" si="272">+F225-F240</f>
        <v>84</v>
      </c>
      <c r="G243" s="6">
        <f t="shared" si="272"/>
        <v>38</v>
      </c>
      <c r="H243" s="6">
        <f t="shared" si="272"/>
        <v>22</v>
      </c>
      <c r="I243" s="6">
        <f t="shared" si="272"/>
        <v>-47</v>
      </c>
      <c r="J243" s="6">
        <f t="shared" si="272"/>
        <v>-13</v>
      </c>
      <c r="K243" s="6">
        <f t="shared" si="272"/>
        <v>21</v>
      </c>
      <c r="L243" s="6">
        <f t="shared" si="272"/>
        <v>101</v>
      </c>
      <c r="M243" s="6">
        <f t="shared" si="272"/>
        <v>24</v>
      </c>
      <c r="N243" s="6">
        <f t="shared" si="272"/>
        <v>8</v>
      </c>
      <c r="O243" s="6">
        <f t="shared" si="272"/>
        <v>63</v>
      </c>
      <c r="P243" s="6">
        <f t="shared" si="272"/>
        <v>88</v>
      </c>
      <c r="Q243" s="6">
        <f t="shared" si="272"/>
        <v>64</v>
      </c>
      <c r="R243" s="35">
        <f t="shared" ref="R243:AB243" ca="1" si="273">AVERAGE(Q70:R70)*R244</f>
        <v>-68.407918219665305</v>
      </c>
      <c r="S243" s="35">
        <f t="shared" ca="1" si="273"/>
        <v>33.207930265093019</v>
      </c>
      <c r="T243" s="35">
        <f t="shared" ca="1" si="273"/>
        <v>36.120221329378602</v>
      </c>
      <c r="U243" s="35">
        <f t="shared" ca="1" si="273"/>
        <v>38.599903018015347</v>
      </c>
      <c r="V243" s="35">
        <f t="shared" ca="1" si="273"/>
        <v>38.37586537993986</v>
      </c>
      <c r="W243" s="35">
        <f t="shared" ca="1" si="273"/>
        <v>39.741079394924249</v>
      </c>
      <c r="X243" s="35">
        <f t="shared" ca="1" si="273"/>
        <v>42.923119458406205</v>
      </c>
      <c r="Y243" s="35">
        <f t="shared" ca="1" si="273"/>
        <v>45.829934885028095</v>
      </c>
      <c r="Z243" s="35">
        <f t="shared" ca="1" si="273"/>
        <v>48.014914322471654</v>
      </c>
      <c r="AA243" s="35">
        <f t="shared" ca="1" si="273"/>
        <v>49.39917940531236</v>
      </c>
      <c r="AB243" s="35">
        <f t="shared" ca="1" si="273"/>
        <v>50.900029073944928</v>
      </c>
    </row>
    <row r="244" spans="2:32" hidden="1" outlineLevel="1" x14ac:dyDescent="0.35">
      <c r="B244" t="s">
        <v>347</v>
      </c>
      <c r="F244" s="12">
        <f t="shared" ref="F244:Q244" si="274">+F243/AVERAGE(E70:F70)</f>
        <v>6.0036450702212057E-3</v>
      </c>
      <c r="G244" s="12">
        <f t="shared" si="274"/>
        <v>2.4640923386181628E-3</v>
      </c>
      <c r="H244" s="12">
        <f t="shared" si="274"/>
        <v>1.4698513445799231E-3</v>
      </c>
      <c r="I244" s="12">
        <f t="shared" si="274"/>
        <v>-3.0069415565720865E-3</v>
      </c>
      <c r="J244" s="12">
        <f t="shared" si="274"/>
        <v>-7.8266104756170981E-4</v>
      </c>
      <c r="K244" s="12">
        <f t="shared" si="274"/>
        <v>1.2614885564966661E-3</v>
      </c>
      <c r="L244" s="12">
        <f t="shared" si="274"/>
        <v>5.4709929039596988E-3</v>
      </c>
      <c r="M244" s="12">
        <f t="shared" si="274"/>
        <v>1.0790153984489154E-3</v>
      </c>
      <c r="N244" s="12">
        <f t="shared" si="274"/>
        <v>3.0098950299108318E-4</v>
      </c>
      <c r="O244" s="12">
        <f t="shared" si="274"/>
        <v>2.068761698354842E-3</v>
      </c>
      <c r="P244" s="12">
        <f t="shared" si="274"/>
        <v>2.7235306861440375E-3</v>
      </c>
      <c r="Q244" s="12">
        <f t="shared" si="274"/>
        <v>1.8819931483686943E-3</v>
      </c>
      <c r="R244" s="31">
        <v>-2E-3</v>
      </c>
      <c r="S244" s="31">
        <v>1E-3</v>
      </c>
      <c r="T244" s="31">
        <v>1E-3</v>
      </c>
      <c r="U244" s="31">
        <v>1E-3</v>
      </c>
      <c r="V244" s="31">
        <v>1E-3</v>
      </c>
      <c r="W244" s="31">
        <v>1E-3</v>
      </c>
      <c r="X244" s="31">
        <v>1E-3</v>
      </c>
      <c r="Y244" s="31">
        <v>1E-3</v>
      </c>
      <c r="Z244" s="31">
        <v>1E-3</v>
      </c>
      <c r="AA244" s="31">
        <v>1E-3</v>
      </c>
      <c r="AB244" s="31">
        <v>1E-3</v>
      </c>
    </row>
    <row r="245" spans="2:32" hidden="1" outlineLevel="1" x14ac:dyDescent="0.35"/>
    <row r="246" spans="2:32" collapsed="1" x14ac:dyDescent="0.35">
      <c r="B246" s="53" t="s">
        <v>28</v>
      </c>
      <c r="C246" s="53"/>
      <c r="D246" s="53"/>
      <c r="E246" s="53"/>
      <c r="F246" s="53"/>
      <c r="G246" s="53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</row>
    <row r="247" spans="2:32" ht="5.15" customHeight="1" x14ac:dyDescent="0.35"/>
    <row r="248" spans="2:32" hidden="1" outlineLevel="1" x14ac:dyDescent="0.35">
      <c r="B248" t="s">
        <v>16</v>
      </c>
      <c r="C248" s="6">
        <f t="shared" ref="C248:AB248" si="275">+C165</f>
        <v>3783</v>
      </c>
      <c r="D248" s="6">
        <f t="shared" si="275"/>
        <v>2143</v>
      </c>
      <c r="E248" s="6">
        <f t="shared" si="275"/>
        <v>2162</v>
      </c>
      <c r="F248" s="6">
        <f t="shared" si="275"/>
        <v>1306</v>
      </c>
      <c r="G248" s="6">
        <f t="shared" si="275"/>
        <v>1124</v>
      </c>
      <c r="H248" s="6">
        <f t="shared" si="275"/>
        <v>1891</v>
      </c>
      <c r="I248" s="6">
        <f t="shared" si="275"/>
        <v>2779</v>
      </c>
      <c r="J248" s="6">
        <f t="shared" si="275"/>
        <v>3375</v>
      </c>
      <c r="K248" s="6">
        <f t="shared" si="275"/>
        <v>3719</v>
      </c>
      <c r="L248" s="6">
        <f t="shared" si="275"/>
        <v>3907</v>
      </c>
      <c r="M248" s="6">
        <f t="shared" si="275"/>
        <v>4221</v>
      </c>
      <c r="N248" s="6">
        <f t="shared" si="275"/>
        <v>4390</v>
      </c>
      <c r="O248" s="6">
        <f t="shared" si="275"/>
        <v>4633</v>
      </c>
      <c r="P248" s="6">
        <f t="shared" si="275"/>
        <v>4703</v>
      </c>
      <c r="Q248" s="6">
        <f t="shared" si="275"/>
        <v>6167</v>
      </c>
      <c r="R248" s="6">
        <f t="shared" ca="1" si="275"/>
        <v>6649.7757392300064</v>
      </c>
      <c r="S248" s="6">
        <f t="shared" ca="1" si="275"/>
        <v>5692.9066238065334</v>
      </c>
      <c r="T248" s="6">
        <f t="shared" ca="1" si="275"/>
        <v>6014.1566555773516</v>
      </c>
      <c r="U248" s="6">
        <f t="shared" ca="1" si="275"/>
        <v>6787.5300468968962</v>
      </c>
      <c r="V248" s="6">
        <f t="shared" ca="1" si="275"/>
        <v>7203.8722469624036</v>
      </c>
      <c r="W248" s="6">
        <f t="shared" ca="1" si="275"/>
        <v>7589.9765136653805</v>
      </c>
      <c r="X248" s="6">
        <f t="shared" ca="1" si="275"/>
        <v>7940.2068500772366</v>
      </c>
      <c r="Y248" s="6">
        <f t="shared" ca="1" si="275"/>
        <v>8263.7277144504951</v>
      </c>
      <c r="Z248" s="6">
        <f t="shared" ca="1" si="275"/>
        <v>8561.1959731108127</v>
      </c>
      <c r="AA248" s="6">
        <f t="shared" ca="1" si="275"/>
        <v>8829.531359169996</v>
      </c>
      <c r="AB248" s="6">
        <f t="shared" ca="1" si="275"/>
        <v>9102.9340480928622</v>
      </c>
      <c r="AD248" s="12">
        <f ca="1">(R248/K248)^(1/7)-1</f>
        <v>8.6561725931880718E-2</v>
      </c>
      <c r="AE248" s="12">
        <f ca="1">(AB248/R248)^(1/10)-1</f>
        <v>3.1899589546656504E-2</v>
      </c>
      <c r="AF248" s="12">
        <f t="shared" ref="AF248:AF250" ca="1" si="276">(AB248/O248)^(1/13)-1</f>
        <v>5.3326492513758206E-2</v>
      </c>
    </row>
    <row r="249" spans="2:32" hidden="1" outlineLevel="1" x14ac:dyDescent="0.35">
      <c r="B249" t="s">
        <v>266</v>
      </c>
      <c r="C249" s="6">
        <f t="shared" ref="C249:P249" si="277">+C250-C248</f>
        <v>5964</v>
      </c>
      <c r="D249" s="6">
        <f t="shared" si="277"/>
        <v>14510</v>
      </c>
      <c r="E249" s="6">
        <f t="shared" si="277"/>
        <v>4040</v>
      </c>
      <c r="F249" s="6">
        <f t="shared" si="277"/>
        <v>4416</v>
      </c>
      <c r="G249" s="6">
        <f t="shared" si="277"/>
        <v>2288</v>
      </c>
      <c r="H249" s="6">
        <f t="shared" si="277"/>
        <v>2574</v>
      </c>
      <c r="I249" s="6">
        <f t="shared" si="277"/>
        <v>1484</v>
      </c>
      <c r="J249" s="6">
        <f t="shared" si="277"/>
        <v>1276</v>
      </c>
      <c r="K249" s="6">
        <f t="shared" si="277"/>
        <v>1142</v>
      </c>
      <c r="L249" s="6">
        <f t="shared" si="277"/>
        <v>1530</v>
      </c>
      <c r="M249" s="6">
        <f t="shared" si="277"/>
        <v>1544</v>
      </c>
      <c r="N249" s="6">
        <f t="shared" si="277"/>
        <v>1414</v>
      </c>
      <c r="O249" s="6">
        <f t="shared" si="277"/>
        <v>1761</v>
      </c>
      <c r="P249" s="6">
        <f t="shared" si="277"/>
        <v>1983</v>
      </c>
      <c r="Q249" s="6">
        <f>+Q250-Q248</f>
        <v>2039</v>
      </c>
      <c r="R249" s="29">
        <f ca="1">+R227</f>
        <v>1291.1137300419691</v>
      </c>
      <c r="S249" s="29">
        <f t="shared" ref="S249:AB249" ca="1" si="278">+S227</f>
        <v>1548.339324233717</v>
      </c>
      <c r="T249" s="29">
        <f t="shared" ca="1" si="278"/>
        <v>1701.5869929521791</v>
      </c>
      <c r="U249" s="29">
        <f t="shared" ca="1" si="278"/>
        <v>1762.2569212164667</v>
      </c>
      <c r="V249" s="29">
        <f t="shared" ca="1" si="278"/>
        <v>1831.3446442184318</v>
      </c>
      <c r="W249" s="29">
        <f t="shared" ca="1" si="278"/>
        <v>1890.0878666700844</v>
      </c>
      <c r="X249" s="29">
        <f t="shared" ca="1" si="278"/>
        <v>1936.3314510709261</v>
      </c>
      <c r="Y249" s="29">
        <f t="shared" ca="1" si="278"/>
        <v>1980.0239568729221</v>
      </c>
      <c r="Z249" s="29">
        <f t="shared" ca="1" si="278"/>
        <v>2021.4747898770054</v>
      </c>
      <c r="AA249" s="29">
        <f t="shared" ca="1" si="278"/>
        <v>2060.5563403568412</v>
      </c>
      <c r="AB249" s="29">
        <f t="shared" ca="1" si="278"/>
        <v>2100.4142214186459</v>
      </c>
      <c r="AD249" s="12">
        <f ca="1">(R249/K249)^(1/7)-1</f>
        <v>1.7686600871655411E-2</v>
      </c>
      <c r="AE249" s="12">
        <f ca="1">(AB249/R249)^(1/10)-1</f>
        <v>4.9866420080623586E-2</v>
      </c>
      <c r="AF249" s="12">
        <f t="shared" ca="1" si="276"/>
        <v>1.3650228534604292E-2</v>
      </c>
    </row>
    <row r="250" spans="2:32" hidden="1" outlineLevel="1" x14ac:dyDescent="0.35">
      <c r="B250" s="3" t="s">
        <v>267</v>
      </c>
      <c r="C250" s="4">
        <f>+'Historical Detailed'!D247</f>
        <v>9747</v>
      </c>
      <c r="D250" s="4">
        <f>+'Historical Detailed'!E247</f>
        <v>16653</v>
      </c>
      <c r="E250" s="4">
        <f>+'Historical Detailed'!F247</f>
        <v>6202</v>
      </c>
      <c r="F250" s="4">
        <f>+'Historical Detailed'!G247</f>
        <v>5722</v>
      </c>
      <c r="G250" s="4">
        <f>+'Historical Detailed'!H247</f>
        <v>3412</v>
      </c>
      <c r="H250" s="4">
        <f>+'Historical Detailed'!I247</f>
        <v>4465</v>
      </c>
      <c r="I250" s="4">
        <f>+'Historical Detailed'!J247</f>
        <v>4263</v>
      </c>
      <c r="J250" s="4">
        <f>+'Historical Detailed'!K247</f>
        <v>4651</v>
      </c>
      <c r="K250" s="4">
        <f>+'Historical Detailed'!L247</f>
        <v>4861</v>
      </c>
      <c r="L250" s="4">
        <f>+'Historical Detailed'!M247</f>
        <v>5437</v>
      </c>
      <c r="M250" s="4">
        <f>+'Historical Detailed'!N247</f>
        <v>5765</v>
      </c>
      <c r="N250" s="4">
        <f>+'Historical Detailed'!O247</f>
        <v>5804</v>
      </c>
      <c r="O250" s="4">
        <f>+'Historical Detailed'!P247</f>
        <v>6394</v>
      </c>
      <c r="P250" s="4">
        <f>+'Historical Detailed'!Q247</f>
        <v>6686</v>
      </c>
      <c r="Q250" s="4">
        <f>+'Historical Detailed'!R247</f>
        <v>8206</v>
      </c>
      <c r="R250" s="38">
        <f ca="1">SUM(R248:R249)</f>
        <v>7940.889469271975</v>
      </c>
      <c r="S250" s="38">
        <f t="shared" ref="S250:AB250" ca="1" si="279">SUM(S248:S249)</f>
        <v>7241.2459480402504</v>
      </c>
      <c r="T250" s="38">
        <f t="shared" ca="1" si="279"/>
        <v>7715.7436485295311</v>
      </c>
      <c r="U250" s="38">
        <f t="shared" ca="1" si="279"/>
        <v>8549.7869681133634</v>
      </c>
      <c r="V250" s="38">
        <f t="shared" ca="1" si="279"/>
        <v>9035.2168911808349</v>
      </c>
      <c r="W250" s="38">
        <f t="shared" ca="1" si="279"/>
        <v>9480.0643803354651</v>
      </c>
      <c r="X250" s="38">
        <f t="shared" ca="1" si="279"/>
        <v>9876.5383011481626</v>
      </c>
      <c r="Y250" s="38">
        <f t="shared" ca="1" si="279"/>
        <v>10243.751671323418</v>
      </c>
      <c r="Z250" s="38">
        <f t="shared" ca="1" si="279"/>
        <v>10582.670762987818</v>
      </c>
      <c r="AA250" s="38">
        <f t="shared" ca="1" si="279"/>
        <v>10890.087699526837</v>
      </c>
      <c r="AB250" s="38">
        <f t="shared" ca="1" si="279"/>
        <v>11203.348269511509</v>
      </c>
      <c r="AD250" s="12">
        <f ca="1">(R250/K250)^(1/7)-1</f>
        <v>7.2627866784652273E-2</v>
      </c>
      <c r="AE250" s="12">
        <f ca="1">(AB250/R250)^(1/10)-1</f>
        <v>3.5017918723291075E-2</v>
      </c>
      <c r="AF250" s="12">
        <f t="shared" ca="1" si="276"/>
        <v>4.4086677492671589E-2</v>
      </c>
    </row>
    <row r="251" spans="2:32" hidden="1" outlineLevel="1" x14ac:dyDescent="0.35">
      <c r="B251" s="2" t="s">
        <v>22</v>
      </c>
      <c r="C251" s="6">
        <f>-'Historical Detailed'!D248</f>
        <v>-3067</v>
      </c>
      <c r="D251" s="6">
        <f>-'Historical Detailed'!E248</f>
        <v>-3410</v>
      </c>
      <c r="E251" s="6">
        <f>-'Historical Detailed'!F248</f>
        <v>-5603</v>
      </c>
      <c r="F251" s="6">
        <f>-'Historical Detailed'!G248</f>
        <v>-357</v>
      </c>
      <c r="G251" s="6">
        <f>-'Historical Detailed'!H248</f>
        <v>-161</v>
      </c>
      <c r="H251" s="6">
        <f>-'Historical Detailed'!I248</f>
        <v>-329</v>
      </c>
      <c r="I251" s="6">
        <f>-'Historical Detailed'!J248</f>
        <v>-501</v>
      </c>
      <c r="J251" s="6">
        <f>-'Historical Detailed'!K248</f>
        <v>-457</v>
      </c>
      <c r="K251" s="6">
        <f>-'Historical Detailed'!L248</f>
        <v>-707</v>
      </c>
      <c r="L251" s="6">
        <f>-'Historical Detailed'!M248</f>
        <v>-917</v>
      </c>
      <c r="M251" s="6">
        <f>-'Historical Detailed'!N248</f>
        <v>-1148</v>
      </c>
      <c r="N251" s="6">
        <f>-'Historical Detailed'!O248</f>
        <v>-918</v>
      </c>
      <c r="O251" s="6">
        <f>-'Historical Detailed'!P248</f>
        <v>-998</v>
      </c>
      <c r="P251" s="6">
        <f>-'Historical Detailed'!Q248</f>
        <v>-1439</v>
      </c>
      <c r="Q251" s="6">
        <f>-'Historical Detailed'!R248</f>
        <v>-241</v>
      </c>
      <c r="R251" s="29">
        <f t="shared" ref="R251:AB251" si="280">-R209</f>
        <v>-1402.744469217223</v>
      </c>
      <c r="S251" s="29">
        <f t="shared" si="280"/>
        <v>-2514.8098761845977</v>
      </c>
      <c r="T251" s="29">
        <f t="shared" si="280"/>
        <v>-2629.0937764526839</v>
      </c>
      <c r="U251" s="29">
        <f t="shared" si="280"/>
        <v>-1818.4724339347988</v>
      </c>
      <c r="V251" s="29">
        <f t="shared" si="280"/>
        <v>-1797.0880939408814</v>
      </c>
      <c r="W251" s="29">
        <f t="shared" si="280"/>
        <v>-1807.117219216125</v>
      </c>
      <c r="X251" s="29">
        <f t="shared" si="280"/>
        <v>-1835.2372777435139</v>
      </c>
      <c r="Y251" s="29">
        <f t="shared" si="280"/>
        <v>-1882.5020557447046</v>
      </c>
      <c r="Z251" s="29">
        <f t="shared" si="280"/>
        <v>-1932.6009525747213</v>
      </c>
      <c r="AA251" s="29">
        <f t="shared" si="280"/>
        <v>-1974.0482710304768</v>
      </c>
      <c r="AB251" s="29">
        <f t="shared" si="280"/>
        <v>-2017.7077474378796</v>
      </c>
    </row>
    <row r="252" spans="2:32" hidden="1" outlineLevel="1" x14ac:dyDescent="0.35">
      <c r="B252" s="2" t="s">
        <v>23</v>
      </c>
      <c r="C252" s="62" t="str">
        <f>IFERROR(-'Historical Detailed'!D249/1,"na")</f>
        <v>na</v>
      </c>
      <c r="D252" s="62" t="str">
        <f>IFERROR(-'Historical Detailed'!E249/1,"na")</f>
        <v>na</v>
      </c>
      <c r="E252" s="62">
        <f>IFERROR(-'Historical Detailed'!F249/1,"na")</f>
        <v>-1517</v>
      </c>
      <c r="F252" s="62">
        <f>IFERROR(-'Historical Detailed'!G249/1,"na")</f>
        <v>-1858</v>
      </c>
      <c r="G252" s="62">
        <f>IFERROR(-'Historical Detailed'!H249/1,"na")</f>
        <v>-1424</v>
      </c>
      <c r="H252" s="62">
        <f>IFERROR(-'Historical Detailed'!I249/1,"na")</f>
        <v>-1488</v>
      </c>
      <c r="I252" s="62">
        <f>IFERROR(-'Historical Detailed'!J249/1,"na")</f>
        <v>-921</v>
      </c>
      <c r="J252" s="62">
        <f>IFERROR(-'Historical Detailed'!K249/1,"na")</f>
        <v>-902</v>
      </c>
      <c r="K252" s="62">
        <f>IFERROR(-'Historical Detailed'!L249/1,"na")</f>
        <v>-946</v>
      </c>
      <c r="L252" s="62">
        <f>IFERROR(-'Historical Detailed'!M249/1,"na")</f>
        <v>-989</v>
      </c>
      <c r="M252" s="62">
        <f>IFERROR(-'Historical Detailed'!N249/1,"na")</f>
        <v>-1068</v>
      </c>
      <c r="N252" s="62">
        <f>IFERROR(-'Historical Detailed'!O249/1,"na")</f>
        <v>-1105</v>
      </c>
      <c r="O252" s="62">
        <f>IFERROR(-'Historical Detailed'!P249/1,"na")</f>
        <v>-1168</v>
      </c>
      <c r="P252" s="62">
        <f>IFERROR(-'Historical Detailed'!Q249/1,"na")</f>
        <v>-1232</v>
      </c>
      <c r="Q252" s="62">
        <f>IFERROR(-'Historical Detailed'!R249/1,"na")</f>
        <v>-1317</v>
      </c>
      <c r="R252" s="29">
        <f t="shared" ref="R252:AB252" ca="1" si="281">(-R$263*R$250)*(Q252/SUM(Q$252,Q$255))</f>
        <v>-1358.5543558107547</v>
      </c>
      <c r="S252" s="29">
        <f t="shared" ca="1" si="281"/>
        <v>-1337.9655217789725</v>
      </c>
      <c r="T252" s="29">
        <f t="shared" ca="1" si="281"/>
        <v>-1372.837069435948</v>
      </c>
      <c r="U252" s="29">
        <f t="shared" ca="1" si="281"/>
        <v>-1491.981141302339</v>
      </c>
      <c r="V252" s="29">
        <f t="shared" ca="1" si="281"/>
        <v>-1576.6911221874334</v>
      </c>
      <c r="W252" s="29">
        <f t="shared" ca="1" si="281"/>
        <v>-1654.3192627539415</v>
      </c>
      <c r="X252" s="29">
        <f t="shared" ca="1" si="281"/>
        <v>-1723.5059705721449</v>
      </c>
      <c r="Y252" s="29">
        <f t="shared" ca="1" si="281"/>
        <v>-1787.5865640628213</v>
      </c>
      <c r="Z252" s="29">
        <f t="shared" ca="1" si="281"/>
        <v>-1846.7296626074376</v>
      </c>
      <c r="AA252" s="29">
        <f t="shared" ca="1" si="281"/>
        <v>-1900.3754754848508</v>
      </c>
      <c r="AB252" s="29">
        <f t="shared" ca="1" si="281"/>
        <v>-1955.0410320038436</v>
      </c>
    </row>
    <row r="253" spans="2:32" hidden="1" outlineLevel="1" x14ac:dyDescent="0.35">
      <c r="B253" s="2" t="s">
        <v>25</v>
      </c>
      <c r="C253" s="6">
        <f>-'Historical Detailed'!D250</f>
        <v>-1376</v>
      </c>
      <c r="D253" s="6">
        <f>-'Historical Detailed'!E250</f>
        <v>-1402</v>
      </c>
      <c r="E253" s="6">
        <f>-'Historical Detailed'!F250</f>
        <v>-992</v>
      </c>
      <c r="F253" s="6">
        <f>-'Historical Detailed'!G250</f>
        <v>-511</v>
      </c>
      <c r="G253" s="6">
        <f>-'Historical Detailed'!H250</f>
        <v>-452</v>
      </c>
      <c r="H253" s="6">
        <f>-'Historical Detailed'!I250</f>
        <v>-454</v>
      </c>
      <c r="I253" s="6">
        <f>-'Historical Detailed'!J250</f>
        <v>-405</v>
      </c>
      <c r="J253" s="6">
        <f>-'Historical Detailed'!K250</f>
        <v>-410</v>
      </c>
      <c r="K253" s="6">
        <f>-'Historical Detailed'!L250</f>
        <v>-293</v>
      </c>
      <c r="L253" s="6">
        <f>-'Historical Detailed'!M250</f>
        <v>-342</v>
      </c>
      <c r="M253" s="6">
        <f>-'Historical Detailed'!N250</f>
        <v>-332</v>
      </c>
      <c r="N253" s="6">
        <f>-'Historical Detailed'!O250</f>
        <v>-295</v>
      </c>
      <c r="O253" s="6">
        <f>-'Historical Detailed'!P250</f>
        <v>-321</v>
      </c>
      <c r="P253" s="6">
        <f>-'Historical Detailed'!Q250</f>
        <v>-363</v>
      </c>
      <c r="Q253" s="6">
        <f>-'Historical Detailed'!R250</f>
        <v>-261</v>
      </c>
      <c r="R253" s="29">
        <f>+R238*R235</f>
        <v>-323.99409048055361</v>
      </c>
      <c r="S253" s="29">
        <f t="shared" ref="S253:AB253" si="282">+S238*S235</f>
        <v>-336.65010963995024</v>
      </c>
      <c r="T253" s="29">
        <f t="shared" si="282"/>
        <v>-323.18410525435229</v>
      </c>
      <c r="U253" s="29">
        <f t="shared" si="282"/>
        <v>-332.87962841198288</v>
      </c>
      <c r="V253" s="29">
        <f t="shared" si="282"/>
        <v>-346.19481354846215</v>
      </c>
      <c r="W253" s="29">
        <f t="shared" si="282"/>
        <v>-356.58065795491598</v>
      </c>
      <c r="X253" s="29">
        <f t="shared" si="282"/>
        <v>-363.7122711140143</v>
      </c>
      <c r="Y253" s="29">
        <f t="shared" si="282"/>
        <v>-370.98651653629452</v>
      </c>
      <c r="Z253" s="29">
        <f t="shared" si="282"/>
        <v>-378.40624686702051</v>
      </c>
      <c r="AA253" s="29">
        <f t="shared" si="282"/>
        <v>-385.97437180436089</v>
      </c>
      <c r="AB253" s="29">
        <f t="shared" si="282"/>
        <v>-393.69385924044803</v>
      </c>
    </row>
    <row r="254" spans="2:32" hidden="1" outlineLevel="1" x14ac:dyDescent="0.35">
      <c r="B254" s="2" t="s">
        <v>26</v>
      </c>
      <c r="C254" s="6">
        <f>-'Historical Detailed'!D251</f>
        <v>-438</v>
      </c>
      <c r="D254" s="6">
        <f>-'Historical Detailed'!E251</f>
        <v>-1234</v>
      </c>
      <c r="E254" s="6">
        <f>-'Historical Detailed'!F251</f>
        <v>0</v>
      </c>
      <c r="F254" s="6">
        <f>-'Historical Detailed'!G251</f>
        <v>0</v>
      </c>
      <c r="G254" s="6">
        <f>-'Historical Detailed'!H251</f>
        <v>0</v>
      </c>
      <c r="H254" s="6">
        <f>-'Historical Detailed'!I251</f>
        <v>0</v>
      </c>
      <c r="I254" s="6">
        <f>-'Historical Detailed'!J251</f>
        <v>0</v>
      </c>
      <c r="J254" s="6">
        <f>-'Historical Detailed'!K251</f>
        <v>0</v>
      </c>
      <c r="K254" s="6">
        <f>-'Historical Detailed'!L251</f>
        <v>0</v>
      </c>
      <c r="L254" s="6">
        <f>-'Historical Detailed'!M251</f>
        <v>0</v>
      </c>
      <c r="M254" s="6">
        <f>-'Historical Detailed'!N251</f>
        <v>0</v>
      </c>
      <c r="N254" s="6">
        <f>-'Historical Detailed'!O251</f>
        <v>0</v>
      </c>
      <c r="O254" s="6">
        <f>-'Historical Detailed'!P251</f>
        <v>0</v>
      </c>
      <c r="P254" s="6">
        <f>-'Historical Detailed'!Q251</f>
        <v>-50</v>
      </c>
      <c r="Q254" s="6">
        <f>-'Historical Detailed'!R251</f>
        <v>0</v>
      </c>
      <c r="R254" s="42">
        <v>0</v>
      </c>
      <c r="S254" s="42">
        <v>0</v>
      </c>
      <c r="T254" s="42">
        <v>0</v>
      </c>
      <c r="U254" s="42">
        <v>0</v>
      </c>
      <c r="V254" s="42">
        <v>0</v>
      </c>
      <c r="W254" s="42">
        <v>0</v>
      </c>
      <c r="X254" s="42">
        <v>0</v>
      </c>
      <c r="Y254" s="42">
        <v>0</v>
      </c>
      <c r="Z254" s="42">
        <v>0</v>
      </c>
      <c r="AA254" s="42">
        <v>0</v>
      </c>
      <c r="AB254" s="42">
        <v>0</v>
      </c>
    </row>
    <row r="255" spans="2:32" hidden="1" outlineLevel="1" x14ac:dyDescent="0.35">
      <c r="B255" s="2" t="s">
        <v>12</v>
      </c>
      <c r="C255" s="6">
        <f>-'Historical Detailed'!D252</f>
        <v>-6672</v>
      </c>
      <c r="D255" s="6">
        <f>-'Historical Detailed'!E252</f>
        <v>-7231</v>
      </c>
      <c r="E255" s="6">
        <f>-'Historical Detailed'!F252</f>
        <v>-4999</v>
      </c>
      <c r="F255" s="6">
        <f>-'Historical Detailed'!G252</f>
        <v>-2604</v>
      </c>
      <c r="G255" s="6">
        <f>-'Historical Detailed'!H252</f>
        <v>-1552</v>
      </c>
      <c r="H255" s="6">
        <f>-'Historical Detailed'!I252</f>
        <v>-1680</v>
      </c>
      <c r="I255" s="6">
        <f>-'Historical Detailed'!J252</f>
        <v>-2079</v>
      </c>
      <c r="J255" s="6">
        <f>-'Historical Detailed'!K252</f>
        <v>-1636</v>
      </c>
      <c r="K255" s="6">
        <f>-'Historical Detailed'!L252</f>
        <v>-1522</v>
      </c>
      <c r="L255" s="6">
        <f>-'Historical Detailed'!M252</f>
        <v>-1608</v>
      </c>
      <c r="M255" s="6">
        <f>-'Historical Detailed'!N252</f>
        <v>-1710</v>
      </c>
      <c r="N255" s="6">
        <f>-'Historical Detailed'!O252</f>
        <v>-1864</v>
      </c>
      <c r="O255" s="6">
        <f>-'Historical Detailed'!P252</f>
        <v>-1940</v>
      </c>
      <c r="P255" s="6">
        <f>-'Historical Detailed'!Q252</f>
        <v>-2188</v>
      </c>
      <c r="Q255" s="6">
        <f>-'Historical Detailed'!R252</f>
        <v>-2532</v>
      </c>
      <c r="R255" s="29">
        <f t="shared" ref="R255:AB255" ca="1" si="283">(-R$263*R$250)*(Q255/SUM(Q$252,Q$255))</f>
        <v>-2611.8903788252323</v>
      </c>
      <c r="S255" s="29">
        <f t="shared" ca="1" si="283"/>
        <v>-2572.3072901627629</v>
      </c>
      <c r="T255" s="29">
        <f t="shared" ca="1" si="283"/>
        <v>-2639.3496277994086</v>
      </c>
      <c r="U255" s="29">
        <f t="shared" ca="1" si="283"/>
        <v>-2868.4102124354768</v>
      </c>
      <c r="V255" s="29">
        <f t="shared" ca="1" si="283"/>
        <v>-3031.2694923147928</v>
      </c>
      <c r="W255" s="29">
        <f t="shared" ca="1" si="283"/>
        <v>-3180.5135712171455</v>
      </c>
      <c r="X255" s="29">
        <f t="shared" ca="1" si="283"/>
        <v>-3313.5285630134181</v>
      </c>
      <c r="Y255" s="29">
        <f t="shared" ca="1" si="283"/>
        <v>-3436.7267883121217</v>
      </c>
      <c r="Z255" s="29">
        <f t="shared" ca="1" si="283"/>
        <v>-3550.43242651635</v>
      </c>
      <c r="AA255" s="29">
        <f t="shared" ca="1" si="283"/>
        <v>-3653.5692512738369</v>
      </c>
      <c r="AB255" s="29">
        <f t="shared" ca="1" si="283"/>
        <v>-3758.6665854470261</v>
      </c>
    </row>
    <row r="256" spans="2:32" hidden="1" outlineLevel="1" x14ac:dyDescent="0.35">
      <c r="B256" s="3" t="s">
        <v>27</v>
      </c>
      <c r="C256" s="4">
        <f t="shared" ref="C256:P256" si="284">SUM(C250:C255)</f>
        <v>-1806</v>
      </c>
      <c r="D256" s="4">
        <f t="shared" si="284"/>
        <v>3376</v>
      </c>
      <c r="E256" s="4">
        <f t="shared" si="284"/>
        <v>-6909</v>
      </c>
      <c r="F256" s="4">
        <f t="shared" si="284"/>
        <v>392</v>
      </c>
      <c r="G256" s="4">
        <f t="shared" si="284"/>
        <v>-177</v>
      </c>
      <c r="H256" s="4">
        <f t="shared" si="284"/>
        <v>514</v>
      </c>
      <c r="I256" s="4">
        <f t="shared" si="284"/>
        <v>357</v>
      </c>
      <c r="J256" s="4">
        <f t="shared" si="284"/>
        <v>1246</v>
      </c>
      <c r="K256" s="4">
        <f t="shared" si="284"/>
        <v>1393</v>
      </c>
      <c r="L256" s="4">
        <f t="shared" si="284"/>
        <v>1581</v>
      </c>
      <c r="M256" s="4">
        <f t="shared" si="284"/>
        <v>1507</v>
      </c>
      <c r="N256" s="4">
        <f t="shared" si="284"/>
        <v>1622</v>
      </c>
      <c r="O256" s="4">
        <f t="shared" si="284"/>
        <v>1967</v>
      </c>
      <c r="P256" s="4">
        <f t="shared" si="284"/>
        <v>1414</v>
      </c>
      <c r="Q256" s="4">
        <f>SUM(Q250:Q255)</f>
        <v>3855</v>
      </c>
      <c r="R256" s="4">
        <f t="shared" ref="R256:AB256" ca="1" si="285">SUM(R250:R255)</f>
        <v>2243.7061749382115</v>
      </c>
      <c r="S256" s="4">
        <f t="shared" ca="1" si="285"/>
        <v>479.51315027396731</v>
      </c>
      <c r="T256" s="4">
        <f t="shared" ca="1" si="285"/>
        <v>751.27906958713766</v>
      </c>
      <c r="U256" s="4">
        <f t="shared" ca="1" si="285"/>
        <v>2038.0435520287665</v>
      </c>
      <c r="V256" s="4">
        <f t="shared" ca="1" si="285"/>
        <v>2283.9733691892652</v>
      </c>
      <c r="W256" s="4">
        <f t="shared" ca="1" si="285"/>
        <v>2481.5336691933376</v>
      </c>
      <c r="X256" s="4">
        <f t="shared" ca="1" si="285"/>
        <v>2640.554218705071</v>
      </c>
      <c r="Y256" s="4">
        <f t="shared" ca="1" si="285"/>
        <v>2765.9497466674761</v>
      </c>
      <c r="Z256" s="4">
        <f t="shared" ca="1" si="285"/>
        <v>2874.5014744222885</v>
      </c>
      <c r="AA256" s="4">
        <f t="shared" ca="1" si="285"/>
        <v>2976.120329933312</v>
      </c>
      <c r="AB256" s="4">
        <f t="shared" ca="1" si="285"/>
        <v>3078.2390453823114</v>
      </c>
      <c r="AD256" s="12">
        <f ca="1">(R256/K256)^(1/7)-1</f>
        <v>7.0467662651904073E-2</v>
      </c>
      <c r="AE256" s="12">
        <f ca="1">(AB256/R256)^(1/10)-1</f>
        <v>3.2128180643738569E-2</v>
      </c>
      <c r="AF256" s="12">
        <f t="shared" ref="AF256" ca="1" si="286">(AB256/O256)^(1/13)-1</f>
        <v>3.5050127715751334E-2</v>
      </c>
    </row>
    <row r="257" spans="2:50" hidden="1" outlineLevel="1" x14ac:dyDescent="0.35">
      <c r="B257" t="s">
        <v>234</v>
      </c>
      <c r="C257" s="6">
        <f>+'Historical Detailed'!D256+'Historical Detailed'!D258</f>
        <v>-395</v>
      </c>
      <c r="D257" s="6">
        <f>+'Historical Detailed'!E256+'Historical Detailed'!E258</f>
        <v>60</v>
      </c>
      <c r="E257" s="6">
        <f>+'Historical Detailed'!F256+'Historical Detailed'!F258</f>
        <v>-74</v>
      </c>
      <c r="F257" s="6">
        <f>+'Historical Detailed'!G256+'Historical Detailed'!G258</f>
        <v>-104</v>
      </c>
      <c r="G257" s="6">
        <f>+'Historical Detailed'!H256+'Historical Detailed'!H258</f>
        <v>-42</v>
      </c>
      <c r="H257" s="6">
        <f>+'Historical Detailed'!I256+'Historical Detailed'!I258</f>
        <v>856</v>
      </c>
      <c r="I257" s="6">
        <f>+'Historical Detailed'!J256+'Historical Detailed'!J258</f>
        <v>59</v>
      </c>
      <c r="J257" s="6">
        <f>+'Historical Detailed'!K256+'Historical Detailed'!K258</f>
        <v>-321</v>
      </c>
      <c r="K257" s="6">
        <f>+'Historical Detailed'!L256+'Historical Detailed'!L258</f>
        <v>-496</v>
      </c>
      <c r="L257" s="6">
        <f>+'Historical Detailed'!M256+'Historical Detailed'!M258</f>
        <v>-470</v>
      </c>
      <c r="M257" s="6">
        <f>+'Historical Detailed'!N256+'Historical Detailed'!N258</f>
        <v>-581</v>
      </c>
      <c r="N257" s="6">
        <f>+'Historical Detailed'!O256+'Historical Detailed'!O258</f>
        <v>-359</v>
      </c>
      <c r="O257" s="6">
        <f>+'Historical Detailed'!P256+'Historical Detailed'!P258</f>
        <v>-246</v>
      </c>
      <c r="P257" s="6">
        <f>+'Historical Detailed'!Q256+'Historical Detailed'!Q258</f>
        <v>-328</v>
      </c>
      <c r="Q257" s="6">
        <f>+'Historical Detailed'!R256+'Historical Detailed'!R258</f>
        <v>-790</v>
      </c>
      <c r="R257" s="35">
        <f ca="1">-R258*R256</f>
        <v>-471.17829673702437</v>
      </c>
      <c r="S257" s="35">
        <f t="shared" ref="S257:AB257" ca="1" si="287">-S258*S256</f>
        <v>-100.69776155753313</v>
      </c>
      <c r="T257" s="35">
        <f t="shared" ca="1" si="287"/>
        <v>-157.76860461329889</v>
      </c>
      <c r="U257" s="35">
        <f t="shared" ca="1" si="287"/>
        <v>-427.98914592604098</v>
      </c>
      <c r="V257" s="35">
        <f t="shared" ca="1" si="287"/>
        <v>-479.63440752974566</v>
      </c>
      <c r="W257" s="35">
        <f t="shared" ca="1" si="287"/>
        <v>-521.12207053060092</v>
      </c>
      <c r="X257" s="35">
        <f t="shared" ca="1" si="287"/>
        <v>-554.51638592806489</v>
      </c>
      <c r="Y257" s="35">
        <f t="shared" ca="1" si="287"/>
        <v>-580.84944680016997</v>
      </c>
      <c r="Z257" s="35">
        <f t="shared" ca="1" si="287"/>
        <v>-603.64530962868059</v>
      </c>
      <c r="AA257" s="35">
        <f t="shared" ca="1" si="287"/>
        <v>-624.98526928599551</v>
      </c>
      <c r="AB257" s="35">
        <f t="shared" ca="1" si="287"/>
        <v>-646.43019953028534</v>
      </c>
    </row>
    <row r="258" spans="2:50" hidden="1" outlineLevel="1" x14ac:dyDescent="0.35">
      <c r="B258" t="s">
        <v>268</v>
      </c>
      <c r="C258" s="43">
        <f t="shared" ref="C258:P258" si="288">-C257/C256</f>
        <v>-0.21871539313399779</v>
      </c>
      <c r="D258" s="43">
        <f t="shared" si="288"/>
        <v>-1.7772511848341232E-2</v>
      </c>
      <c r="E258" s="43">
        <f t="shared" si="288"/>
        <v>-1.0710667245621653E-2</v>
      </c>
      <c r="F258" s="43">
        <f t="shared" si="288"/>
        <v>0.26530612244897961</v>
      </c>
      <c r="G258" s="43">
        <f t="shared" si="288"/>
        <v>-0.23728813559322035</v>
      </c>
      <c r="H258" s="43">
        <f t="shared" si="288"/>
        <v>-1.6653696498054475</v>
      </c>
      <c r="I258" s="43">
        <f t="shared" si="288"/>
        <v>-0.16526610644257703</v>
      </c>
      <c r="J258" s="43">
        <f t="shared" si="288"/>
        <v>0.2576243980738363</v>
      </c>
      <c r="K258" s="43">
        <f t="shared" si="288"/>
        <v>0.35606604450825557</v>
      </c>
      <c r="L258" s="43">
        <f t="shared" si="288"/>
        <v>0.29728020240354208</v>
      </c>
      <c r="M258" s="43">
        <f t="shared" si="288"/>
        <v>0.38553417385534172</v>
      </c>
      <c r="N258" s="43">
        <f t="shared" si="288"/>
        <v>0.22133168927250307</v>
      </c>
      <c r="O258" s="43">
        <f t="shared" si="288"/>
        <v>0.12506354855109303</v>
      </c>
      <c r="P258" s="43">
        <f t="shared" si="288"/>
        <v>0.23196605374823195</v>
      </c>
      <c r="Q258" s="43">
        <f>-Q257/Q256</f>
        <v>0.20492866407263294</v>
      </c>
      <c r="R258" s="17">
        <v>0.21</v>
      </c>
      <c r="S258" s="17">
        <v>0.21</v>
      </c>
      <c r="T258" s="17">
        <v>0.21</v>
      </c>
      <c r="U258" s="17">
        <v>0.21</v>
      </c>
      <c r="V258" s="17">
        <v>0.21</v>
      </c>
      <c r="W258" s="17">
        <v>0.21</v>
      </c>
      <c r="X258" s="17">
        <v>0.21</v>
      </c>
      <c r="Y258" s="17">
        <v>0.21</v>
      </c>
      <c r="Z258" s="17">
        <v>0.21</v>
      </c>
      <c r="AA258" s="17">
        <v>0.21</v>
      </c>
      <c r="AB258" s="17">
        <v>0.21</v>
      </c>
    </row>
    <row r="259" spans="2:50" hidden="1" outlineLevel="1" x14ac:dyDescent="0.35">
      <c r="B259" s="3" t="s">
        <v>47</v>
      </c>
      <c r="C259" s="4">
        <f>+C256+C257</f>
        <v>-2201</v>
      </c>
      <c r="D259" s="4">
        <f t="shared" ref="D259:AB259" si="289">+D256+D257</f>
        <v>3436</v>
      </c>
      <c r="E259" s="4">
        <f t="shared" si="289"/>
        <v>-6983</v>
      </c>
      <c r="F259" s="4">
        <f t="shared" si="289"/>
        <v>288</v>
      </c>
      <c r="G259" s="4">
        <f t="shared" si="289"/>
        <v>-219</v>
      </c>
      <c r="H259" s="4">
        <f t="shared" si="289"/>
        <v>1370</v>
      </c>
      <c r="I259" s="4">
        <f t="shared" si="289"/>
        <v>416</v>
      </c>
      <c r="J259" s="4">
        <f t="shared" si="289"/>
        <v>925</v>
      </c>
      <c r="K259" s="4">
        <f t="shared" si="289"/>
        <v>897</v>
      </c>
      <c r="L259" s="4">
        <f t="shared" si="289"/>
        <v>1111</v>
      </c>
      <c r="M259" s="4">
        <f t="shared" si="289"/>
        <v>926</v>
      </c>
      <c r="N259" s="4">
        <f t="shared" si="289"/>
        <v>1263</v>
      </c>
      <c r="O259" s="4">
        <f t="shared" si="289"/>
        <v>1721</v>
      </c>
      <c r="P259" s="4">
        <f t="shared" si="289"/>
        <v>1086</v>
      </c>
      <c r="Q259" s="4">
        <f>+Q256+Q257</f>
        <v>3065</v>
      </c>
      <c r="R259" s="4">
        <f t="shared" ca="1" si="289"/>
        <v>1772.5278782011871</v>
      </c>
      <c r="S259" s="4">
        <f t="shared" ca="1" si="289"/>
        <v>378.8153887164342</v>
      </c>
      <c r="T259" s="4">
        <f t="shared" ca="1" si="289"/>
        <v>593.51046497383879</v>
      </c>
      <c r="U259" s="4">
        <f t="shared" ca="1" si="289"/>
        <v>1610.0544061027256</v>
      </c>
      <c r="V259" s="4">
        <f t="shared" ca="1" si="289"/>
        <v>1804.3389616595196</v>
      </c>
      <c r="W259" s="4">
        <f t="shared" ca="1" si="289"/>
        <v>1960.4115986627367</v>
      </c>
      <c r="X259" s="4">
        <f t="shared" ca="1" si="289"/>
        <v>2086.0378327770059</v>
      </c>
      <c r="Y259" s="4">
        <f t="shared" ca="1" si="289"/>
        <v>2185.1002998673061</v>
      </c>
      <c r="Z259" s="4">
        <f t="shared" ca="1" si="289"/>
        <v>2270.8561647936081</v>
      </c>
      <c r="AA259" s="4">
        <f t="shared" ca="1" si="289"/>
        <v>2351.1350606473165</v>
      </c>
      <c r="AB259" s="4">
        <f t="shared" ca="1" si="289"/>
        <v>2431.808845852026</v>
      </c>
      <c r="AD259" s="12">
        <f ca="1">(R259/K259)^(1/7)-1</f>
        <v>0.10219194564561751</v>
      </c>
      <c r="AE259" s="12">
        <f ca="1">(AB259/R259)^(1/10)-1</f>
        <v>3.2128180643738569E-2</v>
      </c>
      <c r="AF259" s="12">
        <f t="shared" ref="AF259" ca="1" si="290">(AB259/O259)^(1/13)-1</f>
        <v>2.6951395761415142E-2</v>
      </c>
    </row>
    <row r="260" spans="2:50" hidden="1" outlineLevel="1" x14ac:dyDescent="0.35">
      <c r="B260" t="s">
        <v>269</v>
      </c>
      <c r="C260" s="6">
        <f>+'Historical Detailed'!D261</f>
        <v>-131</v>
      </c>
      <c r="D260" s="6">
        <f>+'Historical Detailed'!E261</f>
        <v>-1568</v>
      </c>
      <c r="E260" s="6">
        <f>+'Historical Detailed'!F261</f>
        <v>-3315</v>
      </c>
      <c r="F260" s="6">
        <f>+'Historical Detailed'!G261</f>
        <v>741</v>
      </c>
      <c r="G260" s="6">
        <f>+'Historical Detailed'!H261</f>
        <v>62</v>
      </c>
      <c r="H260" s="6">
        <f>+'Historical Detailed'!I261</f>
        <v>-174</v>
      </c>
      <c r="I260" s="6">
        <f>+'Historical Detailed'!J261</f>
        <v>-55</v>
      </c>
      <c r="J260" s="6">
        <f>+'Historical Detailed'!K261</f>
        <v>225</v>
      </c>
      <c r="K260" s="6">
        <f>+'Historical Detailed'!L261</f>
        <v>392</v>
      </c>
      <c r="L260" s="6">
        <f>+'Historical Detailed'!M261</f>
        <v>-44</v>
      </c>
      <c r="M260" s="6">
        <f>+'Historical Detailed'!N261</f>
        <v>3</v>
      </c>
      <c r="N260" s="6">
        <f>+'Historical Detailed'!O261</f>
        <v>0</v>
      </c>
      <c r="O260" s="6">
        <f>+'Historical Detailed'!P261</f>
        <v>-6</v>
      </c>
      <c r="P260" s="6">
        <f>+'Historical Detailed'!Q261</f>
        <v>-1</v>
      </c>
      <c r="Q260" s="6">
        <f>+'Historical Detailed'!R261</f>
        <v>-5</v>
      </c>
      <c r="R260" s="42">
        <v>0</v>
      </c>
      <c r="S260" s="42">
        <v>0</v>
      </c>
      <c r="T260" s="42">
        <v>0</v>
      </c>
      <c r="U260" s="42">
        <v>0</v>
      </c>
      <c r="V260" s="42">
        <v>0</v>
      </c>
      <c r="W260" s="42">
        <v>0</v>
      </c>
      <c r="X260" s="42">
        <v>0</v>
      </c>
      <c r="Y260" s="42">
        <v>0</v>
      </c>
      <c r="Z260" s="42">
        <v>0</v>
      </c>
      <c r="AA260" s="42">
        <v>0</v>
      </c>
      <c r="AB260" s="42">
        <v>0</v>
      </c>
    </row>
    <row r="261" spans="2:50" hidden="1" outlineLevel="1" x14ac:dyDescent="0.35">
      <c r="B261" s="3" t="s">
        <v>270</v>
      </c>
      <c r="C261" s="4">
        <f>+C260+C259</f>
        <v>-2332</v>
      </c>
      <c r="D261" s="4">
        <f t="shared" ref="D261:P261" si="291">+D260+D259</f>
        <v>1868</v>
      </c>
      <c r="E261" s="4">
        <f t="shared" si="291"/>
        <v>-10298</v>
      </c>
      <c r="F261" s="4">
        <f t="shared" si="291"/>
        <v>1029</v>
      </c>
      <c r="G261" s="4">
        <f t="shared" si="291"/>
        <v>-157</v>
      </c>
      <c r="H261" s="4">
        <f t="shared" si="291"/>
        <v>1196</v>
      </c>
      <c r="I261" s="4">
        <f t="shared" si="291"/>
        <v>361</v>
      </c>
      <c r="J261" s="4">
        <f t="shared" si="291"/>
        <v>1150</v>
      </c>
      <c r="K261" s="4">
        <f t="shared" si="291"/>
        <v>1289</v>
      </c>
      <c r="L261" s="4">
        <f t="shared" si="291"/>
        <v>1067</v>
      </c>
      <c r="M261" s="4">
        <f t="shared" si="291"/>
        <v>929</v>
      </c>
      <c r="N261" s="4">
        <f t="shared" si="291"/>
        <v>1263</v>
      </c>
      <c r="O261" s="4">
        <f t="shared" si="291"/>
        <v>1715</v>
      </c>
      <c r="P261" s="4">
        <f t="shared" si="291"/>
        <v>1085</v>
      </c>
      <c r="Q261" s="4">
        <f>+Q260+Q259</f>
        <v>3060</v>
      </c>
      <c r="R261" s="4">
        <f t="shared" ref="R261" ca="1" si="292">+R260+R259</f>
        <v>1772.5278782011871</v>
      </c>
      <c r="S261" s="4">
        <f t="shared" ref="S261" ca="1" si="293">+S260+S259</f>
        <v>378.8153887164342</v>
      </c>
      <c r="T261" s="4">
        <f t="shared" ref="T261" ca="1" si="294">+T260+T259</f>
        <v>593.51046497383879</v>
      </c>
      <c r="U261" s="4">
        <f t="shared" ref="U261" ca="1" si="295">+U260+U259</f>
        <v>1610.0544061027256</v>
      </c>
      <c r="V261" s="4">
        <f t="shared" ref="V261" ca="1" si="296">+V260+V259</f>
        <v>1804.3389616595196</v>
      </c>
      <c r="W261" s="4">
        <f t="shared" ref="W261" ca="1" si="297">+W260+W259</f>
        <v>1960.4115986627367</v>
      </c>
      <c r="X261" s="4">
        <f t="shared" ref="X261" ca="1" si="298">+X260+X259</f>
        <v>2086.0378327770059</v>
      </c>
      <c r="Y261" s="4">
        <f t="shared" ref="Y261" ca="1" si="299">+Y260+Y259</f>
        <v>2185.1002998673061</v>
      </c>
      <c r="Z261" s="4">
        <f t="shared" ref="Z261" ca="1" si="300">+Z260+Z259</f>
        <v>2270.8561647936081</v>
      </c>
      <c r="AA261" s="4">
        <f t="shared" ref="AA261" ca="1" si="301">+AA260+AA259</f>
        <v>2351.1350606473165</v>
      </c>
      <c r="AB261" s="4">
        <f t="shared" ref="AB261" ca="1" si="302">+AB260+AB259</f>
        <v>2431.808845852026</v>
      </c>
      <c r="AD261" s="12">
        <f ca="1">(R261/K261)^(1/7)-1</f>
        <v>4.6556982459285967E-2</v>
      </c>
      <c r="AE261" s="12">
        <f ca="1">(AB261/R261)^(1/10)-1</f>
        <v>3.2128180643738569E-2</v>
      </c>
      <c r="AF261" s="12">
        <f t="shared" ref="AF261" ca="1" si="303">(AB261/O261)^(1/13)-1</f>
        <v>2.7227322258269959E-2</v>
      </c>
    </row>
    <row r="262" spans="2:50" hidden="1" outlineLevel="1" x14ac:dyDescent="0.35">
      <c r="B262" t="s">
        <v>305</v>
      </c>
      <c r="C262" s="21"/>
      <c r="D262" s="21"/>
      <c r="E262" s="21"/>
      <c r="F262" s="21"/>
      <c r="G262" s="21"/>
      <c r="H262" s="21"/>
      <c r="I262" s="21">
        <f t="shared" ref="I262:AB262" si="304">+I261/I30</f>
        <v>0.85918422718639775</v>
      </c>
      <c r="J262" s="21">
        <f t="shared" si="304"/>
        <v>2.3900821980442895</v>
      </c>
      <c r="K262" s="21">
        <f t="shared" si="304"/>
        <v>2.6694389622115962</v>
      </c>
      <c r="L262" s="21">
        <f t="shared" si="304"/>
        <v>2.2178110807412104</v>
      </c>
      <c r="M262" s="21">
        <f t="shared" si="304"/>
        <v>2.0475904995327348</v>
      </c>
      <c r="N262" s="21">
        <f t="shared" si="304"/>
        <v>2.9706114096880034</v>
      </c>
      <c r="O262" s="21">
        <f t="shared" si="304"/>
        <v>4.3612708972265883</v>
      </c>
      <c r="P262" s="21">
        <f t="shared" si="304"/>
        <v>2.8884883754981643</v>
      </c>
      <c r="Q262" s="21">
        <f t="shared" si="304"/>
        <v>8.4394469680045674</v>
      </c>
      <c r="R262" s="21">
        <f t="shared" ca="1" si="304"/>
        <v>5.7508528914450299</v>
      </c>
      <c r="S262" s="21">
        <f t="shared" ca="1" si="304"/>
        <v>1.2206893476318426</v>
      </c>
      <c r="T262" s="21">
        <f t="shared" ca="1" si="304"/>
        <v>1.9004921509470716</v>
      </c>
      <c r="U262" s="21">
        <f t="shared" ca="1" si="304"/>
        <v>5.1485974974993898</v>
      </c>
      <c r="V262" s="21">
        <f t="shared" ca="1" si="304"/>
        <v>5.8619844501371574</v>
      </c>
      <c r="W262" s="21">
        <f t="shared" ca="1" si="304"/>
        <v>6.5888491943112264</v>
      </c>
      <c r="X262" s="21">
        <f t="shared" ca="1" si="304"/>
        <v>7.3383323491315577</v>
      </c>
      <c r="Y262" s="21">
        <f t="shared" ca="1" si="304"/>
        <v>8.0743478863890701</v>
      </c>
      <c r="Z262" s="21">
        <f t="shared" ca="1" si="304"/>
        <v>8.8509697430162042</v>
      </c>
      <c r="AA262" s="21">
        <f t="shared" ca="1" si="304"/>
        <v>9.7131418098756956</v>
      </c>
      <c r="AB262" s="21">
        <f t="shared" ca="1" si="304"/>
        <v>10.710107307039006</v>
      </c>
      <c r="AC262" s="21"/>
    </row>
    <row r="263" spans="2:50" hidden="1" outlineLevel="1" x14ac:dyDescent="0.35">
      <c r="B263" t="s">
        <v>282</v>
      </c>
      <c r="C263" s="43">
        <f t="shared" ref="C263:Q263" si="305">-SUM(C255,C252)/C250</f>
        <v>0.68451831332717761</v>
      </c>
      <c r="D263" s="43">
        <f t="shared" si="305"/>
        <v>0.43421605716687683</v>
      </c>
      <c r="E263" s="43">
        <f t="shared" si="305"/>
        <v>1.0506288294098678</v>
      </c>
      <c r="F263" s="43">
        <f t="shared" si="305"/>
        <v>0.77979727368053131</v>
      </c>
      <c r="G263" s="43">
        <f t="shared" si="305"/>
        <v>0.87221570926143022</v>
      </c>
      <c r="H263" s="43">
        <f t="shared" si="305"/>
        <v>0.70951847704367299</v>
      </c>
      <c r="I263" s="43">
        <f t="shared" si="305"/>
        <v>0.70372976776917662</v>
      </c>
      <c r="J263" s="43">
        <f t="shared" si="305"/>
        <v>0.54568909911846919</v>
      </c>
      <c r="K263" s="43">
        <f t="shared" si="305"/>
        <v>0.50771446204484671</v>
      </c>
      <c r="L263" s="43">
        <f t="shared" si="305"/>
        <v>0.47765311752804857</v>
      </c>
      <c r="M263" s="43">
        <f t="shared" si="305"/>
        <v>0.48187337380745882</v>
      </c>
      <c r="N263" s="43">
        <f t="shared" si="305"/>
        <v>0.51154376292212267</v>
      </c>
      <c r="O263" s="43">
        <f t="shared" si="305"/>
        <v>0.48608070065686582</v>
      </c>
      <c r="P263" s="43">
        <f t="shared" si="305"/>
        <v>0.51151660185462156</v>
      </c>
      <c r="Q263" s="43">
        <f t="shared" si="305"/>
        <v>0.46904703875213261</v>
      </c>
      <c r="R263" s="17">
        <v>0.5</v>
      </c>
      <c r="S263" s="17">
        <v>0.54</v>
      </c>
      <c r="T263" s="17">
        <v>0.52</v>
      </c>
      <c r="U263" s="17">
        <v>0.51</v>
      </c>
      <c r="V263" s="17">
        <v>0.51</v>
      </c>
      <c r="W263" s="17">
        <v>0.51</v>
      </c>
      <c r="X263" s="17">
        <v>0.51</v>
      </c>
      <c r="Y263" s="17">
        <v>0.51</v>
      </c>
      <c r="Z263" s="17">
        <v>0.51</v>
      </c>
      <c r="AA263" s="17">
        <v>0.51</v>
      </c>
      <c r="AB263" s="17">
        <v>0.51</v>
      </c>
    </row>
    <row r="264" spans="2:50" hidden="1" outlineLevel="1" x14ac:dyDescent="0.35">
      <c r="L264" s="6"/>
      <c r="M264" s="6"/>
      <c r="N264" s="6"/>
      <c r="O264" s="6"/>
      <c r="P264" s="6"/>
      <c r="Q264" s="6"/>
    </row>
    <row r="265" spans="2:50" collapsed="1" x14ac:dyDescent="0.35">
      <c r="AM265" s="12"/>
    </row>
    <row r="268" spans="2:50" x14ac:dyDescent="0.35">
      <c r="AI268" s="18" t="s">
        <v>314</v>
      </c>
    </row>
    <row r="269" spans="2:50" x14ac:dyDescent="0.35">
      <c r="AI269" s="51"/>
      <c r="AJ269" s="51"/>
      <c r="AK269" s="51"/>
      <c r="AL269" s="51"/>
      <c r="AM269" s="51"/>
      <c r="AN269" s="52" t="s">
        <v>286</v>
      </c>
      <c r="AO269" s="51"/>
      <c r="AP269" s="51"/>
      <c r="AQ269" s="51"/>
      <c r="AR269" s="51"/>
      <c r="AS269" s="51"/>
      <c r="AT269" s="51"/>
      <c r="AU269" s="51"/>
      <c r="AV269" s="51"/>
      <c r="AW269" s="51"/>
      <c r="AX269" s="51"/>
    </row>
    <row r="270" spans="2:50" x14ac:dyDescent="0.35">
      <c r="AI270" s="51"/>
      <c r="AJ270" s="51"/>
      <c r="AK270" s="68">
        <f>+S10</f>
        <v>2.2013296504915125E-2</v>
      </c>
      <c r="AL270" s="51"/>
      <c r="AM270" s="68">
        <f ca="1">+T25</f>
        <v>8.8912056743548809E-2</v>
      </c>
      <c r="AN270" s="69">
        <v>0.02</v>
      </c>
      <c r="AO270" s="69">
        <f>+AN270+0.0025</f>
        <v>2.2499999999999999E-2</v>
      </c>
      <c r="AP270" s="69">
        <f t="shared" ref="AP270:AX270" si="306">+AO270+0.0025</f>
        <v>2.4999999999999998E-2</v>
      </c>
      <c r="AQ270" s="69">
        <f t="shared" si="306"/>
        <v>2.7499999999999997E-2</v>
      </c>
      <c r="AR270" s="69">
        <f t="shared" si="306"/>
        <v>2.9999999999999995E-2</v>
      </c>
      <c r="AS270" s="69">
        <f t="shared" si="306"/>
        <v>3.2499999999999994E-2</v>
      </c>
      <c r="AT270" s="69">
        <f t="shared" si="306"/>
        <v>3.4999999999999996E-2</v>
      </c>
      <c r="AU270" s="69">
        <f t="shared" si="306"/>
        <v>3.7499999999999999E-2</v>
      </c>
      <c r="AV270" s="69">
        <f t="shared" si="306"/>
        <v>0.04</v>
      </c>
      <c r="AW270" s="69">
        <f t="shared" si="306"/>
        <v>4.2500000000000003E-2</v>
      </c>
      <c r="AX270" s="69">
        <f t="shared" si="306"/>
        <v>4.5000000000000005E-2</v>
      </c>
    </row>
    <row r="271" spans="2:50" x14ac:dyDescent="0.35">
      <c r="AI271" s="108" t="s">
        <v>308</v>
      </c>
      <c r="AJ271" s="70">
        <v>1.4999999999999999E-2</v>
      </c>
      <c r="AK271" s="69">
        <v>1.1169589544761035E-2</v>
      </c>
      <c r="AL271" s="108" t="s">
        <v>296</v>
      </c>
      <c r="AM271" s="69">
        <v>1.4999999999999999E-2</v>
      </c>
      <c r="AN271" s="27">
        <v>9.0300184445849946E-2</v>
      </c>
      <c r="AO271" s="27">
        <v>9.2518869001830303E-2</v>
      </c>
      <c r="AP271" s="27">
        <v>9.4737883015060004E-2</v>
      </c>
      <c r="AQ271" s="27">
        <v>9.6957223495926864E-2</v>
      </c>
      <c r="AR271" s="27">
        <v>9.9176887247044418E-2</v>
      </c>
      <c r="AS271" s="27">
        <v>0.10139687112834758</v>
      </c>
      <c r="AT271" s="27">
        <v>0.10361717199431719</v>
      </c>
      <c r="AU271" s="27">
        <v>0.10583778669425287</v>
      </c>
      <c r="AV271" s="27">
        <v>0.10805871207258816</v>
      </c>
      <c r="AW271" s="27">
        <v>0.11027994496917209</v>
      </c>
      <c r="AX271" s="27">
        <v>0.11250148221952165</v>
      </c>
    </row>
    <row r="272" spans="2:50" x14ac:dyDescent="0.35">
      <c r="AI272" s="108"/>
      <c r="AJ272" s="69">
        <f t="shared" ref="AJ272:AJ285" si="307">+AJ271+0.0025</f>
        <v>1.7499999999999998E-2</v>
      </c>
      <c r="AK272" s="69">
        <v>1.2711986930951292E-2</v>
      </c>
      <c r="AL272" s="108"/>
      <c r="AM272" s="69">
        <f t="shared" ref="AM272:AM285" si="308">+AM271+0.0025</f>
        <v>1.7499999999999998E-2</v>
      </c>
      <c r="AN272" s="27">
        <v>8.8389096943079004E-2</v>
      </c>
      <c r="AO272" s="27">
        <v>9.0609343892260885E-2</v>
      </c>
      <c r="AP272" s="27">
        <v>9.2829923100085227E-2</v>
      </c>
      <c r="AQ272" s="27">
        <v>9.5050830123599689E-2</v>
      </c>
      <c r="AR272" s="27">
        <v>9.7272061952557873E-2</v>
      </c>
      <c r="AS272" s="27">
        <v>9.9493615382885647E-2</v>
      </c>
      <c r="AT272" s="27">
        <v>0.10171548726771179</v>
      </c>
      <c r="AU272" s="27">
        <v>0.10393767445475861</v>
      </c>
      <c r="AV272" s="27">
        <v>0.10616017378660958</v>
      </c>
      <c r="AW272" s="27">
        <v>0.10838298210101988</v>
      </c>
      <c r="AX272" s="27">
        <v>0.11060609623119411</v>
      </c>
    </row>
    <row r="273" spans="35:50" x14ac:dyDescent="0.35">
      <c r="AI273" s="108"/>
      <c r="AJ273" s="69">
        <f t="shared" si="307"/>
        <v>1.9999999999999997E-2</v>
      </c>
      <c r="AK273" s="69">
        <v>1.4254384317141549E-2</v>
      </c>
      <c r="AL273" s="108"/>
      <c r="AM273" s="69">
        <f t="shared" si="308"/>
        <v>1.9999999999999997E-2</v>
      </c>
      <c r="AN273" s="27">
        <v>8.647497309138262E-2</v>
      </c>
      <c r="AO273" s="27">
        <v>8.8696785917816878E-2</v>
      </c>
      <c r="AP273" s="27">
        <v>9.0918932483630893E-2</v>
      </c>
      <c r="AQ273" s="27">
        <v>9.3141408337622453E-2</v>
      </c>
      <c r="AR273" s="27">
        <v>9.5364210470509705E-2</v>
      </c>
      <c r="AS273" s="27">
        <v>9.7587335677047721E-2</v>
      </c>
      <c r="AT273" s="27">
        <v>9.9810780809385463E-2</v>
      </c>
      <c r="AU273" s="27">
        <v>0.10203454271392574</v>
      </c>
      <c r="AV273" s="27">
        <v>0.10425861823162993</v>
      </c>
      <c r="AW273" s="27">
        <v>0.10648300419836126</v>
      </c>
      <c r="AX273" s="27">
        <v>0.10870769744519147</v>
      </c>
    </row>
    <row r="274" spans="35:50" x14ac:dyDescent="0.35">
      <c r="AI274" s="108"/>
      <c r="AJ274" s="69">
        <f t="shared" si="307"/>
        <v>2.2499999999999996E-2</v>
      </c>
      <c r="AK274" s="69">
        <v>1.5796781703331809E-2</v>
      </c>
      <c r="AL274" s="108"/>
      <c r="AM274" s="69">
        <f t="shared" si="308"/>
        <v>2.2499999999999996E-2</v>
      </c>
      <c r="AN274" s="27">
        <v>8.4557806864335963E-2</v>
      </c>
      <c r="AO274" s="27">
        <v>8.6781187801280968E-2</v>
      </c>
      <c r="AP274" s="27">
        <v>8.9004903958109449E-2</v>
      </c>
      <c r="AQ274" s="27">
        <v>9.1228950939428816E-2</v>
      </c>
      <c r="AR274" s="27">
        <v>9.3453325546214466E-2</v>
      </c>
      <c r="AS274" s="27">
        <v>9.567802476340441E-2</v>
      </c>
      <c r="AT274" s="27">
        <v>9.790304537899229E-2</v>
      </c>
      <c r="AU274" s="27">
        <v>0.10012838423826805</v>
      </c>
      <c r="AV274" s="27">
        <v>0.10235403818082522</v>
      </c>
      <c r="AW274" s="27">
        <v>0.10458000404086042</v>
      </c>
      <c r="AX274" s="27">
        <v>0.10680627864751181</v>
      </c>
    </row>
    <row r="275" spans="35:50" x14ac:dyDescent="0.35">
      <c r="AI275" s="108"/>
      <c r="AJ275" s="69">
        <f t="shared" si="307"/>
        <v>2.4999999999999994E-2</v>
      </c>
      <c r="AK275" s="69">
        <v>1.7339179089522067E-2</v>
      </c>
      <c r="AL275" s="108"/>
      <c r="AM275" s="69">
        <f t="shared" si="308"/>
        <v>2.4999999999999994E-2</v>
      </c>
      <c r="AN275" s="27">
        <v>8.2637590947139017E-2</v>
      </c>
      <c r="AO275" s="27">
        <v>8.4862542237073749E-2</v>
      </c>
      <c r="AP275" s="27">
        <v>8.7087830226686924E-2</v>
      </c>
      <c r="AQ275" s="27">
        <v>8.931345051359886E-2</v>
      </c>
      <c r="AR275" s="27">
        <v>9.1539399962566437E-2</v>
      </c>
      <c r="AS275" s="27">
        <v>9.3765675369091611E-2</v>
      </c>
      <c r="AT275" s="27">
        <v>9.5992273710923226E-2</v>
      </c>
      <c r="AU275" s="27">
        <v>9.8219191769261735E-2</v>
      </c>
      <c r="AV275" s="27">
        <v>0.10044642638253616</v>
      </c>
      <c r="AW275" s="27">
        <v>0.10267397438352743</v>
      </c>
      <c r="AX275" s="27">
        <v>0.10490183259966278</v>
      </c>
    </row>
    <row r="276" spans="35:50" x14ac:dyDescent="0.35">
      <c r="AI276" s="108"/>
      <c r="AJ276" s="69">
        <f t="shared" si="307"/>
        <v>2.7499999999999993E-2</v>
      </c>
      <c r="AK276" s="69">
        <v>1.8881576475712321E-2</v>
      </c>
      <c r="AL276" s="108"/>
      <c r="AM276" s="69">
        <f t="shared" si="308"/>
        <v>2.7499999999999993E-2</v>
      </c>
      <c r="AN276" s="27">
        <v>8.0714317997072238E-2</v>
      </c>
      <c r="AO276" s="27">
        <v>8.2940841892222283E-2</v>
      </c>
      <c r="AP276" s="27">
        <v>8.5167703965597766E-2</v>
      </c>
      <c r="AQ276" s="27">
        <v>8.739489980826512E-2</v>
      </c>
      <c r="AR276" s="27">
        <v>8.9622426286250695E-2</v>
      </c>
      <c r="AS276" s="27">
        <v>9.185028019514993E-2</v>
      </c>
      <c r="AT276" s="27">
        <v>9.4078458513998667E-2</v>
      </c>
      <c r="AU276" s="27">
        <v>9.630695802306298E-2</v>
      </c>
      <c r="AV276" s="27">
        <v>9.8535775560006533E-2</v>
      </c>
      <c r="AW276" s="27">
        <v>0.10076490795647568</v>
      </c>
      <c r="AX276" s="27">
        <v>0.10299435203843471</v>
      </c>
    </row>
    <row r="277" spans="35:50" x14ac:dyDescent="0.35">
      <c r="AI277" s="108"/>
      <c r="AJ277" s="69">
        <f t="shared" si="307"/>
        <v>2.9999999999999992E-2</v>
      </c>
      <c r="AK277" s="69">
        <v>2.0423973861902579E-2</v>
      </c>
      <c r="AL277" s="108"/>
      <c r="AM277" s="69">
        <f t="shared" si="308"/>
        <v>2.9999999999999992E-2</v>
      </c>
      <c r="AN277" s="27">
        <v>7.8787980642874622E-2</v>
      </c>
      <c r="AO277" s="27">
        <v>8.1016079405806796E-2</v>
      </c>
      <c r="AP277" s="27">
        <v>8.324451782365043E-2</v>
      </c>
      <c r="AQ277" s="27">
        <v>8.5473291481417621E-2</v>
      </c>
      <c r="AR277" s="27">
        <v>8.7702397247015021E-2</v>
      </c>
      <c r="AS277" s="27">
        <v>8.9931831980762683E-2</v>
      </c>
      <c r="AT277" s="27">
        <v>9.216159247121912E-2</v>
      </c>
      <c r="AU277" s="27">
        <v>9.439167569020307E-2</v>
      </c>
      <c r="AV277" s="27">
        <v>9.6622078411102583E-2</v>
      </c>
      <c r="AW277" s="27">
        <v>9.8852797464661829E-2</v>
      </c>
      <c r="AX277" s="27">
        <v>0.1010838296756594</v>
      </c>
    </row>
    <row r="278" spans="35:50" x14ac:dyDescent="0.35">
      <c r="AI278" s="108"/>
      <c r="AJ278" s="69">
        <f t="shared" si="307"/>
        <v>3.2499999999999994E-2</v>
      </c>
      <c r="AK278" s="69">
        <v>2.196637124809284E-2</v>
      </c>
      <c r="AL278" s="108"/>
      <c r="AM278" s="69">
        <f t="shared" si="308"/>
        <v>3.2499999999999994E-2</v>
      </c>
      <c r="AN278" s="27">
        <v>7.6858571484048954E-2</v>
      </c>
      <c r="AO278" s="27">
        <v>7.9088247388345495E-2</v>
      </c>
      <c r="AP278" s="27">
        <v>8.131826442167979E-2</v>
      </c>
      <c r="AQ278" s="27">
        <v>8.3548618163586871E-2</v>
      </c>
      <c r="AR278" s="27">
        <v>8.5779305484546625E-2</v>
      </c>
      <c r="AS278" s="27">
        <v>8.8010323246679498E-2</v>
      </c>
      <c r="AT278" s="27">
        <v>9.0241668303108952E-2</v>
      </c>
      <c r="AU278" s="27">
        <v>9.2473337435340364E-2</v>
      </c>
      <c r="AV278" s="27">
        <v>9.4705327608010287E-2</v>
      </c>
      <c r="AW278" s="27">
        <v>9.6937635587606791E-2</v>
      </c>
      <c r="AX278" s="27">
        <v>9.9170258197951361E-2</v>
      </c>
    </row>
    <row r="279" spans="35:50" x14ac:dyDescent="0.35">
      <c r="AI279" s="108"/>
      <c r="AJ279" s="69">
        <f t="shared" si="307"/>
        <v>3.4999999999999996E-2</v>
      </c>
      <c r="AK279" s="69">
        <v>2.3508768634283098E-2</v>
      </c>
      <c r="AL279" s="108"/>
      <c r="AM279" s="69">
        <f t="shared" si="308"/>
        <v>3.4999999999999996E-2</v>
      </c>
      <c r="AN279" s="27">
        <v>7.4926083090082279E-2</v>
      </c>
      <c r="AO279" s="27">
        <v>7.7157338421107766E-2</v>
      </c>
      <c r="AP279" s="27">
        <v>7.9388936351939055E-2</v>
      </c>
      <c r="AQ279" s="27">
        <v>8.1620872457302165E-2</v>
      </c>
      <c r="AR279" s="27">
        <v>8.3853143611038683E-2</v>
      </c>
      <c r="AS279" s="27">
        <v>8.6085746677752845E-2</v>
      </c>
      <c r="AT279" s="27">
        <v>8.8318678512279009E-2</v>
      </c>
      <c r="AU279" s="27">
        <v>9.0551935960545046E-2</v>
      </c>
      <c r="AV279" s="27">
        <v>9.278551579698982E-2</v>
      </c>
      <c r="AW279" s="27">
        <v>9.5019414979095398E-2</v>
      </c>
      <c r="AX279" s="27">
        <v>9.7253630266430802E-2</v>
      </c>
    </row>
    <row r="280" spans="35:50" x14ac:dyDescent="0.35">
      <c r="AI280" s="108"/>
      <c r="AJ280" s="69">
        <f t="shared" si="307"/>
        <v>3.7499999999999999E-2</v>
      </c>
      <c r="AK280" s="69">
        <v>2.5051166020473359E-2</v>
      </c>
      <c r="AL280" s="108"/>
      <c r="AM280" s="69">
        <f t="shared" si="308"/>
        <v>3.7499999999999999E-2</v>
      </c>
      <c r="AN280" s="27">
        <v>7.299050799956773E-2</v>
      </c>
      <c r="AO280" s="27">
        <v>7.5223345055343768E-2</v>
      </c>
      <c r="AP280" s="27">
        <v>7.745652617742077E-2</v>
      </c>
      <c r="AQ280" s="27">
        <v>7.969004693649008E-2</v>
      </c>
      <c r="AR280" s="27">
        <v>8.19239042106545E-2</v>
      </c>
      <c r="AS280" s="27">
        <v>8.4158094867779198E-2</v>
      </c>
      <c r="AT280" s="27">
        <v>8.6392615765083239E-2</v>
      </c>
      <c r="AU280" s="27">
        <v>8.862746375011693E-2</v>
      </c>
      <c r="AV280" s="27">
        <v>9.0862635661613497E-2</v>
      </c>
      <c r="AW280" s="27">
        <v>9.3098128266932922E-2</v>
      </c>
      <c r="AX280" s="27">
        <v>9.5333938516425187E-2</v>
      </c>
    </row>
    <row r="281" spans="35:50" x14ac:dyDescent="0.35">
      <c r="AI281" s="108"/>
      <c r="AJ281" s="69">
        <f t="shared" si="307"/>
        <v>0.04</v>
      </c>
      <c r="AK281" s="69">
        <v>2.659356340666362E-2</v>
      </c>
      <c r="AL281" s="108"/>
      <c r="AM281" s="69">
        <f t="shared" si="308"/>
        <v>0.04</v>
      </c>
      <c r="AN281" s="27">
        <v>7.1051838719210419E-2</v>
      </c>
      <c r="AO281" s="27">
        <v>7.3286259811417204E-2</v>
      </c>
      <c r="AP281" s="27">
        <v>7.5521026431096053E-2</v>
      </c>
      <c r="AQ281" s="27">
        <v>7.7756134145803554E-2</v>
      </c>
      <c r="AR281" s="27">
        <v>7.9991579838932389E-2</v>
      </c>
      <c r="AS281" s="27">
        <v>8.2227360382495285E-2</v>
      </c>
      <c r="AT281" s="27">
        <v>8.4463472636861867E-2</v>
      </c>
      <c r="AU281" s="27">
        <v>8.6699913451868935E-2</v>
      </c>
      <c r="AV281" s="27">
        <v>8.8936679667784818E-2</v>
      </c>
      <c r="AW281" s="27">
        <v>9.1173768116148024E-2</v>
      </c>
      <c r="AX281" s="27">
        <v>9.3411175557228276E-2</v>
      </c>
    </row>
    <row r="282" spans="35:50" x14ac:dyDescent="0.35">
      <c r="AI282" s="108"/>
      <c r="AJ282" s="69">
        <f t="shared" si="307"/>
        <v>4.2500000000000003E-2</v>
      </c>
      <c r="AK282" s="69">
        <v>2.8135960792853878E-2</v>
      </c>
      <c r="AL282" s="108"/>
      <c r="AM282" s="69">
        <f t="shared" si="308"/>
        <v>4.2500000000000003E-2</v>
      </c>
      <c r="AN282" s="27">
        <v>6.9110067722697649E-2</v>
      </c>
      <c r="AO282" s="27">
        <v>7.1346075241963861E-2</v>
      </c>
      <c r="AP282" s="27">
        <v>7.3582429615133185E-2</v>
      </c>
      <c r="AQ282" s="27">
        <v>7.5819126599870362E-2</v>
      </c>
      <c r="AR282" s="27">
        <v>7.8056163022122829E-2</v>
      </c>
      <c r="AS282" s="27">
        <v>8.0293535758989662E-2</v>
      </c>
      <c r="AT282" s="27">
        <v>8.2531241674864364E-2</v>
      </c>
      <c r="AU282" s="27">
        <v>8.4769277622625386E-2</v>
      </c>
      <c r="AV282" s="27">
        <v>8.7007640444730555E-2</v>
      </c>
      <c r="AW282" s="27">
        <v>8.9246326974166873E-2</v>
      </c>
      <c r="AX282" s="27">
        <v>9.1485333971423305E-2</v>
      </c>
    </row>
    <row r="283" spans="35:50" x14ac:dyDescent="0.35">
      <c r="AI283" s="108"/>
      <c r="AJ283" s="69">
        <f t="shared" si="307"/>
        <v>4.5000000000000005E-2</v>
      </c>
      <c r="AK283" s="69">
        <v>2.9678358179044139E-2</v>
      </c>
      <c r="AL283" s="108"/>
      <c r="AM283" s="69">
        <f t="shared" si="308"/>
        <v>4.5000000000000005E-2</v>
      </c>
      <c r="AN283" s="27">
        <v>6.7165187449408803E-2</v>
      </c>
      <c r="AO283" s="27">
        <v>6.9402783674977861E-2</v>
      </c>
      <c r="AP283" s="27">
        <v>7.1640728263711081E-2</v>
      </c>
      <c r="AQ283" s="27">
        <v>7.3879016782522164E-2</v>
      </c>
      <c r="AR283" s="27">
        <v>7.6117646256445681E-2</v>
      </c>
      <c r="AS283" s="27">
        <v>7.8356613505047204E-2</v>
      </c>
      <c r="AT283" s="27">
        <v>8.0595915397667889E-2</v>
      </c>
      <c r="AU283" s="27">
        <v>8.2835548791087996E-2</v>
      </c>
      <c r="AV283" s="27">
        <v>8.5075510530699297E-2</v>
      </c>
      <c r="AW283" s="27">
        <v>8.7315797451582605E-2</v>
      </c>
      <c r="AX283" s="27">
        <v>8.9556406379443898E-2</v>
      </c>
    </row>
    <row r="284" spans="35:50" x14ac:dyDescent="0.35">
      <c r="AI284" s="108"/>
      <c r="AJ284" s="69">
        <f t="shared" si="307"/>
        <v>4.7500000000000007E-2</v>
      </c>
      <c r="AK284" s="69">
        <v>3.1220755565234397E-2</v>
      </c>
      <c r="AL284" s="108"/>
      <c r="AM284" s="69">
        <f t="shared" si="308"/>
        <v>4.7500000000000007E-2</v>
      </c>
      <c r="AN284" s="27">
        <v>6.5217190302947717E-2</v>
      </c>
      <c r="AO284" s="27">
        <v>6.7456377595131997E-2</v>
      </c>
      <c r="AP284" s="27">
        <v>6.9695914686802835E-2</v>
      </c>
      <c r="AQ284" s="27">
        <v>7.193579714554138E-2</v>
      </c>
      <c r="AR284" s="27">
        <v>7.4176022007255413E-2</v>
      </c>
      <c r="AS284" s="27">
        <v>7.6416586098415507E-2</v>
      </c>
      <c r="AT284" s="27">
        <v>7.8657486294528706E-2</v>
      </c>
      <c r="AU284" s="27">
        <v>8.0898719457260598E-2</v>
      </c>
      <c r="AV284" s="27">
        <v>8.314028243578446E-2</v>
      </c>
      <c r="AW284" s="27">
        <v>8.5382172068008438E-2</v>
      </c>
      <c r="AX284" s="27">
        <v>8.762438518163769E-2</v>
      </c>
    </row>
    <row r="285" spans="35:50" x14ac:dyDescent="0.35">
      <c r="AI285" s="108"/>
      <c r="AJ285" s="69">
        <f t="shared" si="307"/>
        <v>5.000000000000001E-2</v>
      </c>
      <c r="AK285" s="69">
        <v>3.2763152951424665E-2</v>
      </c>
      <c r="AL285" s="108"/>
      <c r="AM285" s="69">
        <f t="shared" si="308"/>
        <v>5.000000000000001E-2</v>
      </c>
      <c r="AN285" s="27">
        <v>6.3266068649386484E-2</v>
      </c>
      <c r="AO285" s="27">
        <v>6.5506849387975408E-2</v>
      </c>
      <c r="AP285" s="27">
        <v>6.774798135086868E-2</v>
      </c>
      <c r="AQ285" s="27">
        <v>6.9989460172693752E-2</v>
      </c>
      <c r="AR285" s="27">
        <v>7.2231282708174152E-2</v>
      </c>
      <c r="AS285" s="27">
        <v>7.4473445985980699E-2</v>
      </c>
      <c r="AT285" s="27">
        <v>7.6715946824657738E-2</v>
      </c>
      <c r="AU285" s="27">
        <v>7.8958782091807886E-2</v>
      </c>
      <c r="AV285" s="27">
        <v>8.1201948641354507E-2</v>
      </c>
      <c r="AW285" s="27">
        <v>8.3445443314868403E-2</v>
      </c>
      <c r="AX285" s="27">
        <v>8.5689262942776831E-2</v>
      </c>
    </row>
    <row r="287" spans="35:50" x14ac:dyDescent="0.35">
      <c r="AI287" t="s">
        <v>309</v>
      </c>
    </row>
    <row r="288" spans="35:50" x14ac:dyDescent="0.35">
      <c r="AI288" t="s">
        <v>310</v>
      </c>
    </row>
    <row r="289" spans="35:37" x14ac:dyDescent="0.35">
      <c r="AI289" t="s">
        <v>311</v>
      </c>
      <c r="AK289" s="12"/>
    </row>
    <row r="290" spans="35:37" x14ac:dyDescent="0.35">
      <c r="AI290" s="72">
        <v>8.5999999999999993E-2</v>
      </c>
      <c r="AK290" s="71" t="s">
        <v>313</v>
      </c>
    </row>
    <row r="291" spans="35:37" x14ac:dyDescent="0.35">
      <c r="AI291" s="72">
        <v>0.06</v>
      </c>
      <c r="AK291" s="71" t="s">
        <v>312</v>
      </c>
    </row>
    <row r="292" spans="35:37" x14ac:dyDescent="0.35">
      <c r="AI292" s="106"/>
      <c r="AK292" s="71" t="s">
        <v>386</v>
      </c>
    </row>
    <row r="293" spans="35:37" x14ac:dyDescent="0.35">
      <c r="AI293" t="s">
        <v>387</v>
      </c>
    </row>
  </sheetData>
  <mergeCells count="2">
    <mergeCell ref="AL271:AL285"/>
    <mergeCell ref="AI271:AI285"/>
  </mergeCells>
  <conditionalFormatting sqref="D25:AB25">
    <cfRule type="cellIs" dxfId="14" priority="14" operator="greaterThan">
      <formula>D141</formula>
    </cfRule>
    <cfRule type="cellIs" dxfId="13" priority="15" operator="lessThan">
      <formula>D141</formula>
    </cfRule>
  </conditionalFormatting>
  <conditionalFormatting sqref="AN271:AX285">
    <cfRule type="cellIs" dxfId="12" priority="1" operator="between">
      <formula>0.079</formula>
      <formula>0.0815</formula>
    </cfRule>
    <cfRule type="cellIs" dxfId="11" priority="8" operator="between">
      <formula>0.086</formula>
      <formula>0.088</formula>
    </cfRule>
    <cfRule type="cellIs" dxfId="10" priority="9" operator="lessThan">
      <formula>0.07</formula>
    </cfRule>
  </conditionalFormatting>
  <conditionalFormatting sqref="AI290">
    <cfRule type="cellIs" dxfId="9" priority="6" operator="between">
      <formula>0.086</formula>
      <formula>0.088</formula>
    </cfRule>
    <cfRule type="cellIs" dxfId="8" priority="7" operator="lessThan">
      <formula>0.07</formula>
    </cfRule>
  </conditionalFormatting>
  <conditionalFormatting sqref="AI291">
    <cfRule type="cellIs" dxfId="7" priority="4" operator="between">
      <formula>0.086</formula>
      <formula>0.088</formula>
    </cfRule>
    <cfRule type="cellIs" dxfId="6" priority="5" operator="lessThan">
      <formula>0.07</formula>
    </cfRule>
  </conditionalFormatting>
  <conditionalFormatting sqref="F228:AB228">
    <cfRule type="cellIs" dxfId="5" priority="3" operator="equal">
      <formula>FALSE</formula>
    </cfRule>
  </conditionalFormatting>
  <conditionalFormatting sqref="E188:AB188">
    <cfRule type="cellIs" dxfId="4" priority="2" operator="equal">
      <formula>FALSE</formula>
    </cfRule>
  </conditionalFormatting>
  <pageMargins left="0.7" right="0.7" top="0.75" bottom="0.75" header="0.3" footer="0.3"/>
  <pageSetup orientation="portrait" horizontalDpi="4294967293" verticalDpi="0" r:id="rId1"/>
  <ignoredErrors>
    <ignoredError sqref="M70:P70" formulaRange="1"/>
    <ignoredError sqref="R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4B850-E31F-4A5D-85D6-EDDCA3F0967F}">
  <dimension ref="B3:S404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28" sqref="E28"/>
    </sheetView>
  </sheetViews>
  <sheetFormatPr defaultRowHeight="14.5" x14ac:dyDescent="0.35"/>
  <cols>
    <col min="1" max="1" width="1.54296875" customWidth="1"/>
    <col min="2" max="2" width="53.7265625" bestFit="1" customWidth="1"/>
  </cols>
  <sheetData>
    <row r="3" spans="2:19" x14ac:dyDescent="0.35">
      <c r="B3" s="52"/>
      <c r="C3" s="52">
        <v>2006</v>
      </c>
      <c r="D3" s="52">
        <f>+C3+1</f>
        <v>2007</v>
      </c>
      <c r="E3" s="52">
        <f t="shared" ref="E3:S3" si="0">+D3+1</f>
        <v>2008</v>
      </c>
      <c r="F3" s="52">
        <f t="shared" si="0"/>
        <v>2009</v>
      </c>
      <c r="G3" s="52">
        <f t="shared" si="0"/>
        <v>2010</v>
      </c>
      <c r="H3" s="52">
        <f t="shared" si="0"/>
        <v>2011</v>
      </c>
      <c r="I3" s="52">
        <f t="shared" si="0"/>
        <v>2012</v>
      </c>
      <c r="J3" s="52">
        <f t="shared" si="0"/>
        <v>2013</v>
      </c>
      <c r="K3" s="52">
        <f t="shared" si="0"/>
        <v>2014</v>
      </c>
      <c r="L3" s="52">
        <f t="shared" si="0"/>
        <v>2015</v>
      </c>
      <c r="M3" s="52">
        <f t="shared" si="0"/>
        <v>2016</v>
      </c>
      <c r="N3" s="52">
        <f t="shared" si="0"/>
        <v>2017</v>
      </c>
      <c r="O3" s="52">
        <f t="shared" si="0"/>
        <v>2018</v>
      </c>
      <c r="P3" s="52">
        <f t="shared" si="0"/>
        <v>2019</v>
      </c>
      <c r="Q3" s="52">
        <f t="shared" si="0"/>
        <v>2020</v>
      </c>
      <c r="R3" s="52">
        <f t="shared" si="0"/>
        <v>2021</v>
      </c>
      <c r="S3" s="52">
        <f t="shared" si="0"/>
        <v>2022</v>
      </c>
    </row>
    <row r="4" spans="2:19" x14ac:dyDescent="0.35">
      <c r="B4" s="53" t="s">
        <v>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</row>
    <row r="5" spans="2:19" x14ac:dyDescent="0.35">
      <c r="B5" s="1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2:19" x14ac:dyDescent="0.35">
      <c r="B6" s="2" t="s">
        <v>2</v>
      </c>
      <c r="D6" s="6">
        <f t="shared" ref="D6:Q6" si="1">+D36</f>
        <v>4952</v>
      </c>
      <c r="E6" s="6">
        <f t="shared" si="1"/>
        <v>3817</v>
      </c>
      <c r="F6" s="6">
        <f t="shared" si="1"/>
        <v>3831</v>
      </c>
      <c r="G6" s="6">
        <f t="shared" si="1"/>
        <v>3421</v>
      </c>
      <c r="H6" s="6">
        <f t="shared" si="1"/>
        <v>2952</v>
      </c>
      <c r="I6" s="6">
        <f t="shared" si="1"/>
        <v>3149</v>
      </c>
      <c r="J6" s="6">
        <f t="shared" si="1"/>
        <v>3427</v>
      </c>
      <c r="K6" s="6">
        <f t="shared" si="1"/>
        <v>3585</v>
      </c>
      <c r="L6" s="6">
        <f t="shared" si="1"/>
        <v>3664</v>
      </c>
      <c r="M6" s="6">
        <f t="shared" si="1"/>
        <v>3971</v>
      </c>
      <c r="N6" s="6">
        <f t="shared" si="1"/>
        <v>4068</v>
      </c>
      <c r="O6" s="6">
        <f t="shared" si="1"/>
        <v>4038</v>
      </c>
      <c r="P6" s="6">
        <f t="shared" si="1"/>
        <v>4390</v>
      </c>
      <c r="Q6" s="6">
        <f t="shared" si="1"/>
        <v>4488</v>
      </c>
      <c r="R6" s="6">
        <f>+R36</f>
        <v>5460</v>
      </c>
    </row>
    <row r="7" spans="2:19" x14ac:dyDescent="0.35">
      <c r="B7" s="2" t="s">
        <v>3</v>
      </c>
      <c r="D7" s="6"/>
      <c r="E7" s="6"/>
      <c r="F7" s="6"/>
      <c r="G7" s="6">
        <f t="shared" ref="G7:R7" si="2">+G114</f>
        <v>1801</v>
      </c>
      <c r="H7" s="6">
        <f t="shared" si="2"/>
        <v>1398</v>
      </c>
      <c r="I7" s="6">
        <f t="shared" si="2"/>
        <v>1214</v>
      </c>
      <c r="J7" s="6">
        <f t="shared" si="2"/>
        <v>1253</v>
      </c>
      <c r="K7" s="6">
        <f t="shared" si="2"/>
        <v>1185</v>
      </c>
      <c r="L7" s="6">
        <f t="shared" si="2"/>
        <v>1090</v>
      </c>
      <c r="M7" s="6">
        <f t="shared" si="2"/>
        <v>1097</v>
      </c>
      <c r="N7" s="6">
        <f t="shared" si="2"/>
        <v>1118</v>
      </c>
      <c r="O7" s="6">
        <f t="shared" si="2"/>
        <v>1035</v>
      </c>
      <c r="P7" s="6">
        <f t="shared" si="2"/>
        <v>1328</v>
      </c>
      <c r="Q7" s="6">
        <f t="shared" si="2"/>
        <v>1376</v>
      </c>
      <c r="R7" s="6">
        <f t="shared" si="2"/>
        <v>1404</v>
      </c>
    </row>
    <row r="8" spans="2:19" x14ac:dyDescent="0.35">
      <c r="B8" s="2" t="s">
        <v>4</v>
      </c>
      <c r="D8" s="6"/>
      <c r="E8" s="6"/>
      <c r="F8" s="6"/>
      <c r="G8" s="6">
        <f t="shared" ref="G8:R8" si="3">+G154</f>
        <v>2587</v>
      </c>
      <c r="H8" s="6">
        <f t="shared" si="3"/>
        <v>559</v>
      </c>
      <c r="I8" s="6">
        <f t="shared" si="3"/>
        <v>1308</v>
      </c>
      <c r="J8" s="6">
        <f t="shared" si="3"/>
        <v>76</v>
      </c>
      <c r="K8" s="6">
        <f t="shared" si="3"/>
        <v>60</v>
      </c>
      <c r="L8" s="6">
        <f t="shared" si="3"/>
        <v>159</v>
      </c>
      <c r="M8" s="6">
        <f t="shared" si="3"/>
        <v>97</v>
      </c>
      <c r="N8" s="6">
        <f t="shared" si="3"/>
        <v>136</v>
      </c>
      <c r="O8" s="6">
        <f t="shared" si="3"/>
        <v>186</v>
      </c>
      <c r="P8" s="6">
        <f t="shared" si="3"/>
        <v>193</v>
      </c>
      <c r="Q8" s="6">
        <f t="shared" si="3"/>
        <v>220</v>
      </c>
      <c r="R8" s="6">
        <f t="shared" si="3"/>
        <v>218</v>
      </c>
    </row>
    <row r="9" spans="2:19" x14ac:dyDescent="0.35">
      <c r="B9" s="2" t="s">
        <v>5</v>
      </c>
      <c r="D9" s="6"/>
      <c r="E9" s="6"/>
      <c r="F9" s="6"/>
      <c r="G9" s="6">
        <f t="shared" ref="G9:R9" si="4">+G201</f>
        <v>0</v>
      </c>
      <c r="H9" s="6">
        <f t="shared" si="4"/>
        <v>0</v>
      </c>
      <c r="I9" s="6">
        <f t="shared" si="4"/>
        <v>0</v>
      </c>
      <c r="J9" s="6">
        <f t="shared" si="4"/>
        <v>0</v>
      </c>
      <c r="K9" s="6">
        <f t="shared" si="4"/>
        <v>91</v>
      </c>
      <c r="L9" s="6">
        <f t="shared" si="4"/>
        <v>114</v>
      </c>
      <c r="M9" s="6">
        <f t="shared" si="4"/>
        <v>147</v>
      </c>
      <c r="N9" s="6">
        <f t="shared" si="4"/>
        <v>212</v>
      </c>
      <c r="O9" s="6">
        <f t="shared" si="4"/>
        <v>242</v>
      </c>
      <c r="P9" s="6">
        <f t="shared" si="4"/>
        <v>284</v>
      </c>
      <c r="Q9" s="6">
        <f t="shared" si="4"/>
        <v>344</v>
      </c>
      <c r="R9" s="6">
        <f t="shared" si="4"/>
        <v>436</v>
      </c>
    </row>
    <row r="10" spans="2:19" x14ac:dyDescent="0.35">
      <c r="B10" s="2" t="s">
        <v>6</v>
      </c>
      <c r="D10" s="6"/>
      <c r="E10" s="6"/>
      <c r="F10" s="6"/>
      <c r="G10" s="6">
        <f t="shared" ref="G10:R10" si="5">+G229</f>
        <v>-2087</v>
      </c>
      <c r="H10" s="6">
        <f t="shared" si="5"/>
        <v>-1497</v>
      </c>
      <c r="I10" s="6">
        <f t="shared" si="5"/>
        <v>-1206</v>
      </c>
      <c r="J10" s="6">
        <f t="shared" si="5"/>
        <v>-493</v>
      </c>
      <c r="K10" s="5">
        <f>+K229-K9</f>
        <v>-270</v>
      </c>
      <c r="L10" s="5">
        <f>+L229-L9</f>
        <v>-166</v>
      </c>
      <c r="M10" s="6">
        <f t="shared" si="5"/>
        <v>125</v>
      </c>
      <c r="N10" s="6">
        <f t="shared" si="5"/>
        <v>231</v>
      </c>
      <c r="O10" s="6">
        <f t="shared" si="5"/>
        <v>303</v>
      </c>
      <c r="P10" s="6">
        <f t="shared" si="5"/>
        <v>199</v>
      </c>
      <c r="Q10" s="6">
        <f t="shared" si="5"/>
        <v>258</v>
      </c>
      <c r="R10" s="6">
        <f t="shared" si="5"/>
        <v>688</v>
      </c>
    </row>
    <row r="11" spans="2:19" x14ac:dyDescent="0.35">
      <c r="B11" s="3" t="s">
        <v>7</v>
      </c>
      <c r="C11" s="3"/>
      <c r="D11" s="4"/>
      <c r="E11" s="4"/>
      <c r="F11" s="4"/>
      <c r="G11" s="4">
        <f t="shared" ref="G11" si="6">SUM(G6:G10)</f>
        <v>5722</v>
      </c>
      <c r="H11" s="4">
        <f t="shared" ref="H11" si="7">SUM(H6:H10)</f>
        <v>3412</v>
      </c>
      <c r="I11" s="4">
        <f t="shared" ref="I11" si="8">SUM(I6:I10)</f>
        <v>4465</v>
      </c>
      <c r="J11" s="4">
        <f t="shared" ref="J11" si="9">SUM(J6:J10)</f>
        <v>4263</v>
      </c>
      <c r="K11" s="4">
        <f t="shared" ref="K11" si="10">SUM(K6:K10)</f>
        <v>4651</v>
      </c>
      <c r="L11" s="4">
        <f t="shared" ref="L11" si="11">SUM(L6:L10)</f>
        <v>4861</v>
      </c>
      <c r="M11" s="4">
        <f t="shared" ref="M11" si="12">SUM(M6:M10)</f>
        <v>5437</v>
      </c>
      <c r="N11" s="4">
        <f t="shared" ref="N11" si="13">SUM(N6:N10)</f>
        <v>5765</v>
      </c>
      <c r="O11" s="4">
        <f t="shared" ref="O11" si="14">SUM(O6:O10)</f>
        <v>5804</v>
      </c>
      <c r="P11" s="4">
        <f t="shared" ref="P11" si="15">SUM(P6:P10)</f>
        <v>6394</v>
      </c>
      <c r="Q11" s="4">
        <f t="shared" ref="Q11" si="16">SUM(Q6:Q10)</f>
        <v>6686</v>
      </c>
      <c r="R11" s="4">
        <f t="shared" ref="R11" si="17">SUM(R6:R10)</f>
        <v>8206</v>
      </c>
    </row>
    <row r="12" spans="2:19" s="10" customFormat="1" x14ac:dyDescent="0.35">
      <c r="B12" s="14" t="s">
        <v>38</v>
      </c>
      <c r="D12" s="11"/>
      <c r="E12" s="11"/>
      <c r="F12" s="11"/>
      <c r="G12" s="11" t="b">
        <f>ABS(G11-G247)&lt;1</f>
        <v>1</v>
      </c>
      <c r="H12" s="11" t="b">
        <f>ABS(H11-H247)&lt;1</f>
        <v>1</v>
      </c>
      <c r="I12" s="11" t="b">
        <f>ABS(I11-I247)&lt;1</f>
        <v>1</v>
      </c>
      <c r="J12" s="11" t="b">
        <f>ABS(J11-J247)&lt;1</f>
        <v>1</v>
      </c>
      <c r="K12" s="11" t="b">
        <f>ABS(K11-K247)&lt;1</f>
        <v>1</v>
      </c>
      <c r="L12" s="11" t="b">
        <f>ABS(L11-L247)&lt;1</f>
        <v>1</v>
      </c>
      <c r="M12" s="11" t="b">
        <f>ABS(M11-M247)&lt;1</f>
        <v>1</v>
      </c>
      <c r="N12" s="11" t="b">
        <f>ABS(N11-N247)&lt;1</f>
        <v>1</v>
      </c>
      <c r="O12" s="11" t="b">
        <f>ABS(O11-O247)&lt;1</f>
        <v>1</v>
      </c>
      <c r="P12" s="11" t="b">
        <f>ABS(P11-P247)&lt;1</f>
        <v>1</v>
      </c>
      <c r="Q12" s="11" t="b">
        <f>ABS(Q11-Q247)&lt;1</f>
        <v>1</v>
      </c>
      <c r="R12" s="11" t="b">
        <f>ABS(R11-R247)&lt;1</f>
        <v>1</v>
      </c>
      <c r="S12"/>
    </row>
    <row r="14" spans="2:19" x14ac:dyDescent="0.35">
      <c r="B14" s="2" t="s">
        <v>2</v>
      </c>
      <c r="D14" s="6"/>
      <c r="E14" s="6"/>
      <c r="F14" s="6"/>
      <c r="G14" s="6">
        <f t="shared" ref="G14:Q14" si="18">+G42</f>
        <v>1757</v>
      </c>
      <c r="H14" s="6">
        <f t="shared" si="18"/>
        <v>1333</v>
      </c>
      <c r="I14" s="6">
        <f t="shared" si="18"/>
        <v>1389</v>
      </c>
      <c r="J14" s="6">
        <f t="shared" si="18"/>
        <v>1178</v>
      </c>
      <c r="K14" s="6">
        <f t="shared" si="18"/>
        <v>1429</v>
      </c>
      <c r="L14" s="6">
        <f t="shared" si="18"/>
        <v>1335</v>
      </c>
      <c r="M14" s="6">
        <f t="shared" si="18"/>
        <v>1380</v>
      </c>
      <c r="N14" s="6">
        <f t="shared" si="18"/>
        <v>1220</v>
      </c>
      <c r="O14" s="6">
        <f t="shared" si="18"/>
        <v>1368</v>
      </c>
      <c r="P14" s="6">
        <f t="shared" si="18"/>
        <v>1618</v>
      </c>
      <c r="Q14" s="6">
        <f t="shared" si="18"/>
        <v>1285</v>
      </c>
      <c r="R14" s="6">
        <f>+R42</f>
        <v>3384</v>
      </c>
    </row>
    <row r="15" spans="2:19" x14ac:dyDescent="0.35">
      <c r="B15" s="2" t="s">
        <v>3</v>
      </c>
      <c r="D15" s="6"/>
      <c r="E15" s="6"/>
      <c r="F15" s="6"/>
      <c r="G15" s="6">
        <f t="shared" ref="G15:Q15" si="19">+G120</f>
        <v>557</v>
      </c>
      <c r="H15" s="6">
        <f t="shared" si="19"/>
        <v>316</v>
      </c>
      <c r="I15" s="6">
        <f t="shared" si="19"/>
        <v>160</v>
      </c>
      <c r="J15" s="6">
        <f t="shared" si="19"/>
        <v>254</v>
      </c>
      <c r="K15" s="6">
        <f t="shared" si="19"/>
        <v>197</v>
      </c>
      <c r="L15" s="6">
        <f t="shared" si="19"/>
        <v>211</v>
      </c>
      <c r="M15" s="6">
        <f t="shared" si="19"/>
        <v>157</v>
      </c>
      <c r="N15" s="6">
        <f t="shared" si="19"/>
        <v>168</v>
      </c>
      <c r="O15" s="6">
        <f t="shared" si="19"/>
        <v>80</v>
      </c>
      <c r="P15" s="6">
        <f t="shared" si="19"/>
        <v>315</v>
      </c>
      <c r="Q15" s="6">
        <f t="shared" si="19"/>
        <v>284</v>
      </c>
      <c r="R15" s="6">
        <f>+R120</f>
        <v>343</v>
      </c>
    </row>
    <row r="16" spans="2:19" x14ac:dyDescent="0.35">
      <c r="B16" s="2" t="s">
        <v>4</v>
      </c>
      <c r="D16" s="6"/>
      <c r="E16" s="6"/>
      <c r="F16" s="6"/>
      <c r="G16" s="6">
        <f t="shared" ref="G16:Q16" si="20">+G160</f>
        <v>772</v>
      </c>
      <c r="H16" s="6">
        <f t="shared" si="20"/>
        <v>92</v>
      </c>
      <c r="I16" s="6">
        <f t="shared" si="20"/>
        <v>595</v>
      </c>
      <c r="J16" s="6">
        <f t="shared" si="20"/>
        <v>-261</v>
      </c>
      <c r="K16" s="6">
        <f t="shared" si="20"/>
        <v>59</v>
      </c>
      <c r="L16" s="6">
        <f t="shared" si="20"/>
        <v>90</v>
      </c>
      <c r="M16" s="6">
        <f t="shared" si="20"/>
        <v>34</v>
      </c>
      <c r="N16" s="6">
        <f t="shared" si="20"/>
        <v>20</v>
      </c>
      <c r="O16" s="6">
        <f t="shared" si="20"/>
        <v>45</v>
      </c>
      <c r="P16" s="6">
        <f t="shared" si="20"/>
        <v>40</v>
      </c>
      <c r="Q16" s="6">
        <f t="shared" si="20"/>
        <v>53</v>
      </c>
      <c r="R16" s="6">
        <f>+R160</f>
        <v>32</v>
      </c>
    </row>
    <row r="17" spans="2:19" x14ac:dyDescent="0.35">
      <c r="B17" s="2" t="s">
        <v>5</v>
      </c>
      <c r="D17" s="6"/>
      <c r="E17" s="6"/>
      <c r="F17" s="6"/>
      <c r="G17" s="6">
        <f t="shared" ref="G17:Q17" si="21">+G207</f>
        <v>0</v>
      </c>
      <c r="H17" s="6">
        <f t="shared" si="21"/>
        <v>0</v>
      </c>
      <c r="I17" s="6">
        <f t="shared" si="21"/>
        <v>0</v>
      </c>
      <c r="J17" s="6">
        <f t="shared" si="21"/>
        <v>0</v>
      </c>
      <c r="K17" s="6">
        <f t="shared" si="21"/>
        <v>64</v>
      </c>
      <c r="L17" s="6">
        <f t="shared" si="21"/>
        <v>50</v>
      </c>
      <c r="M17" s="6">
        <f t="shared" si="21"/>
        <v>71</v>
      </c>
      <c r="N17" s="6">
        <f t="shared" si="21"/>
        <v>114</v>
      </c>
      <c r="O17" s="6">
        <f t="shared" si="21"/>
        <v>144</v>
      </c>
      <c r="P17" s="6">
        <f t="shared" si="21"/>
        <v>153</v>
      </c>
      <c r="Q17" s="6">
        <f t="shared" si="21"/>
        <v>88</v>
      </c>
      <c r="R17" s="6">
        <f>+R207</f>
        <v>282</v>
      </c>
    </row>
    <row r="18" spans="2:19" x14ac:dyDescent="0.35">
      <c r="B18" s="2" t="s">
        <v>6</v>
      </c>
      <c r="D18" s="6"/>
      <c r="E18" s="6"/>
      <c r="F18" s="6"/>
      <c r="G18" s="6">
        <f t="shared" ref="G18:Q18" si="22">+G235</f>
        <v>-2694</v>
      </c>
      <c r="H18" s="6">
        <f t="shared" si="22"/>
        <v>-1918</v>
      </c>
      <c r="I18" s="6">
        <f t="shared" si="22"/>
        <v>-1630</v>
      </c>
      <c r="J18" s="6">
        <f t="shared" si="22"/>
        <v>-814</v>
      </c>
      <c r="K18" s="5">
        <f>+K235-K17</f>
        <v>-503</v>
      </c>
      <c r="L18" s="5">
        <f>+L235-L17</f>
        <v>-293</v>
      </c>
      <c r="M18" s="6">
        <f t="shared" si="22"/>
        <v>-61</v>
      </c>
      <c r="N18" s="6">
        <f t="shared" si="22"/>
        <v>-15</v>
      </c>
      <c r="O18" s="6">
        <f t="shared" si="22"/>
        <v>-15</v>
      </c>
      <c r="P18" s="6">
        <f t="shared" si="22"/>
        <v>-159</v>
      </c>
      <c r="Q18" s="6">
        <f t="shared" si="22"/>
        <v>-296</v>
      </c>
      <c r="R18" s="6">
        <f>+R235</f>
        <v>-186</v>
      </c>
    </row>
    <row r="19" spans="2:19" x14ac:dyDescent="0.35">
      <c r="B19" s="3" t="s">
        <v>27</v>
      </c>
      <c r="C19" s="3"/>
      <c r="D19" s="4"/>
      <c r="E19" s="4"/>
      <c r="F19" s="4"/>
      <c r="G19" s="4">
        <f t="shared" ref="G19" si="23">SUM(G14:G18)</f>
        <v>392</v>
      </c>
      <c r="H19" s="4">
        <f t="shared" ref="H19" si="24">SUM(H14:H18)</f>
        <v>-177</v>
      </c>
      <c r="I19" s="4">
        <f t="shared" ref="I19" si="25">SUM(I14:I18)</f>
        <v>514</v>
      </c>
      <c r="J19" s="4">
        <f t="shared" ref="J19" si="26">SUM(J14:J18)</f>
        <v>357</v>
      </c>
      <c r="K19" s="4">
        <f t="shared" ref="K19" si="27">SUM(K14:K18)</f>
        <v>1246</v>
      </c>
      <c r="L19" s="4">
        <f t="shared" ref="L19" si="28">SUM(L14:L18)</f>
        <v>1393</v>
      </c>
      <c r="M19" s="4">
        <f t="shared" ref="M19" si="29">SUM(M14:M18)</f>
        <v>1581</v>
      </c>
      <c r="N19" s="4">
        <f t="shared" ref="N19" si="30">SUM(N14:N18)</f>
        <v>1507</v>
      </c>
      <c r="O19" s="4">
        <f t="shared" ref="O19" si="31">SUM(O14:O18)</f>
        <v>1622</v>
      </c>
      <c r="P19" s="4">
        <f t="shared" ref="P19" si="32">SUM(P14:P18)</f>
        <v>1967</v>
      </c>
      <c r="Q19" s="4">
        <f t="shared" ref="Q19" si="33">SUM(Q14:Q18)</f>
        <v>1414</v>
      </c>
      <c r="R19" s="4">
        <f t="shared" ref="R19" si="34">SUM(R14:R18)</f>
        <v>3855</v>
      </c>
    </row>
    <row r="20" spans="2:19" s="10" customFormat="1" x14ac:dyDescent="0.35">
      <c r="B20" s="14" t="s">
        <v>38</v>
      </c>
      <c r="G20" s="11" t="b">
        <f>ABS(G19-G255)&lt;1</f>
        <v>1</v>
      </c>
      <c r="H20" s="11" t="b">
        <f>ABS(H19-H255)&lt;1</f>
        <v>1</v>
      </c>
      <c r="I20" s="11" t="b">
        <f>ABS(I19-I255)&lt;1</f>
        <v>1</v>
      </c>
      <c r="J20" s="11" t="b">
        <f>ABS(J19-J255)&lt;1</f>
        <v>1</v>
      </c>
      <c r="K20" s="11" t="b">
        <f>ABS(K19-K255)&lt;1</f>
        <v>1</v>
      </c>
      <c r="L20" s="11" t="b">
        <f>ABS(L19-L255)&lt;1</f>
        <v>1</v>
      </c>
      <c r="M20" s="11" t="b">
        <f>ABS(M19-M255)&lt;1</f>
        <v>1</v>
      </c>
      <c r="N20" s="11" t="b">
        <f>ABS(N19-N255)&lt;1</f>
        <v>1</v>
      </c>
      <c r="O20" s="11" t="b">
        <f>ABS(O19-O255)&lt;1</f>
        <v>1</v>
      </c>
      <c r="P20" s="11" t="b">
        <f>ABS(P19-P255)&lt;1</f>
        <v>1</v>
      </c>
      <c r="Q20" s="11" t="b">
        <f>ABS(Q19-Q255)&lt;1</f>
        <v>1</v>
      </c>
      <c r="R20" s="11" t="b">
        <f>ABS(R19-R255)&lt;1</f>
        <v>1</v>
      </c>
    </row>
    <row r="22" spans="2:19" x14ac:dyDescent="0.35">
      <c r="B22" s="1" t="s">
        <v>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2:19" x14ac:dyDescent="0.35">
      <c r="B23" s="2" t="s">
        <v>9</v>
      </c>
      <c r="C23" s="5"/>
      <c r="D23" s="5">
        <v>3538</v>
      </c>
      <c r="E23" s="5">
        <v>2358</v>
      </c>
      <c r="F23" s="5">
        <v>1804</v>
      </c>
      <c r="G23" s="5">
        <v>1953</v>
      </c>
      <c r="H23" s="5">
        <v>2411</v>
      </c>
      <c r="I23" s="5">
        <v>2827</v>
      </c>
      <c r="J23" s="5">
        <v>3004</v>
      </c>
      <c r="K23" s="5">
        <v>3046</v>
      </c>
      <c r="L23" s="5">
        <v>3230</v>
      </c>
      <c r="M23" s="5">
        <v>3587</v>
      </c>
      <c r="N23" s="5">
        <v>3882</v>
      </c>
      <c r="O23" s="5">
        <v>4287</v>
      </c>
      <c r="P23" s="5">
        <v>4775</v>
      </c>
      <c r="Q23" s="5">
        <v>4931</v>
      </c>
      <c r="R23" s="5">
        <v>5198</v>
      </c>
    </row>
    <row r="24" spans="2:19" x14ac:dyDescent="0.35">
      <c r="B24" s="2" t="s">
        <v>10</v>
      </c>
      <c r="C24" s="5"/>
      <c r="D24" s="5">
        <v>1084</v>
      </c>
      <c r="E24" s="5">
        <v>940</v>
      </c>
      <c r="F24" s="5">
        <v>1136</v>
      </c>
      <c r="G24" s="5">
        <v>1210</v>
      </c>
      <c r="H24" s="5">
        <v>1134</v>
      </c>
      <c r="I24" s="5">
        <v>1152</v>
      </c>
      <c r="J24" s="5">
        <v>1061</v>
      </c>
      <c r="K24" s="5">
        <v>1024</v>
      </c>
      <c r="L24" s="5">
        <v>939</v>
      </c>
      <c r="M24" s="5">
        <v>1068</v>
      </c>
      <c r="N24" s="5">
        <v>1306</v>
      </c>
      <c r="O24" s="5">
        <v>1516</v>
      </c>
      <c r="P24" s="5">
        <v>1561</v>
      </c>
      <c r="Q24" s="5">
        <v>833</v>
      </c>
      <c r="R24" s="5">
        <v>514</v>
      </c>
    </row>
    <row r="25" spans="2:19" x14ac:dyDescent="0.35">
      <c r="B25" s="2" t="s">
        <v>11</v>
      </c>
      <c r="C25" s="5"/>
      <c r="D25" s="5">
        <v>6306</v>
      </c>
      <c r="E25" s="5">
        <v>7236</v>
      </c>
      <c r="F25" s="5">
        <v>5408</v>
      </c>
      <c r="G25" s="5">
        <v>2579</v>
      </c>
      <c r="H25" s="5">
        <v>1929</v>
      </c>
      <c r="I25" s="5">
        <v>2379</v>
      </c>
      <c r="J25" s="5">
        <v>3209</v>
      </c>
      <c r="K25" s="5">
        <v>3558</v>
      </c>
      <c r="L25" s="5">
        <v>3398</v>
      </c>
      <c r="M25" s="5">
        <v>2711</v>
      </c>
      <c r="N25" s="5">
        <v>1867</v>
      </c>
      <c r="O25" s="5">
        <v>1489</v>
      </c>
      <c r="P25" s="5">
        <v>1470</v>
      </c>
      <c r="Q25" s="5">
        <v>1435</v>
      </c>
      <c r="R25" s="5">
        <v>1550</v>
      </c>
    </row>
    <row r="26" spans="2:19" x14ac:dyDescent="0.35">
      <c r="B26" s="2" t="s">
        <v>31</v>
      </c>
      <c r="C26" s="5"/>
      <c r="D26" s="5">
        <f>143+593</f>
        <v>736</v>
      </c>
      <c r="E26" s="5">
        <f>478+473</f>
        <v>951</v>
      </c>
      <c r="F26" s="5">
        <f>320+269</f>
        <v>589</v>
      </c>
      <c r="G26" s="5">
        <f>109+112</f>
        <v>221</v>
      </c>
      <c r="H26" s="5">
        <f>5+92</f>
        <v>97</v>
      </c>
      <c r="I26" s="5">
        <f>15+52</f>
        <v>67</v>
      </c>
      <c r="J26" s="5">
        <v>22</v>
      </c>
      <c r="K26" s="5">
        <v>10</v>
      </c>
      <c r="L26" s="5">
        <f>8+34</f>
        <v>42</v>
      </c>
      <c r="M26" s="5">
        <v>11</v>
      </c>
      <c r="N26" s="5">
        <v>6</v>
      </c>
      <c r="O26" s="5">
        <f>7+3</f>
        <v>10</v>
      </c>
      <c r="P26" s="5">
        <v>8</v>
      </c>
      <c r="Q26" s="5">
        <v>5</v>
      </c>
      <c r="R26" s="5">
        <v>0</v>
      </c>
    </row>
    <row r="27" spans="2:19" x14ac:dyDescent="0.35">
      <c r="B27" s="3" t="s">
        <v>13</v>
      </c>
      <c r="C27" s="4"/>
      <c r="D27" s="4">
        <f t="shared" ref="D27:F27" si="35">SUM(D23:D26)</f>
        <v>11664</v>
      </c>
      <c r="E27" s="4">
        <f t="shared" si="35"/>
        <v>11485</v>
      </c>
      <c r="F27" s="4">
        <f t="shared" si="35"/>
        <v>8937</v>
      </c>
      <c r="G27" s="4">
        <f t="shared" ref="G27:Q27" si="36">SUM(G23:G26)</f>
        <v>5963</v>
      </c>
      <c r="H27" s="4">
        <f t="shared" si="36"/>
        <v>5571</v>
      </c>
      <c r="I27" s="4">
        <f t="shared" si="36"/>
        <v>6425</v>
      </c>
      <c r="J27" s="4">
        <f t="shared" si="36"/>
        <v>7296</v>
      </c>
      <c r="K27" s="4">
        <f t="shared" si="36"/>
        <v>7638</v>
      </c>
      <c r="L27" s="4">
        <f t="shared" si="36"/>
        <v>7609</v>
      </c>
      <c r="M27" s="4">
        <f t="shared" si="36"/>
        <v>7377</v>
      </c>
      <c r="N27" s="4">
        <f t="shared" si="36"/>
        <v>7061</v>
      </c>
      <c r="O27" s="4">
        <f t="shared" si="36"/>
        <v>7302</v>
      </c>
      <c r="P27" s="4">
        <f t="shared" si="36"/>
        <v>7814</v>
      </c>
      <c r="Q27" s="4">
        <f t="shared" si="36"/>
        <v>7204</v>
      </c>
      <c r="R27" s="4">
        <f>SUM(R23:R26)</f>
        <v>7262</v>
      </c>
    </row>
    <row r="28" spans="2:19" x14ac:dyDescent="0.35">
      <c r="B28" s="2" t="s">
        <v>14</v>
      </c>
      <c r="C28" s="5"/>
      <c r="D28" s="5">
        <v>-3909</v>
      </c>
      <c r="E28" s="5">
        <v>-3419</v>
      </c>
      <c r="F28" s="5">
        <v>-2363</v>
      </c>
      <c r="G28" s="5">
        <v>-2011</v>
      </c>
      <c r="H28" s="5">
        <v>-2100</v>
      </c>
      <c r="I28" s="5">
        <v>-2199</v>
      </c>
      <c r="J28" s="5">
        <v>-2142</v>
      </c>
      <c r="K28" s="5">
        <v>-2084</v>
      </c>
      <c r="L28" s="5">
        <v>-1931</v>
      </c>
      <c r="M28" s="5">
        <v>-1943</v>
      </c>
      <c r="N28" s="5">
        <v>-2104</v>
      </c>
      <c r="O28" s="5">
        <v>-2508</v>
      </c>
      <c r="P28" s="5">
        <v>-2692</v>
      </c>
      <c r="Q28" s="5">
        <v>-2069</v>
      </c>
      <c r="R28" s="5">
        <v>-1483</v>
      </c>
    </row>
    <row r="29" spans="2:19" x14ac:dyDescent="0.35">
      <c r="B29" s="2" t="s">
        <v>15</v>
      </c>
      <c r="C29" s="5"/>
      <c r="D29" s="5">
        <v>-4334</v>
      </c>
      <c r="E29" s="5">
        <v>-5228</v>
      </c>
      <c r="F29" s="5">
        <v>-3500</v>
      </c>
      <c r="G29" s="5">
        <v>-1255</v>
      </c>
      <c r="H29" s="5">
        <v>-941</v>
      </c>
      <c r="I29" s="5">
        <v>-1399</v>
      </c>
      <c r="J29" s="5">
        <v>-1995</v>
      </c>
      <c r="K29" s="5">
        <v>-2233</v>
      </c>
      <c r="L29" s="5">
        <v>-2249</v>
      </c>
      <c r="M29" s="5">
        <v>-1769</v>
      </c>
      <c r="N29" s="5">
        <v>-1244</v>
      </c>
      <c r="O29" s="5">
        <v>-1025</v>
      </c>
      <c r="P29" s="5">
        <v>-981</v>
      </c>
      <c r="Q29" s="5">
        <v>-851</v>
      </c>
      <c r="R29" s="5">
        <v>-570</v>
      </c>
    </row>
    <row r="30" spans="2:19" x14ac:dyDescent="0.35">
      <c r="B30" s="3" t="s">
        <v>16</v>
      </c>
      <c r="C30" s="4"/>
      <c r="D30" s="4">
        <f t="shared" ref="D30:R30" si="37">SUM(D27:D29)</f>
        <v>3421</v>
      </c>
      <c r="E30" s="4">
        <f t="shared" si="37"/>
        <v>2838</v>
      </c>
      <c r="F30" s="4">
        <f t="shared" si="37"/>
        <v>3074</v>
      </c>
      <c r="G30" s="4">
        <f t="shared" si="37"/>
        <v>2697</v>
      </c>
      <c r="H30" s="4">
        <f t="shared" si="37"/>
        <v>2530</v>
      </c>
      <c r="I30" s="4">
        <f t="shared" si="37"/>
        <v>2827</v>
      </c>
      <c r="J30" s="4">
        <f t="shared" si="37"/>
        <v>3159</v>
      </c>
      <c r="K30" s="4">
        <f t="shared" si="37"/>
        <v>3321</v>
      </c>
      <c r="L30" s="4">
        <f t="shared" si="37"/>
        <v>3429</v>
      </c>
      <c r="M30" s="4">
        <f t="shared" si="37"/>
        <v>3665</v>
      </c>
      <c r="N30" s="4">
        <f t="shared" si="37"/>
        <v>3713</v>
      </c>
      <c r="O30" s="4">
        <f t="shared" si="37"/>
        <v>3769</v>
      </c>
      <c r="P30" s="4">
        <f t="shared" si="37"/>
        <v>4141</v>
      </c>
      <c r="Q30" s="4">
        <f t="shared" si="37"/>
        <v>4284</v>
      </c>
      <c r="R30" s="4">
        <f t="shared" si="37"/>
        <v>5209</v>
      </c>
    </row>
    <row r="31" spans="2:19" x14ac:dyDescent="0.35">
      <c r="B31" s="2" t="s">
        <v>17</v>
      </c>
      <c r="C31" s="5"/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</row>
    <row r="32" spans="2:19" x14ac:dyDescent="0.35">
      <c r="B32" s="2" t="s">
        <v>18</v>
      </c>
      <c r="C32" s="5"/>
      <c r="D32" s="5">
        <v>839</v>
      </c>
      <c r="E32" s="5">
        <v>442</v>
      </c>
      <c r="F32" s="5">
        <v>220</v>
      </c>
      <c r="G32" s="5">
        <v>248</v>
      </c>
      <c r="H32" s="5">
        <v>48</v>
      </c>
      <c r="I32" s="5">
        <v>41</v>
      </c>
      <c r="J32" s="5">
        <v>0</v>
      </c>
      <c r="K32" s="5">
        <v>10</v>
      </c>
      <c r="L32" s="5">
        <v>-23</v>
      </c>
      <c r="M32" s="5">
        <v>17</v>
      </c>
      <c r="N32" s="5">
        <v>76</v>
      </c>
      <c r="O32" s="5">
        <v>22</v>
      </c>
      <c r="P32" s="5">
        <v>8</v>
      </c>
      <c r="Q32" s="5">
        <v>0</v>
      </c>
      <c r="R32" s="5">
        <v>0</v>
      </c>
    </row>
    <row r="33" spans="2:18" x14ac:dyDescent="0.35">
      <c r="B33" s="2" t="s">
        <v>42</v>
      </c>
      <c r="C33" s="5"/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</row>
    <row r="34" spans="2:18" x14ac:dyDescent="0.35">
      <c r="B34" s="2" t="s">
        <v>19</v>
      </c>
      <c r="C34" s="5"/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</row>
    <row r="35" spans="2:18" x14ac:dyDescent="0.35">
      <c r="B35" s="2" t="s">
        <v>20</v>
      </c>
      <c r="C35" s="5"/>
      <c r="D35" s="5">
        <f>403+289</f>
        <v>692</v>
      </c>
      <c r="E35" s="5">
        <f>238+299</f>
        <v>537</v>
      </c>
      <c r="F35" s="5">
        <f>238+299</f>
        <v>537</v>
      </c>
      <c r="G35" s="5">
        <f>227+249</f>
        <v>476</v>
      </c>
      <c r="H35" s="5">
        <f>161+213</f>
        <v>374</v>
      </c>
      <c r="I35" s="5">
        <f>109+172</f>
        <v>281</v>
      </c>
      <c r="J35" s="5">
        <f>58+210</f>
        <v>268</v>
      </c>
      <c r="K35" s="5">
        <v>254</v>
      </c>
      <c r="L35" s="5">
        <v>258</v>
      </c>
      <c r="M35" s="5">
        <v>289</v>
      </c>
      <c r="N35" s="5">
        <v>279</v>
      </c>
      <c r="O35" s="5">
        <v>247</v>
      </c>
      <c r="P35" s="5">
        <v>241</v>
      </c>
      <c r="Q35" s="5">
        <v>204</v>
      </c>
      <c r="R35" s="5">
        <v>251</v>
      </c>
    </row>
    <row r="36" spans="2:18" x14ac:dyDescent="0.35">
      <c r="B36" s="3" t="s">
        <v>21</v>
      </c>
      <c r="C36" s="4"/>
      <c r="D36" s="4">
        <f t="shared" ref="D36:R36" si="38">SUM(D30:D35)</f>
        <v>4952</v>
      </c>
      <c r="E36" s="4">
        <f t="shared" si="38"/>
        <v>3817</v>
      </c>
      <c r="F36" s="4">
        <f t="shared" si="38"/>
        <v>3831</v>
      </c>
      <c r="G36" s="4">
        <f t="shared" si="38"/>
        <v>3421</v>
      </c>
      <c r="H36" s="4">
        <f t="shared" si="38"/>
        <v>2952</v>
      </c>
      <c r="I36" s="4">
        <f t="shared" si="38"/>
        <v>3149</v>
      </c>
      <c r="J36" s="4">
        <f t="shared" si="38"/>
        <v>3427</v>
      </c>
      <c r="K36" s="4">
        <f t="shared" si="38"/>
        <v>3585</v>
      </c>
      <c r="L36" s="4">
        <f t="shared" si="38"/>
        <v>3664</v>
      </c>
      <c r="M36" s="4">
        <f t="shared" si="38"/>
        <v>3971</v>
      </c>
      <c r="N36" s="4">
        <f t="shared" si="38"/>
        <v>4068</v>
      </c>
      <c r="O36" s="4">
        <f t="shared" si="38"/>
        <v>4038</v>
      </c>
      <c r="P36" s="4">
        <f t="shared" si="38"/>
        <v>4390</v>
      </c>
      <c r="Q36" s="4">
        <f t="shared" si="38"/>
        <v>4488</v>
      </c>
      <c r="R36" s="4">
        <f t="shared" si="38"/>
        <v>5460</v>
      </c>
    </row>
    <row r="37" spans="2:18" x14ac:dyDescent="0.35">
      <c r="B37" s="2" t="s">
        <v>22</v>
      </c>
      <c r="C37" s="5"/>
      <c r="D37" s="5">
        <v>-390</v>
      </c>
      <c r="E37" s="5">
        <v>-1198</v>
      </c>
      <c r="F37" s="5">
        <v>-611</v>
      </c>
      <c r="G37" s="5">
        <v>-260</v>
      </c>
      <c r="H37" s="5">
        <v>-89</v>
      </c>
      <c r="I37" s="5">
        <v>-253</v>
      </c>
      <c r="J37" s="5">
        <v>-494</v>
      </c>
      <c r="K37" s="5">
        <v>-542</v>
      </c>
      <c r="L37" s="5">
        <v>-696</v>
      </c>
      <c r="M37" s="5">
        <v>-924</v>
      </c>
      <c r="N37" s="5">
        <v>-1134</v>
      </c>
      <c r="O37" s="5">
        <v>-920</v>
      </c>
      <c r="P37" s="5">
        <v>-962</v>
      </c>
      <c r="Q37" s="5">
        <v>-1236</v>
      </c>
      <c r="R37" s="5">
        <v>-53</v>
      </c>
    </row>
    <row r="38" spans="2:18" x14ac:dyDescent="0.35">
      <c r="B38" s="2" t="s">
        <v>23</v>
      </c>
      <c r="C38" s="5"/>
      <c r="D38" s="8" t="s">
        <v>24</v>
      </c>
      <c r="E38" s="8" t="s">
        <v>24</v>
      </c>
      <c r="F38" s="5">
        <v>-435</v>
      </c>
      <c r="G38" s="5">
        <v>-352</v>
      </c>
      <c r="H38" s="5">
        <v>-395</v>
      </c>
      <c r="I38" s="5">
        <v>-416</v>
      </c>
      <c r="J38" s="5">
        <v>-450</v>
      </c>
      <c r="K38" s="5">
        <v>-454</v>
      </c>
      <c r="L38" s="5">
        <v>-489</v>
      </c>
      <c r="M38" s="5">
        <v>-481</v>
      </c>
      <c r="N38" s="5">
        <v>-510</v>
      </c>
      <c r="O38" s="5">
        <v>-505</v>
      </c>
      <c r="P38" s="5">
        <v>-524</v>
      </c>
      <c r="Q38" s="5">
        <v>-549</v>
      </c>
      <c r="R38" s="5">
        <v>-571</v>
      </c>
    </row>
    <row r="39" spans="2:18" x14ac:dyDescent="0.35">
      <c r="B39" s="2" t="s">
        <v>25</v>
      </c>
      <c r="C39" s="5"/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</row>
    <row r="40" spans="2:18" x14ac:dyDescent="0.35">
      <c r="B40" s="2" t="s">
        <v>26</v>
      </c>
      <c r="C40" s="5"/>
      <c r="D40" s="5">
        <v>0</v>
      </c>
      <c r="E40" s="5">
        <f>-1192-14</f>
        <v>-1206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</row>
    <row r="41" spans="2:18" x14ac:dyDescent="0.35">
      <c r="B41" s="2" t="s">
        <v>12</v>
      </c>
      <c r="C41" s="5"/>
      <c r="D41" s="5">
        <v>-1539</v>
      </c>
      <c r="E41" s="5">
        <v>-1707</v>
      </c>
      <c r="F41" s="5">
        <v>-1161</v>
      </c>
      <c r="G41" s="5">
        <v>-1052</v>
      </c>
      <c r="H41" s="5">
        <v>-1135</v>
      </c>
      <c r="I41" s="5">
        <v>-1091</v>
      </c>
      <c r="J41" s="5">
        <v>-1305</v>
      </c>
      <c r="K41" s="5">
        <v>-1160</v>
      </c>
      <c r="L41" s="5">
        <v>-1144</v>
      </c>
      <c r="M41" s="5">
        <v>-1186</v>
      </c>
      <c r="N41" s="5">
        <v>-1204</v>
      </c>
      <c r="O41" s="5">
        <v>-1245</v>
      </c>
      <c r="P41" s="5">
        <v>-1286</v>
      </c>
      <c r="Q41" s="5">
        <v>-1418</v>
      </c>
      <c r="R41" s="5">
        <v>-1452</v>
      </c>
    </row>
    <row r="42" spans="2:18" x14ac:dyDescent="0.35">
      <c r="B42" s="3" t="s">
        <v>27</v>
      </c>
      <c r="C42" s="4"/>
      <c r="D42" s="4">
        <f t="shared" ref="D42:Q42" si="39">SUM(D36:D41)</f>
        <v>3023</v>
      </c>
      <c r="E42" s="4">
        <f t="shared" si="39"/>
        <v>-294</v>
      </c>
      <c r="F42" s="4">
        <f t="shared" si="39"/>
        <v>1624</v>
      </c>
      <c r="G42" s="4">
        <f t="shared" si="39"/>
        <v>1757</v>
      </c>
      <c r="H42" s="4">
        <f t="shared" si="39"/>
        <v>1333</v>
      </c>
      <c r="I42" s="4">
        <f t="shared" si="39"/>
        <v>1389</v>
      </c>
      <c r="J42" s="4">
        <f t="shared" si="39"/>
        <v>1178</v>
      </c>
      <c r="K42" s="4">
        <f t="shared" si="39"/>
        <v>1429</v>
      </c>
      <c r="L42" s="4">
        <f t="shared" si="39"/>
        <v>1335</v>
      </c>
      <c r="M42" s="4">
        <f t="shared" si="39"/>
        <v>1380</v>
      </c>
      <c r="N42" s="4">
        <f t="shared" si="39"/>
        <v>1220</v>
      </c>
      <c r="O42" s="4">
        <f t="shared" si="39"/>
        <v>1368</v>
      </c>
      <c r="P42" s="4">
        <f t="shared" si="39"/>
        <v>1618</v>
      </c>
      <c r="Q42" s="4">
        <f t="shared" si="39"/>
        <v>1285</v>
      </c>
      <c r="R42" s="4">
        <f>SUM(R36:R41)</f>
        <v>3384</v>
      </c>
    </row>
    <row r="43" spans="2:18" x14ac:dyDescent="0.35"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</row>
    <row r="44" spans="2:18" x14ac:dyDescent="0.35">
      <c r="B44" s="15" t="s">
        <v>151</v>
      </c>
    </row>
    <row r="45" spans="2:18" x14ac:dyDescent="0.35">
      <c r="B45" s="2" t="s">
        <v>152</v>
      </c>
      <c r="C45" s="8"/>
      <c r="D45" s="8"/>
      <c r="E45" s="8"/>
      <c r="F45" s="8"/>
      <c r="G45" s="29">
        <f t="shared" ref="G45:J45" si="40">+G97</f>
        <v>45550</v>
      </c>
      <c r="H45" s="29">
        <f t="shared" si="40"/>
        <v>57356.5</v>
      </c>
      <c r="I45" s="29">
        <f t="shared" si="40"/>
        <v>58587</v>
      </c>
      <c r="J45" s="29">
        <f t="shared" si="40"/>
        <v>55066</v>
      </c>
      <c r="K45" s="29">
        <f>+K97</f>
        <v>56493.5</v>
      </c>
      <c r="L45" s="5">
        <v>60549</v>
      </c>
      <c r="M45" s="5">
        <v>64230</v>
      </c>
      <c r="N45" s="5">
        <v>66502</v>
      </c>
      <c r="O45" s="5">
        <v>69804</v>
      </c>
      <c r="P45" s="5">
        <v>72268</v>
      </c>
      <c r="Q45" s="5">
        <v>72805</v>
      </c>
      <c r="R45" s="5">
        <v>75689</v>
      </c>
    </row>
    <row r="46" spans="2:18" x14ac:dyDescent="0.35">
      <c r="B46" s="2" t="s">
        <v>153</v>
      </c>
      <c r="C46" s="8"/>
      <c r="D46" s="8"/>
      <c r="E46" s="8"/>
      <c r="F46" s="8"/>
      <c r="G46" s="5">
        <v>20037.000000000004</v>
      </c>
      <c r="H46" s="5">
        <v>24399</v>
      </c>
      <c r="I46" s="5">
        <v>27239</v>
      </c>
      <c r="J46" s="5">
        <v>28216</v>
      </c>
      <c r="K46" s="5">
        <v>30562.000000000004</v>
      </c>
      <c r="L46" s="5">
        <v>28070</v>
      </c>
      <c r="M46" s="5">
        <v>29989</v>
      </c>
      <c r="N46" s="5">
        <v>31586</v>
      </c>
      <c r="O46" s="5">
        <v>29455</v>
      </c>
      <c r="P46" s="5">
        <v>28200</v>
      </c>
      <c r="Q46" s="5">
        <v>19308</v>
      </c>
      <c r="R46" s="5">
        <v>11183</v>
      </c>
    </row>
    <row r="47" spans="2:18" x14ac:dyDescent="0.35">
      <c r="B47" s="2" t="s">
        <v>154</v>
      </c>
      <c r="C47" s="8"/>
      <c r="D47" s="8"/>
      <c r="E47" s="8"/>
      <c r="F47" s="8"/>
      <c r="G47" s="29">
        <f t="shared" ref="G47:J47" si="41">+H47/1.01</f>
        <v>4403.3832022440338</v>
      </c>
      <c r="H47" s="29">
        <f t="shared" si="41"/>
        <v>4447.4170342664738</v>
      </c>
      <c r="I47" s="29">
        <f t="shared" si="41"/>
        <v>4491.8912046091382</v>
      </c>
      <c r="J47" s="29">
        <f t="shared" si="41"/>
        <v>4536.8101166552296</v>
      </c>
      <c r="K47" s="29">
        <f>+L47/1.01</f>
        <v>4582.1782178217818</v>
      </c>
      <c r="L47" s="5">
        <v>4628</v>
      </c>
      <c r="M47" s="5">
        <v>5202</v>
      </c>
      <c r="N47" s="5">
        <v>5802</v>
      </c>
      <c r="O47" s="5">
        <v>6038</v>
      </c>
      <c r="P47" s="5">
        <v>5663</v>
      </c>
      <c r="Q47" s="5">
        <v>5740</v>
      </c>
      <c r="R47" s="5">
        <v>5273</v>
      </c>
    </row>
    <row r="48" spans="2:18" x14ac:dyDescent="0.35">
      <c r="B48" s="2" t="s">
        <v>155</v>
      </c>
      <c r="C48" s="8"/>
      <c r="D48" s="8"/>
      <c r="E48" s="8"/>
      <c r="F48" s="8"/>
      <c r="G48" s="29">
        <f t="shared" ref="G48:J48" si="42">+G49-SUM(G45:G47)</f>
        <v>8835.4181485463778</v>
      </c>
      <c r="H48" s="29">
        <f t="shared" si="42"/>
        <v>7136.1569132931036</v>
      </c>
      <c r="I48" s="29">
        <f t="shared" si="42"/>
        <v>8416.2545631448447</v>
      </c>
      <c r="J48" s="29">
        <f t="shared" si="42"/>
        <v>17399.047297990735</v>
      </c>
      <c r="K48" s="29">
        <f>+K49-SUM(K45:K47)</f>
        <v>17311.008523331489</v>
      </c>
      <c r="L48" s="5">
        <v>18058</v>
      </c>
      <c r="M48" s="5">
        <v>13791</v>
      </c>
      <c r="N48" s="5">
        <v>9791</v>
      </c>
      <c r="O48" s="5">
        <v>8590</v>
      </c>
      <c r="P48" s="5">
        <v>8509</v>
      </c>
      <c r="Q48" s="5">
        <v>9264</v>
      </c>
      <c r="R48" s="5">
        <v>10518</v>
      </c>
    </row>
    <row r="49" spans="2:19" x14ac:dyDescent="0.35">
      <c r="B49" s="3" t="s">
        <v>156</v>
      </c>
      <c r="C49" s="4"/>
      <c r="D49" s="4"/>
      <c r="E49" s="4"/>
      <c r="F49" s="4"/>
      <c r="G49" s="38">
        <f>+G377*(H49/H377)</f>
        <v>78825.801350790411</v>
      </c>
      <c r="H49" s="38">
        <f>+H377*(I49/I377)</f>
        <v>93339.073947559576</v>
      </c>
      <c r="I49" s="38">
        <f>+I377*(J49/J377)</f>
        <v>98734.145767753987</v>
      </c>
      <c r="J49" s="38">
        <f>+J377*(K49/K377)</f>
        <v>105217.85741464596</v>
      </c>
      <c r="K49" s="38">
        <f>+K377*(L49/L377)</f>
        <v>108948.68674115327</v>
      </c>
      <c r="L49" s="4">
        <f t="shared" ref="L49:Q49" si="43">SUM(L45:L48)</f>
        <v>111305</v>
      </c>
      <c r="M49" s="4">
        <f t="shared" si="43"/>
        <v>113212</v>
      </c>
      <c r="N49" s="4">
        <f t="shared" si="43"/>
        <v>113681</v>
      </c>
      <c r="O49" s="4">
        <f t="shared" si="43"/>
        <v>113887</v>
      </c>
      <c r="P49" s="4">
        <f t="shared" si="43"/>
        <v>114640</v>
      </c>
      <c r="Q49" s="4">
        <f t="shared" si="43"/>
        <v>107117</v>
      </c>
      <c r="R49" s="4">
        <f>SUM(R45:R48)</f>
        <v>102663</v>
      </c>
    </row>
    <row r="51" spans="2:19" x14ac:dyDescent="0.35">
      <c r="B51" s="15" t="s">
        <v>151</v>
      </c>
    </row>
    <row r="52" spans="2:19" x14ac:dyDescent="0.35">
      <c r="B52" s="2" t="s">
        <v>152</v>
      </c>
      <c r="C52" s="30"/>
      <c r="D52" s="30"/>
      <c r="E52" s="30"/>
      <c r="F52" s="30"/>
      <c r="G52" s="30"/>
      <c r="H52" s="30"/>
      <c r="I52" s="30"/>
      <c r="J52" s="30"/>
      <c r="K52" s="30"/>
      <c r="L52" s="31">
        <v>5.2699999999999997E-2</v>
      </c>
      <c r="M52" s="31">
        <v>5.5199999999999999E-2</v>
      </c>
      <c r="N52" s="31">
        <v>5.8000000000000003E-2</v>
      </c>
      <c r="O52" s="31">
        <v>6.1400000000000003E-2</v>
      </c>
      <c r="P52" s="31">
        <v>6.6000000000000003E-2</v>
      </c>
      <c r="Q52" s="31">
        <v>6.54E-2</v>
      </c>
      <c r="R52" s="31">
        <v>6.6500000000000004E-2</v>
      </c>
    </row>
    <row r="53" spans="2:19" x14ac:dyDescent="0.35">
      <c r="B53" s="2" t="s">
        <v>153</v>
      </c>
      <c r="C53" s="30"/>
      <c r="D53" s="30"/>
      <c r="E53" s="30"/>
      <c r="F53" s="30"/>
      <c r="G53" s="30"/>
      <c r="H53" s="30"/>
      <c r="I53" s="30"/>
      <c r="J53" s="30"/>
      <c r="K53" s="30"/>
      <c r="L53" s="31">
        <v>2.69E-2</v>
      </c>
      <c r="M53" s="31">
        <v>2.86E-2</v>
      </c>
      <c r="N53" s="31">
        <v>3.3700000000000001E-2</v>
      </c>
      <c r="O53" s="31">
        <v>4.2099999999999999E-2</v>
      </c>
      <c r="P53" s="31">
        <v>4.5999999999999999E-2</v>
      </c>
      <c r="Q53" s="31">
        <v>3.4500000000000003E-2</v>
      </c>
      <c r="R53" s="31">
        <v>3.1699999999999999E-2</v>
      </c>
    </row>
    <row r="54" spans="2:19" x14ac:dyDescent="0.35">
      <c r="B54" s="2" t="s">
        <v>154</v>
      </c>
      <c r="C54" s="30"/>
      <c r="D54" s="30"/>
      <c r="E54" s="30"/>
      <c r="F54" s="30"/>
      <c r="G54" s="30"/>
      <c r="H54" s="30"/>
      <c r="I54" s="30"/>
      <c r="J54" s="30"/>
      <c r="K54" s="30"/>
      <c r="L54" s="31">
        <v>3.9899999999999998E-2</v>
      </c>
      <c r="M54" s="31">
        <v>0.04</v>
      </c>
      <c r="N54" s="31">
        <v>4.1500000000000002E-2</v>
      </c>
      <c r="O54" s="31">
        <v>4.5499999999999999E-2</v>
      </c>
      <c r="P54" s="31">
        <v>4.65E-2</v>
      </c>
      <c r="Q54" s="31">
        <v>4.2099999999999999E-2</v>
      </c>
      <c r="R54" s="31">
        <v>4.2099999999999999E-2</v>
      </c>
    </row>
    <row r="55" spans="2:19" x14ac:dyDescent="0.35">
      <c r="B55" s="2" t="s">
        <v>155</v>
      </c>
      <c r="C55" s="30"/>
      <c r="D55" s="30"/>
      <c r="E55" s="30"/>
      <c r="F55" s="30"/>
      <c r="G55" s="30"/>
      <c r="H55" s="30"/>
      <c r="I55" s="30"/>
      <c r="J55" s="30"/>
      <c r="K55" s="30"/>
      <c r="L55" s="31">
        <v>6.3600000000000004E-2</v>
      </c>
      <c r="M55" s="31">
        <v>6.83E-2</v>
      </c>
      <c r="N55" s="31">
        <v>6.3600000000000004E-2</v>
      </c>
      <c r="O55" s="31">
        <v>5.3999999999999999E-2</v>
      </c>
      <c r="P55" s="31">
        <v>5.74E-2</v>
      </c>
      <c r="Q55" s="31">
        <v>6.3E-2</v>
      </c>
      <c r="R55" s="31">
        <v>9.3200000000000005E-2</v>
      </c>
    </row>
    <row r="56" spans="2:19" x14ac:dyDescent="0.35">
      <c r="B56" s="33" t="s">
        <v>157</v>
      </c>
      <c r="C56" s="32"/>
      <c r="D56" s="32"/>
      <c r="E56" s="32"/>
      <c r="F56" s="32"/>
      <c r="G56" s="32"/>
      <c r="H56" s="32"/>
      <c r="I56" s="32"/>
      <c r="J56" s="32"/>
      <c r="K56" s="32"/>
      <c r="L56" s="32">
        <f t="shared" ref="L56:R56" si="44">IFERROR(SUMPRODUCT(L52:L55,L45:L48)/L49,"na")</f>
        <v>4.7429686896365841E-2</v>
      </c>
      <c r="M56" s="32">
        <f t="shared" si="44"/>
        <v>4.9051219835353148E-2</v>
      </c>
      <c r="N56" s="32">
        <f t="shared" si="44"/>
        <v>5.0888493239855385E-2</v>
      </c>
      <c r="O56" s="32">
        <f t="shared" si="44"/>
        <v>5.500724490064713E-2</v>
      </c>
      <c r="P56" s="32">
        <f t="shared" si="44"/>
        <v>5.9478664515003485E-2</v>
      </c>
      <c r="Q56" s="32">
        <f t="shared" si="44"/>
        <v>5.8374104950661428E-2</v>
      </c>
      <c r="R56" s="32">
        <f t="shared" si="44"/>
        <v>6.4191485734880149E-2</v>
      </c>
    </row>
    <row r="58" spans="2:19" x14ac:dyDescent="0.35">
      <c r="B58" s="15" t="s">
        <v>151</v>
      </c>
    </row>
    <row r="59" spans="2:19" x14ac:dyDescent="0.35">
      <c r="B59" s="2" t="s">
        <v>152</v>
      </c>
      <c r="C59" s="30"/>
      <c r="D59" s="30"/>
      <c r="E59" s="30"/>
      <c r="F59" s="30"/>
      <c r="G59" s="34">
        <f t="shared" ref="G59:K59" si="45">+G23/G45</f>
        <v>4.2875960482985732E-2</v>
      </c>
      <c r="H59" s="34">
        <f t="shared" si="45"/>
        <v>4.2035340371187224E-2</v>
      </c>
      <c r="I59" s="34">
        <f t="shared" si="45"/>
        <v>4.8253025415194495E-2</v>
      </c>
      <c r="J59" s="34">
        <f t="shared" si="45"/>
        <v>5.4552718555914717E-2</v>
      </c>
      <c r="K59" s="34">
        <f t="shared" si="45"/>
        <v>5.3917707346862916E-2</v>
      </c>
      <c r="L59" s="34">
        <f t="shared" ref="L59:Q59" si="46">+L23/L45</f>
        <v>5.3345224528893953E-2</v>
      </c>
      <c r="M59" s="34">
        <f t="shared" si="46"/>
        <v>5.5846177798536512E-2</v>
      </c>
      <c r="N59" s="34">
        <f t="shared" si="46"/>
        <v>5.8374184235060599E-2</v>
      </c>
      <c r="O59" s="34">
        <f t="shared" si="46"/>
        <v>6.1414818635035243E-2</v>
      </c>
      <c r="P59" s="34">
        <f t="shared" si="46"/>
        <v>6.6073504178889686E-2</v>
      </c>
      <c r="Q59" s="34">
        <f t="shared" si="46"/>
        <v>6.7728864775770892E-2</v>
      </c>
      <c r="R59" s="34">
        <f>+R23/R45</f>
        <v>6.8675765302752045E-2</v>
      </c>
    </row>
    <row r="60" spans="2:19" x14ac:dyDescent="0.35">
      <c r="B60" s="2" t="s">
        <v>159</v>
      </c>
      <c r="C60" s="30"/>
      <c r="D60" s="30"/>
      <c r="E60" s="30"/>
      <c r="F60" s="30"/>
      <c r="G60" s="30"/>
      <c r="H60" s="30"/>
      <c r="I60" s="30"/>
      <c r="J60" s="30"/>
      <c r="K60" s="30"/>
      <c r="L60" s="34">
        <f t="shared" ref="L60:Q60" si="47">+L24/SUM(L46:L47)</f>
        <v>2.8717352743287052E-2</v>
      </c>
      <c r="M60" s="34">
        <f t="shared" si="47"/>
        <v>3.0348668693700093E-2</v>
      </c>
      <c r="N60" s="34">
        <f t="shared" si="47"/>
        <v>3.4930993901786667E-2</v>
      </c>
      <c r="O60" s="34">
        <f t="shared" si="47"/>
        <v>4.2712647564308454E-2</v>
      </c>
      <c r="P60" s="34">
        <f t="shared" si="47"/>
        <v>4.6097510557245369E-2</v>
      </c>
      <c r="Q60" s="34">
        <f t="shared" si="47"/>
        <v>3.3256148195464706E-2</v>
      </c>
      <c r="R60" s="34">
        <f>+R24/SUM(R46:R47)</f>
        <v>3.1234807972775887E-2</v>
      </c>
    </row>
    <row r="61" spans="2:19" x14ac:dyDescent="0.35">
      <c r="B61" s="2" t="s">
        <v>155</v>
      </c>
      <c r="C61" s="30"/>
      <c r="D61" s="30"/>
      <c r="E61" s="30"/>
      <c r="F61" s="30"/>
      <c r="G61" s="30"/>
      <c r="H61" s="30"/>
      <c r="I61" s="30"/>
      <c r="J61" s="30"/>
      <c r="K61" s="30"/>
      <c r="L61" s="34">
        <f t="shared" ref="L61:Q61" si="48">(L25+L29)/L48</f>
        <v>6.3628308782810936E-2</v>
      </c>
      <c r="M61" s="34">
        <f t="shared" si="48"/>
        <v>6.8305416576027844E-2</v>
      </c>
      <c r="N61" s="34">
        <f t="shared" si="48"/>
        <v>6.3629864160964153E-2</v>
      </c>
      <c r="O61" s="34">
        <f t="shared" si="48"/>
        <v>5.4016298020954596E-2</v>
      </c>
      <c r="P61" s="34">
        <f t="shared" si="48"/>
        <v>5.7468562698319424E-2</v>
      </c>
      <c r="Q61" s="34">
        <f t="shared" si="48"/>
        <v>6.3039723661485317E-2</v>
      </c>
      <c r="R61" s="34">
        <f>(R25+R29)/R48</f>
        <v>9.3173607149648216E-2</v>
      </c>
    </row>
    <row r="62" spans="2:19" x14ac:dyDescent="0.35">
      <c r="B62" s="33" t="s">
        <v>158</v>
      </c>
      <c r="C62" s="32"/>
      <c r="D62" s="32"/>
      <c r="E62" s="32"/>
      <c r="F62" s="32"/>
      <c r="G62" s="32"/>
      <c r="H62" s="32"/>
      <c r="I62" s="32"/>
      <c r="J62" s="32"/>
      <c r="K62" s="32"/>
      <c r="L62" s="32">
        <f t="shared" ref="L62:Q62" si="49">(L27+L29)/L49</f>
        <v>4.8155967836125961E-2</v>
      </c>
      <c r="M62" s="32">
        <f t="shared" si="49"/>
        <v>4.953538494152563E-2</v>
      </c>
      <c r="N62" s="32">
        <f t="shared" si="49"/>
        <v>5.1169500620156405E-2</v>
      </c>
      <c r="O62" s="32">
        <f t="shared" si="49"/>
        <v>5.5116036070842152E-2</v>
      </c>
      <c r="P62" s="32">
        <f t="shared" si="49"/>
        <v>5.96039776692254E-2</v>
      </c>
      <c r="Q62" s="32">
        <f t="shared" si="49"/>
        <v>5.9308979900482652E-2</v>
      </c>
      <c r="R62" s="32">
        <f>(R27+R29)/R49</f>
        <v>6.5184146187039146E-2</v>
      </c>
    </row>
    <row r="64" spans="2:19" x14ac:dyDescent="0.35">
      <c r="B64" s="2" t="s">
        <v>160</v>
      </c>
      <c r="G64" s="5">
        <v>12400</v>
      </c>
      <c r="H64" s="35">
        <f>AVERAGE(G64,I64)</f>
        <v>13500</v>
      </c>
      <c r="I64" s="5">
        <v>14600</v>
      </c>
      <c r="J64" s="5">
        <v>14900</v>
      </c>
      <c r="K64" s="5">
        <v>15600</v>
      </c>
      <c r="L64" s="35">
        <f>AVERAGE(K64,M64)</f>
        <v>16350</v>
      </c>
      <c r="M64" s="5">
        <v>17100</v>
      </c>
      <c r="N64" s="35">
        <f>AVERAGE(M64,O64)</f>
        <v>17500</v>
      </c>
      <c r="O64" s="5">
        <v>17900</v>
      </c>
      <c r="P64" s="5">
        <v>18300</v>
      </c>
      <c r="Q64" s="5">
        <v>18700</v>
      </c>
      <c r="R64" s="5">
        <v>21100</v>
      </c>
      <c r="S64" s="5">
        <v>22900</v>
      </c>
    </row>
    <row r="65" spans="2:19" x14ac:dyDescent="0.35">
      <c r="B65" s="2" t="s">
        <v>161</v>
      </c>
      <c r="G65" s="5"/>
      <c r="H65" s="5"/>
      <c r="I65" s="5"/>
      <c r="J65" s="5"/>
      <c r="K65" s="5"/>
      <c r="L65" s="5"/>
      <c r="M65" s="5"/>
      <c r="N65" s="7">
        <f t="shared" ref="N65:Q65" si="50">+N64-N66</f>
        <v>5500</v>
      </c>
      <c r="O65" s="7">
        <f t="shared" si="50"/>
        <v>5900</v>
      </c>
      <c r="P65" s="7">
        <f t="shared" si="50"/>
        <v>6300</v>
      </c>
      <c r="Q65" s="7">
        <f t="shared" si="50"/>
        <v>6400</v>
      </c>
      <c r="R65" s="7">
        <f>+R64-R66</f>
        <v>6300</v>
      </c>
      <c r="S65" s="6"/>
    </row>
    <row r="66" spans="2:19" x14ac:dyDescent="0.35">
      <c r="B66" s="2" t="s">
        <v>162</v>
      </c>
      <c r="G66" s="5"/>
      <c r="H66" s="5"/>
      <c r="I66" s="5"/>
      <c r="J66" s="5"/>
      <c r="K66" s="5"/>
      <c r="L66" s="5"/>
      <c r="M66" s="5"/>
      <c r="N66" s="5">
        <v>12000</v>
      </c>
      <c r="O66" s="5">
        <v>12000</v>
      </c>
      <c r="P66" s="5">
        <v>12000</v>
      </c>
      <c r="Q66" s="5">
        <v>12300</v>
      </c>
      <c r="R66" s="5">
        <v>14800</v>
      </c>
      <c r="S66" s="5">
        <v>16000</v>
      </c>
    </row>
    <row r="67" spans="2:19" x14ac:dyDescent="0.35">
      <c r="B67" s="2" t="s">
        <v>163</v>
      </c>
      <c r="G67" s="17"/>
      <c r="H67" s="17"/>
      <c r="I67" s="17"/>
      <c r="J67" s="17"/>
      <c r="K67" s="17"/>
      <c r="L67" s="17"/>
      <c r="M67" s="17"/>
      <c r="N67" s="17">
        <f>11000/N66</f>
        <v>0.91666666666666663</v>
      </c>
      <c r="O67" s="17">
        <v>0.89</v>
      </c>
      <c r="P67" s="17">
        <v>0.88</v>
      </c>
      <c r="Q67" s="17">
        <v>0.86</v>
      </c>
      <c r="R67" s="17">
        <v>0.74</v>
      </c>
      <c r="S67" s="17">
        <v>0.67</v>
      </c>
    </row>
    <row r="68" spans="2:19" x14ac:dyDescent="0.35">
      <c r="B68" s="2"/>
    </row>
    <row r="69" spans="2:19" x14ac:dyDescent="0.35">
      <c r="B69" s="2"/>
      <c r="N69" s="6"/>
      <c r="O69" s="6"/>
      <c r="P69" s="6"/>
      <c r="Q69" s="6"/>
      <c r="R69" s="6"/>
      <c r="S69" s="6"/>
    </row>
    <row r="70" spans="2:19" x14ac:dyDescent="0.35">
      <c r="B70" s="13" t="s">
        <v>164</v>
      </c>
      <c r="C70" s="19"/>
      <c r="D70" s="19"/>
      <c r="E70" s="6"/>
      <c r="F70" s="6"/>
      <c r="G70" s="6">
        <f t="shared" ref="G70:Q70" si="51">+F75</f>
        <v>1024</v>
      </c>
      <c r="H70" s="6">
        <f t="shared" si="51"/>
        <v>970</v>
      </c>
      <c r="I70" s="6">
        <f t="shared" si="51"/>
        <v>766</v>
      </c>
      <c r="J70" s="6">
        <f t="shared" si="51"/>
        <v>575</v>
      </c>
      <c r="K70" s="6">
        <f t="shared" si="51"/>
        <v>673</v>
      </c>
      <c r="L70" s="6">
        <f t="shared" si="51"/>
        <v>685</v>
      </c>
      <c r="M70" s="6">
        <f t="shared" si="51"/>
        <v>834</v>
      </c>
      <c r="N70" s="6">
        <f t="shared" si="51"/>
        <v>932</v>
      </c>
      <c r="O70" s="6">
        <f t="shared" si="51"/>
        <v>1066</v>
      </c>
      <c r="P70" s="6">
        <f t="shared" si="51"/>
        <v>1048</v>
      </c>
      <c r="Q70" s="6">
        <f t="shared" si="51"/>
        <v>1075</v>
      </c>
      <c r="R70" s="6">
        <f>+Q75</f>
        <v>2902</v>
      </c>
    </row>
    <row r="71" spans="2:19" x14ac:dyDescent="0.35">
      <c r="B71" s="13" t="s">
        <v>165</v>
      </c>
      <c r="C71" s="5"/>
      <c r="D71" s="5"/>
      <c r="E71" s="5"/>
      <c r="F71" s="5"/>
      <c r="G71" s="5">
        <v>-970</v>
      </c>
      <c r="H71" s="5">
        <v>-580</v>
      </c>
      <c r="I71" s="5">
        <v>-616</v>
      </c>
      <c r="J71" s="5">
        <v>-639</v>
      </c>
      <c r="K71" s="5">
        <v>-720</v>
      </c>
      <c r="L71" s="5">
        <v>-840</v>
      </c>
      <c r="M71" s="5">
        <v>-1102</v>
      </c>
      <c r="N71" s="5">
        <v>-1344</v>
      </c>
      <c r="O71" s="5">
        <v>-1383</v>
      </c>
      <c r="P71" s="5">
        <v>-1423</v>
      </c>
      <c r="Q71" s="5">
        <v>-1244</v>
      </c>
      <c r="R71" s="5">
        <v>-923</v>
      </c>
    </row>
    <row r="72" spans="2:19" x14ac:dyDescent="0.35">
      <c r="B72" s="13" t="s">
        <v>166</v>
      </c>
      <c r="C72" s="5"/>
      <c r="D72" s="5"/>
      <c r="E72" s="5"/>
      <c r="F72" s="5"/>
      <c r="G72" s="5">
        <v>390</v>
      </c>
      <c r="H72" s="5">
        <v>259</v>
      </c>
      <c r="I72" s="5">
        <v>247</v>
      </c>
      <c r="J72" s="5">
        <v>237</v>
      </c>
      <c r="K72" s="5">
        <v>219</v>
      </c>
      <c r="L72" s="5">
        <v>262</v>
      </c>
      <c r="M72" s="5">
        <v>307</v>
      </c>
      <c r="N72" s="5">
        <v>358</v>
      </c>
      <c r="O72" s="5">
        <v>456</v>
      </c>
      <c r="P72" s="5">
        <v>493</v>
      </c>
      <c r="Q72" s="5">
        <v>542</v>
      </c>
      <c r="R72" s="5">
        <v>686</v>
      </c>
    </row>
    <row r="73" spans="2:19" x14ac:dyDescent="0.35">
      <c r="B73" s="13" t="s">
        <v>167</v>
      </c>
      <c r="C73" s="5"/>
      <c r="D73" s="5"/>
      <c r="E73" s="5"/>
      <c r="F73" s="5"/>
      <c r="G73" s="5">
        <v>304</v>
      </c>
      <c r="H73" s="5">
        <v>154</v>
      </c>
      <c r="I73" s="5">
        <f>257+115</f>
        <v>372</v>
      </c>
      <c r="J73" s="5">
        <v>490</v>
      </c>
      <c r="K73" s="5">
        <v>540</v>
      </c>
      <c r="L73" s="5">
        <v>739</v>
      </c>
      <c r="M73" s="5">
        <v>919</v>
      </c>
      <c r="N73" s="5">
        <v>1127</v>
      </c>
      <c r="O73" s="5">
        <v>911</v>
      </c>
      <c r="P73" s="5">
        <v>957</v>
      </c>
      <c r="Q73" s="5">
        <f>47+702+445</f>
        <v>1194</v>
      </c>
      <c r="R73" s="5">
        <f>182+237-315</f>
        <v>104</v>
      </c>
    </row>
    <row r="74" spans="2:19" x14ac:dyDescent="0.35">
      <c r="B74" s="13" t="s">
        <v>12</v>
      </c>
      <c r="C74" s="5"/>
      <c r="D74" s="5"/>
      <c r="E74" s="5"/>
      <c r="F74" s="7"/>
      <c r="G74" s="7">
        <f t="shared" ref="G74:R74" si="52">+G75-SUM(G70:G73)</f>
        <v>222</v>
      </c>
      <c r="H74" s="7">
        <f t="shared" si="52"/>
        <v>-37</v>
      </c>
      <c r="I74" s="7">
        <f t="shared" si="52"/>
        <v>-194</v>
      </c>
      <c r="J74" s="7">
        <f t="shared" si="52"/>
        <v>10</v>
      </c>
      <c r="K74" s="7">
        <f t="shared" si="52"/>
        <v>-27</v>
      </c>
      <c r="L74" s="7">
        <f t="shared" si="52"/>
        <v>-12</v>
      </c>
      <c r="M74" s="7">
        <f t="shared" si="52"/>
        <v>-26</v>
      </c>
      <c r="N74" s="7">
        <f t="shared" si="52"/>
        <v>-7</v>
      </c>
      <c r="O74" s="7">
        <f t="shared" si="52"/>
        <v>-2</v>
      </c>
      <c r="P74" s="7">
        <f t="shared" si="52"/>
        <v>0</v>
      </c>
      <c r="Q74" s="7">
        <f t="shared" si="52"/>
        <v>1335</v>
      </c>
      <c r="R74" s="7">
        <f t="shared" si="52"/>
        <v>0</v>
      </c>
    </row>
    <row r="75" spans="2:19" x14ac:dyDescent="0.35">
      <c r="B75" s="33" t="s">
        <v>168</v>
      </c>
      <c r="C75" s="4"/>
      <c r="D75" s="4"/>
      <c r="E75" s="9"/>
      <c r="F75" s="9">
        <v>1024</v>
      </c>
      <c r="G75" s="9">
        <v>970</v>
      </c>
      <c r="H75" s="9">
        <v>766</v>
      </c>
      <c r="I75" s="9">
        <v>575</v>
      </c>
      <c r="J75" s="9">
        <v>673</v>
      </c>
      <c r="K75" s="9">
        <v>685</v>
      </c>
      <c r="L75" s="9">
        <v>834</v>
      </c>
      <c r="M75" s="9">
        <v>932</v>
      </c>
      <c r="N75" s="9">
        <v>1066</v>
      </c>
      <c r="O75" s="9">
        <v>1048</v>
      </c>
      <c r="P75" s="9">
        <v>1075</v>
      </c>
      <c r="Q75" s="9">
        <v>2902</v>
      </c>
      <c r="R75" s="9">
        <v>2769</v>
      </c>
    </row>
    <row r="76" spans="2:19" x14ac:dyDescent="0.35">
      <c r="B76" s="2" t="s">
        <v>169</v>
      </c>
      <c r="C76" s="6"/>
      <c r="D76" s="6"/>
      <c r="E76" s="6"/>
      <c r="F76" s="6">
        <f t="shared" ref="F76:Q76" si="53">+F77-F75</f>
        <v>1421</v>
      </c>
      <c r="G76" s="6">
        <f t="shared" si="53"/>
        <v>903</v>
      </c>
      <c r="H76" s="6">
        <f t="shared" si="53"/>
        <v>737</v>
      </c>
      <c r="I76" s="6">
        <f t="shared" si="53"/>
        <v>595</v>
      </c>
      <c r="J76" s="6">
        <f t="shared" si="53"/>
        <v>535</v>
      </c>
      <c r="K76" s="6">
        <f t="shared" si="53"/>
        <v>292</v>
      </c>
      <c r="L76" s="6">
        <f t="shared" si="53"/>
        <v>220</v>
      </c>
      <c r="M76" s="6">
        <f t="shared" si="53"/>
        <v>212</v>
      </c>
      <c r="N76" s="6">
        <f t="shared" si="53"/>
        <v>210</v>
      </c>
      <c r="O76" s="6">
        <f t="shared" si="53"/>
        <v>194</v>
      </c>
      <c r="P76" s="6">
        <f t="shared" si="53"/>
        <v>188</v>
      </c>
      <c r="Q76" s="6">
        <f t="shared" si="53"/>
        <v>381</v>
      </c>
      <c r="R76" s="6">
        <f>+R77-R75</f>
        <v>498</v>
      </c>
    </row>
    <row r="77" spans="2:19" x14ac:dyDescent="0.35">
      <c r="B77" s="36" t="s">
        <v>170</v>
      </c>
      <c r="C77" s="19"/>
      <c r="D77" s="19"/>
      <c r="E77" s="19">
        <f>-E325</f>
        <v>3433</v>
      </c>
      <c r="F77" s="19">
        <f t="shared" ref="F77:R77" si="54">-F325</f>
        <v>2445</v>
      </c>
      <c r="G77" s="19">
        <f t="shared" si="54"/>
        <v>1873</v>
      </c>
      <c r="H77" s="19">
        <f t="shared" si="54"/>
        <v>1503</v>
      </c>
      <c r="I77" s="19">
        <f t="shared" si="54"/>
        <v>1170</v>
      </c>
      <c r="J77" s="19">
        <f t="shared" si="54"/>
        <v>1208</v>
      </c>
      <c r="K77" s="19">
        <f t="shared" si="54"/>
        <v>977</v>
      </c>
      <c r="L77" s="19">
        <f t="shared" si="54"/>
        <v>1054</v>
      </c>
      <c r="M77" s="19">
        <f t="shared" si="54"/>
        <v>1144</v>
      </c>
      <c r="N77" s="19">
        <f t="shared" si="54"/>
        <v>1276</v>
      </c>
      <c r="O77" s="19">
        <f t="shared" si="54"/>
        <v>1242</v>
      </c>
      <c r="P77" s="19">
        <f t="shared" si="54"/>
        <v>1263</v>
      </c>
      <c r="Q77" s="19">
        <f t="shared" si="54"/>
        <v>3283</v>
      </c>
      <c r="R77" s="19">
        <f t="shared" si="54"/>
        <v>3267</v>
      </c>
    </row>
    <row r="78" spans="2:19" x14ac:dyDescent="0.35">
      <c r="B78" s="36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2:19" x14ac:dyDescent="0.35">
      <c r="B79" s="13" t="s">
        <v>174</v>
      </c>
      <c r="C79" s="19"/>
      <c r="D79" s="19"/>
      <c r="E79" s="27"/>
      <c r="F79" s="27"/>
      <c r="G79" s="12">
        <f>-G71/G$45</f>
        <v>2.1295279912184412E-2</v>
      </c>
      <c r="H79" s="12">
        <f t="shared" ref="H79:R79" si="55">-H71/H$45</f>
        <v>1.0112193038278138E-2</v>
      </c>
      <c r="I79" s="12">
        <f t="shared" si="55"/>
        <v>1.0514277911482069E-2</v>
      </c>
      <c r="J79" s="12">
        <f t="shared" si="55"/>
        <v>1.1604256710129662E-2</v>
      </c>
      <c r="K79" s="12">
        <f t="shared" si="55"/>
        <v>1.2744829051129777E-2</v>
      </c>
      <c r="L79" s="12">
        <f t="shared" si="55"/>
        <v>1.3873061487390379E-2</v>
      </c>
      <c r="M79" s="12">
        <f t="shared" si="55"/>
        <v>1.7157091701697026E-2</v>
      </c>
      <c r="N79" s="12">
        <f t="shared" si="55"/>
        <v>2.0209918498691769E-2</v>
      </c>
      <c r="O79" s="12">
        <f t="shared" si="55"/>
        <v>1.9812618188069453E-2</v>
      </c>
      <c r="P79" s="12">
        <f t="shared" si="55"/>
        <v>1.9690596114462833E-2</v>
      </c>
      <c r="Q79" s="12">
        <f t="shared" si="55"/>
        <v>1.7086738548176637E-2</v>
      </c>
      <c r="R79" s="12">
        <f t="shared" si="55"/>
        <v>1.2194638586848815E-2</v>
      </c>
    </row>
    <row r="80" spans="2:19" x14ac:dyDescent="0.35">
      <c r="B80" s="13" t="s">
        <v>173</v>
      </c>
      <c r="C80" s="19"/>
      <c r="D80" s="19"/>
      <c r="E80" s="6"/>
      <c r="F80" s="6"/>
      <c r="G80" s="12">
        <f t="shared" ref="G80:Q80" si="56">G72/G$45</f>
        <v>8.5620197585071344E-3</v>
      </c>
      <c r="H80" s="12">
        <f t="shared" si="56"/>
        <v>4.5156172360586852E-3</v>
      </c>
      <c r="I80" s="12">
        <f t="shared" si="56"/>
        <v>4.2159523443767392E-3</v>
      </c>
      <c r="J80" s="12">
        <f t="shared" si="56"/>
        <v>4.3039261976537246E-3</v>
      </c>
      <c r="K80" s="12">
        <f t="shared" si="56"/>
        <v>3.8765521697186403E-3</v>
      </c>
      <c r="L80" s="12">
        <f t="shared" si="56"/>
        <v>4.327073940114618E-3</v>
      </c>
      <c r="M80" s="12">
        <f t="shared" si="56"/>
        <v>4.7796979604546163E-3</v>
      </c>
      <c r="N80" s="12">
        <f t="shared" si="56"/>
        <v>5.3832967429550994E-3</v>
      </c>
      <c r="O80" s="12">
        <f t="shared" si="56"/>
        <v>6.5325769296888433E-3</v>
      </c>
      <c r="P80" s="12">
        <f t="shared" si="56"/>
        <v>6.8218298555377211E-3</v>
      </c>
      <c r="Q80" s="12">
        <f t="shared" si="56"/>
        <v>7.4445436439804962E-3</v>
      </c>
      <c r="R80" s="12">
        <f>R72/R$45</f>
        <v>9.0634041934759338E-3</v>
      </c>
    </row>
    <row r="81" spans="2:18" x14ac:dyDescent="0.35">
      <c r="B81" s="13" t="s">
        <v>175</v>
      </c>
      <c r="C81" s="19"/>
      <c r="D81" s="19"/>
      <c r="E81" s="109"/>
      <c r="F81" s="109"/>
      <c r="G81" s="110">
        <f t="shared" ref="G81:Q81" si="57">+G79-G80</f>
        <v>1.2733260153677277E-2</v>
      </c>
      <c r="H81" s="25">
        <f t="shared" si="57"/>
        <v>5.5965758022194527E-3</v>
      </c>
      <c r="I81" s="25">
        <f t="shared" si="57"/>
        <v>6.2983255671053302E-3</v>
      </c>
      <c r="J81" s="25">
        <f t="shared" si="57"/>
        <v>7.3003305124759374E-3</v>
      </c>
      <c r="K81" s="25">
        <f t="shared" si="57"/>
        <v>8.8682768814111364E-3</v>
      </c>
      <c r="L81" s="25">
        <f t="shared" si="57"/>
        <v>9.5459875472757617E-3</v>
      </c>
      <c r="M81" s="25">
        <f t="shared" si="57"/>
        <v>1.237739374124241E-2</v>
      </c>
      <c r="N81" s="25">
        <f t="shared" si="57"/>
        <v>1.4826621755736669E-2</v>
      </c>
      <c r="O81" s="25">
        <f t="shared" si="57"/>
        <v>1.328004125838061E-2</v>
      </c>
      <c r="P81" s="25">
        <f t="shared" si="57"/>
        <v>1.2868766258925111E-2</v>
      </c>
      <c r="Q81" s="25">
        <f t="shared" si="57"/>
        <v>9.6421949041961413E-3</v>
      </c>
      <c r="R81" s="25">
        <f>+R79-R80</f>
        <v>3.1312343933728812E-3</v>
      </c>
    </row>
    <row r="82" spans="2:18" x14ac:dyDescent="0.35">
      <c r="B82" s="13" t="s">
        <v>176</v>
      </c>
      <c r="C82" s="19"/>
      <c r="D82" s="19"/>
      <c r="E82" s="111"/>
      <c r="F82" s="111"/>
      <c r="G82" s="111">
        <v>1.4E-2</v>
      </c>
      <c r="H82" s="39">
        <v>5.0000000000000001E-3</v>
      </c>
      <c r="I82" s="39">
        <v>5.0000000000000001E-3</v>
      </c>
      <c r="J82" s="39">
        <v>7.0000000000000001E-3</v>
      </c>
      <c r="K82" s="39">
        <v>8.9999999999999993E-3</v>
      </c>
      <c r="L82" s="39">
        <v>0.01</v>
      </c>
      <c r="M82" s="39">
        <v>1.2E-2</v>
      </c>
      <c r="N82" s="39">
        <v>1.4999999999999999E-2</v>
      </c>
      <c r="O82" s="39">
        <v>1.2999999999999999E-2</v>
      </c>
      <c r="P82" s="39">
        <v>1.2999999999999999E-2</v>
      </c>
      <c r="Q82" s="39">
        <v>0.01</v>
      </c>
      <c r="R82" s="39">
        <v>3.0000000000000001E-3</v>
      </c>
    </row>
    <row r="83" spans="2:18" x14ac:dyDescent="0.35">
      <c r="B83" s="13" t="s">
        <v>177</v>
      </c>
      <c r="C83" s="19"/>
      <c r="D83" s="19"/>
      <c r="E83" s="19"/>
      <c r="F83" s="19"/>
      <c r="G83" s="40">
        <f>+G80/G79</f>
        <v>0.40206185567010311</v>
      </c>
      <c r="H83" s="40">
        <f>+H80/H79</f>
        <v>0.44655172413793098</v>
      </c>
      <c r="I83" s="40">
        <f t="shared" ref="I83:R83" si="58">+I80/I79</f>
        <v>0.40097402597402598</v>
      </c>
      <c r="J83" s="40">
        <f t="shared" si="58"/>
        <v>0.37089201877934275</v>
      </c>
      <c r="K83" s="40">
        <f t="shared" si="58"/>
        <v>0.30416666666666664</v>
      </c>
      <c r="L83" s="40">
        <f t="shared" si="58"/>
        <v>0.31190476190476191</v>
      </c>
      <c r="M83" s="40">
        <f t="shared" si="58"/>
        <v>0.27858439201451907</v>
      </c>
      <c r="N83" s="40">
        <f t="shared" si="58"/>
        <v>0.26636904761904762</v>
      </c>
      <c r="O83" s="40">
        <f t="shared" si="58"/>
        <v>0.32971800433839477</v>
      </c>
      <c r="P83" s="40">
        <f t="shared" si="58"/>
        <v>0.34645115952213634</v>
      </c>
      <c r="Q83" s="40">
        <f t="shared" si="58"/>
        <v>0.43569131832797431</v>
      </c>
      <c r="R83" s="40">
        <f t="shared" si="58"/>
        <v>0.74322860238353194</v>
      </c>
    </row>
    <row r="84" spans="2:18" x14ac:dyDescent="0.35">
      <c r="B84" s="13" t="s">
        <v>180</v>
      </c>
      <c r="C84" s="19"/>
      <c r="D84" s="19"/>
      <c r="E84" s="19"/>
      <c r="F84" s="19"/>
      <c r="G84" s="12">
        <f>G73/G$45</f>
        <v>6.6739846322722285E-3</v>
      </c>
      <c r="H84" s="12">
        <f t="shared" ref="H84:R84" si="59">H73/H$45</f>
        <v>2.6849615998186778E-3</v>
      </c>
      <c r="I84" s="12">
        <f t="shared" si="59"/>
        <v>6.3495314660248865E-3</v>
      </c>
      <c r="J84" s="12">
        <f t="shared" si="59"/>
        <v>8.8984128137144514E-3</v>
      </c>
      <c r="K84" s="12">
        <f t="shared" si="59"/>
        <v>9.5586217883473316E-3</v>
      </c>
      <c r="L84" s="12">
        <f t="shared" si="59"/>
        <v>1.2204990999025583E-2</v>
      </c>
      <c r="M84" s="12">
        <f t="shared" si="59"/>
        <v>1.4307955783901604E-2</v>
      </c>
      <c r="N84" s="12">
        <f t="shared" si="59"/>
        <v>1.6946858741090493E-2</v>
      </c>
      <c r="O84" s="12">
        <f t="shared" si="59"/>
        <v>1.3050828032777491E-2</v>
      </c>
      <c r="P84" s="12">
        <f t="shared" si="59"/>
        <v>1.3242375601926164E-2</v>
      </c>
      <c r="Q84" s="12">
        <f t="shared" si="59"/>
        <v>1.6399972529359246E-2</v>
      </c>
      <c r="R84" s="12">
        <f t="shared" si="59"/>
        <v>1.3740437844336694E-3</v>
      </c>
    </row>
    <row r="85" spans="2:18" x14ac:dyDescent="0.35">
      <c r="B85" s="13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2:18" x14ac:dyDescent="0.35">
      <c r="B86" s="36" t="s">
        <v>360</v>
      </c>
      <c r="C86" s="19"/>
      <c r="D86" s="19"/>
      <c r="E86" s="22"/>
      <c r="F86" s="22"/>
      <c r="G86" s="22">
        <f t="shared" ref="G86:R86" si="60">+G75/(G92+G75)</f>
        <v>1.9010661649419881E-2</v>
      </c>
      <c r="H86" s="22">
        <f t="shared" si="60"/>
        <v>1.214292508163977E-2</v>
      </c>
      <c r="I86" s="22">
        <f t="shared" si="60"/>
        <v>1.084516871310285E-2</v>
      </c>
      <c r="J86" s="22">
        <f t="shared" si="60"/>
        <v>1.2118920281634344E-2</v>
      </c>
      <c r="K86" s="22">
        <f t="shared" si="60"/>
        <v>1.235168956687944E-2</v>
      </c>
      <c r="L86" s="22">
        <f t="shared" si="60"/>
        <v>1.3255558910946166E-2</v>
      </c>
      <c r="M86" s="22">
        <f t="shared" si="60"/>
        <v>1.4529581417101879E-2</v>
      </c>
      <c r="N86" s="22">
        <f t="shared" si="60"/>
        <v>1.6054942241366325E-2</v>
      </c>
      <c r="O86" s="22">
        <f t="shared" si="60"/>
        <v>1.5266508368901774E-2</v>
      </c>
      <c r="P86" s="22">
        <f t="shared" si="60"/>
        <v>1.5286606089046258E-2</v>
      </c>
      <c r="Q86" s="22">
        <f t="shared" si="60"/>
        <v>3.9219396167256802E-2</v>
      </c>
      <c r="R86" s="22">
        <f t="shared" si="60"/>
        <v>3.5172177270821954E-2</v>
      </c>
    </row>
    <row r="87" spans="2:18" x14ac:dyDescent="0.35">
      <c r="B87" s="36" t="s">
        <v>178</v>
      </c>
      <c r="C87" s="19"/>
      <c r="D87" s="19"/>
      <c r="E87" s="37"/>
      <c r="F87" s="37"/>
      <c r="G87" s="37">
        <v>1.9E-2</v>
      </c>
      <c r="H87" s="37">
        <v>1.2E-2</v>
      </c>
      <c r="I87" s="37">
        <v>1.0999999999999999E-2</v>
      </c>
      <c r="J87" s="37">
        <v>1.2E-2</v>
      </c>
      <c r="K87" s="37">
        <v>1.2E-2</v>
      </c>
      <c r="L87" s="37">
        <v>1.2999999999999999E-2</v>
      </c>
      <c r="M87" s="37">
        <v>1.4E-2</v>
      </c>
      <c r="N87" s="37">
        <v>1.6E-2</v>
      </c>
      <c r="O87" s="37">
        <v>1.4999999999999999E-2</v>
      </c>
      <c r="P87" s="37">
        <v>1.4999999999999999E-2</v>
      </c>
      <c r="Q87" s="37">
        <v>3.9E-2</v>
      </c>
      <c r="R87" s="37">
        <v>3.5000000000000003E-2</v>
      </c>
    </row>
    <row r="88" spans="2:18" x14ac:dyDescent="0.35">
      <c r="B88" s="36" t="s">
        <v>171</v>
      </c>
      <c r="C88" s="19"/>
      <c r="D88" s="19"/>
      <c r="E88" s="37"/>
      <c r="F88" s="37"/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  <c r="Q88" s="37">
        <f>1335/(Q45+1335)</f>
        <v>1.8006474237928245E-2</v>
      </c>
      <c r="R88" s="37">
        <f>1335/(R45+1335)</f>
        <v>1.7332260074781888E-2</v>
      </c>
    </row>
    <row r="89" spans="2:18" x14ac:dyDescent="0.35">
      <c r="B89" s="36" t="s">
        <v>172</v>
      </c>
      <c r="C89" s="19"/>
      <c r="D89" s="19"/>
      <c r="E89" s="22"/>
      <c r="F89" s="22"/>
      <c r="G89" s="22">
        <f t="shared" ref="G89:R89" si="61">+G86-G88</f>
        <v>1.9010661649419881E-2</v>
      </c>
      <c r="H89" s="22">
        <f t="shared" si="61"/>
        <v>1.214292508163977E-2</v>
      </c>
      <c r="I89" s="22">
        <f t="shared" si="61"/>
        <v>1.084516871310285E-2</v>
      </c>
      <c r="J89" s="22">
        <f t="shared" si="61"/>
        <v>1.2118920281634344E-2</v>
      </c>
      <c r="K89" s="22">
        <f t="shared" si="61"/>
        <v>1.235168956687944E-2</v>
      </c>
      <c r="L89" s="22">
        <f t="shared" si="61"/>
        <v>1.3255558910946166E-2</v>
      </c>
      <c r="M89" s="22">
        <f t="shared" si="61"/>
        <v>1.4529581417101879E-2</v>
      </c>
      <c r="N89" s="22">
        <f t="shared" si="61"/>
        <v>1.6054942241366325E-2</v>
      </c>
      <c r="O89" s="22">
        <f t="shared" si="61"/>
        <v>1.5266508368901774E-2</v>
      </c>
      <c r="P89" s="22">
        <f t="shared" si="61"/>
        <v>1.5286606089046258E-2</v>
      </c>
      <c r="Q89" s="22">
        <f t="shared" si="61"/>
        <v>2.1212921929328558E-2</v>
      </c>
      <c r="R89" s="22">
        <f t="shared" si="61"/>
        <v>1.7839917196040066E-2</v>
      </c>
    </row>
    <row r="90" spans="2:18" x14ac:dyDescent="0.35">
      <c r="B90" s="36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2:18" x14ac:dyDescent="0.35">
      <c r="B91" s="15" t="s">
        <v>181</v>
      </c>
    </row>
    <row r="92" spans="2:18" x14ac:dyDescent="0.35">
      <c r="B92" s="2" t="s">
        <v>182</v>
      </c>
      <c r="G92" s="5">
        <v>50054</v>
      </c>
      <c r="H92" s="5">
        <v>62316</v>
      </c>
      <c r="I92" s="5">
        <v>52444</v>
      </c>
      <c r="J92" s="5">
        <v>54860</v>
      </c>
      <c r="K92" s="5">
        <v>54773</v>
      </c>
      <c r="L92" s="5">
        <v>62083</v>
      </c>
      <c r="M92" s="5">
        <v>63213</v>
      </c>
      <c r="N92" s="5">
        <v>65331</v>
      </c>
      <c r="O92" s="5">
        <v>67599</v>
      </c>
      <c r="P92" s="5">
        <v>69248</v>
      </c>
      <c r="Q92" s="5">
        <v>71092</v>
      </c>
      <c r="R92" s="5">
        <v>75958</v>
      </c>
    </row>
    <row r="93" spans="2:18" x14ac:dyDescent="0.35">
      <c r="B93" s="2" t="s">
        <v>183</v>
      </c>
      <c r="G93" s="5">
        <v>828</v>
      </c>
      <c r="H93" s="5">
        <v>802</v>
      </c>
      <c r="I93" s="5">
        <v>920</v>
      </c>
      <c r="J93" s="5">
        <v>1145</v>
      </c>
      <c r="K93" s="5">
        <v>1340</v>
      </c>
      <c r="L93" s="5">
        <v>1618</v>
      </c>
      <c r="M93" s="5">
        <v>1850</v>
      </c>
      <c r="N93" s="5">
        <v>1994</v>
      </c>
      <c r="O93" s="5">
        <v>2107</v>
      </c>
      <c r="P93" s="5">
        <v>2185</v>
      </c>
      <c r="Q93" s="5">
        <v>1658</v>
      </c>
      <c r="R93" s="5">
        <v>1577</v>
      </c>
    </row>
    <row r="94" spans="2:18" x14ac:dyDescent="0.35">
      <c r="B94" s="2" t="s">
        <v>184</v>
      </c>
      <c r="F94" s="5">
        <v>564</v>
      </c>
      <c r="G94" s="5">
        <v>175</v>
      </c>
      <c r="H94" s="5">
        <v>162</v>
      </c>
      <c r="I94" s="5">
        <v>213</v>
      </c>
      <c r="J94" s="5">
        <v>255</v>
      </c>
      <c r="K94" s="5">
        <v>293</v>
      </c>
      <c r="L94" s="5">
        <v>369</v>
      </c>
      <c r="M94" s="5">
        <v>428</v>
      </c>
      <c r="N94" s="5">
        <v>478</v>
      </c>
      <c r="O94" s="5">
        <v>537</v>
      </c>
      <c r="P94" s="5">
        <v>590</v>
      </c>
      <c r="Q94" s="5">
        <v>535</v>
      </c>
      <c r="R94" s="5">
        <v>476</v>
      </c>
    </row>
    <row r="95" spans="2:18" x14ac:dyDescent="0.35">
      <c r="B95" s="2" t="s">
        <v>185</v>
      </c>
      <c r="G95" s="5">
        <v>197</v>
      </c>
      <c r="H95" s="5">
        <v>179</v>
      </c>
      <c r="I95" s="5">
        <v>138</v>
      </c>
      <c r="J95" s="5">
        <v>157</v>
      </c>
      <c r="K95" s="5">
        <v>164</v>
      </c>
      <c r="L95" s="5">
        <v>222</v>
      </c>
      <c r="M95" s="5">
        <v>302</v>
      </c>
      <c r="N95" s="5">
        <v>268</v>
      </c>
      <c r="O95" s="5">
        <v>296</v>
      </c>
      <c r="P95" s="5">
        <v>367</v>
      </c>
      <c r="Q95" s="5">
        <v>383</v>
      </c>
      <c r="R95" s="5">
        <v>241</v>
      </c>
    </row>
    <row r="96" spans="2:18" x14ac:dyDescent="0.35">
      <c r="B96" s="41" t="s">
        <v>186</v>
      </c>
      <c r="C96" s="3"/>
      <c r="D96" s="3"/>
      <c r="E96" s="3"/>
      <c r="F96" s="9">
        <v>39846</v>
      </c>
      <c r="G96" s="4">
        <f t="shared" ref="G96:Q96" si="62">SUM(G92:G95)</f>
        <v>51254</v>
      </c>
      <c r="H96" s="4">
        <f t="shared" si="62"/>
        <v>63459</v>
      </c>
      <c r="I96" s="4">
        <f t="shared" si="62"/>
        <v>53715</v>
      </c>
      <c r="J96" s="4">
        <f t="shared" si="62"/>
        <v>56417</v>
      </c>
      <c r="K96" s="4">
        <f t="shared" si="62"/>
        <v>56570</v>
      </c>
      <c r="L96" s="4">
        <f t="shared" si="62"/>
        <v>64292</v>
      </c>
      <c r="M96" s="4">
        <f t="shared" si="62"/>
        <v>65793</v>
      </c>
      <c r="N96" s="4">
        <f t="shared" si="62"/>
        <v>68071</v>
      </c>
      <c r="O96" s="4">
        <f t="shared" si="62"/>
        <v>70539</v>
      </c>
      <c r="P96" s="4">
        <f t="shared" si="62"/>
        <v>72390</v>
      </c>
      <c r="Q96" s="4">
        <f t="shared" si="62"/>
        <v>73668</v>
      </c>
      <c r="R96" s="4">
        <f>SUM(R92:R95)</f>
        <v>78252</v>
      </c>
    </row>
    <row r="97" spans="2:19" x14ac:dyDescent="0.35">
      <c r="B97" s="2" t="s">
        <v>187</v>
      </c>
      <c r="G97" s="6">
        <f t="shared" ref="G97:Q97" si="63">AVERAGE(F96:G96)</f>
        <v>45550</v>
      </c>
      <c r="H97" s="6">
        <f t="shared" si="63"/>
        <v>57356.5</v>
      </c>
      <c r="I97" s="6">
        <f t="shared" si="63"/>
        <v>58587</v>
      </c>
      <c r="J97" s="6">
        <f t="shared" si="63"/>
        <v>55066</v>
      </c>
      <c r="K97" s="6">
        <f t="shared" si="63"/>
        <v>56493.5</v>
      </c>
      <c r="L97" s="6">
        <f t="shared" si="63"/>
        <v>60431</v>
      </c>
      <c r="M97" s="6">
        <f t="shared" si="63"/>
        <v>65042.5</v>
      </c>
      <c r="N97" s="6">
        <f t="shared" si="63"/>
        <v>66932</v>
      </c>
      <c r="O97" s="6">
        <f t="shared" si="63"/>
        <v>69305</v>
      </c>
      <c r="P97" s="6">
        <f t="shared" si="63"/>
        <v>71464.5</v>
      </c>
      <c r="Q97" s="6">
        <f t="shared" si="63"/>
        <v>73029</v>
      </c>
      <c r="R97" s="6">
        <f>AVERAGE(Q96:R96)</f>
        <v>75960</v>
      </c>
    </row>
    <row r="98" spans="2:19" x14ac:dyDescent="0.35">
      <c r="B98" s="2" t="s">
        <v>188</v>
      </c>
      <c r="G98" s="6"/>
      <c r="H98" s="6"/>
      <c r="I98" s="6"/>
      <c r="J98" s="6"/>
      <c r="K98" s="6"/>
      <c r="L98" s="6">
        <f t="shared" ref="L98:R98" si="64">+L45</f>
        <v>60549</v>
      </c>
      <c r="M98" s="6">
        <f t="shared" si="64"/>
        <v>64230</v>
      </c>
      <c r="N98" s="6">
        <f t="shared" si="64"/>
        <v>66502</v>
      </c>
      <c r="O98" s="6">
        <f t="shared" si="64"/>
        <v>69804</v>
      </c>
      <c r="P98" s="6">
        <f t="shared" si="64"/>
        <v>72268</v>
      </c>
      <c r="Q98" s="6">
        <f t="shared" si="64"/>
        <v>72805</v>
      </c>
      <c r="R98" s="6">
        <f t="shared" si="64"/>
        <v>75689</v>
      </c>
    </row>
    <row r="99" spans="2:19" x14ac:dyDescent="0.35">
      <c r="B99" s="2" t="s">
        <v>189</v>
      </c>
      <c r="E99" s="5"/>
      <c r="F99" s="5">
        <v>386</v>
      </c>
      <c r="G99" s="5">
        <v>207</v>
      </c>
      <c r="H99" s="5">
        <v>228</v>
      </c>
      <c r="I99" s="5">
        <v>260</v>
      </c>
      <c r="J99" s="5">
        <v>329</v>
      </c>
      <c r="K99" s="5">
        <v>386</v>
      </c>
      <c r="L99" s="5">
        <v>475</v>
      </c>
      <c r="M99" s="5">
        <v>598</v>
      </c>
      <c r="N99" s="5">
        <v>603</v>
      </c>
      <c r="O99" s="5">
        <v>664</v>
      </c>
      <c r="P99" s="5">
        <v>762</v>
      </c>
      <c r="Q99" s="5">
        <v>1256</v>
      </c>
      <c r="R99" s="5">
        <v>1078</v>
      </c>
    </row>
    <row r="100" spans="2:19" x14ac:dyDescent="0.35">
      <c r="B100" s="2" t="s">
        <v>370</v>
      </c>
      <c r="F100" s="12">
        <f t="shared" ref="F100:Q100" si="65">+F99/F96</f>
        <v>9.6872960899462932E-3</v>
      </c>
      <c r="G100" s="12">
        <f t="shared" si="65"/>
        <v>4.0387091739181331E-3</v>
      </c>
      <c r="H100" s="12">
        <f t="shared" si="65"/>
        <v>3.5928709875667755E-3</v>
      </c>
      <c r="I100" s="12">
        <f t="shared" si="65"/>
        <v>4.8403611654100342E-3</v>
      </c>
      <c r="J100" s="12">
        <f t="shared" si="65"/>
        <v>5.8315755889182339E-3</v>
      </c>
      <c r="K100" s="12">
        <f t="shared" si="65"/>
        <v>6.823404631430087E-3</v>
      </c>
      <c r="L100" s="12">
        <f t="shared" si="65"/>
        <v>7.3881664903876062E-3</v>
      </c>
      <c r="M100" s="12">
        <f t="shared" si="65"/>
        <v>9.0891128235526582E-3</v>
      </c>
      <c r="N100" s="12">
        <f t="shared" si="65"/>
        <v>8.8583978493044033E-3</v>
      </c>
      <c r="O100" s="12">
        <f t="shared" si="65"/>
        <v>9.4132323962630594E-3</v>
      </c>
      <c r="P100" s="12">
        <f t="shared" si="65"/>
        <v>1.0526315789473684E-2</v>
      </c>
      <c r="Q100" s="12">
        <f t="shared" si="65"/>
        <v>1.7049465168051257E-2</v>
      </c>
      <c r="R100" s="12">
        <f>+R99/R96</f>
        <v>1.3776005725093288E-2</v>
      </c>
    </row>
    <row r="101" spans="2:19" x14ac:dyDescent="0.35">
      <c r="B101" s="2"/>
    </row>
    <row r="103" spans="2:19" x14ac:dyDescent="0.35">
      <c r="B103" s="1" t="s">
        <v>3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2:19" x14ac:dyDescent="0.35">
      <c r="B104" s="2" t="s">
        <v>32</v>
      </c>
      <c r="C104" s="5"/>
      <c r="D104" s="5"/>
      <c r="E104" s="5"/>
      <c r="F104" s="8" t="s">
        <v>24</v>
      </c>
      <c r="G104" s="8" t="s">
        <v>24</v>
      </c>
      <c r="H104" s="8" t="s">
        <v>24</v>
      </c>
      <c r="I104" s="8" t="s">
        <v>24</v>
      </c>
      <c r="J104" s="8" t="s">
        <v>24</v>
      </c>
      <c r="K104" s="8" t="s">
        <v>24</v>
      </c>
      <c r="L104" s="8" t="s">
        <v>24</v>
      </c>
      <c r="M104" s="5">
        <v>61</v>
      </c>
      <c r="N104" s="5">
        <v>59</v>
      </c>
      <c r="O104" s="5">
        <v>54</v>
      </c>
      <c r="P104" s="5">
        <v>54</v>
      </c>
      <c r="Q104" s="5">
        <v>42</v>
      </c>
      <c r="R104" s="5">
        <v>59</v>
      </c>
    </row>
    <row r="105" spans="2:19" x14ac:dyDescent="0.35">
      <c r="B105" s="3" t="s">
        <v>13</v>
      </c>
      <c r="C105" s="4"/>
      <c r="D105" s="4"/>
      <c r="E105" s="4"/>
      <c r="F105" s="4">
        <f t="shared" ref="F105:R105" si="66">SUM(F104:F104)</f>
        <v>0</v>
      </c>
      <c r="G105" s="4">
        <f t="shared" si="66"/>
        <v>0</v>
      </c>
      <c r="H105" s="4">
        <f t="shared" si="66"/>
        <v>0</v>
      </c>
      <c r="I105" s="4">
        <f t="shared" si="66"/>
        <v>0</v>
      </c>
      <c r="J105" s="4">
        <f t="shared" si="66"/>
        <v>0</v>
      </c>
      <c r="K105" s="4">
        <f t="shared" si="66"/>
        <v>0</v>
      </c>
      <c r="L105" s="4">
        <f t="shared" si="66"/>
        <v>0</v>
      </c>
      <c r="M105" s="4">
        <f t="shared" si="66"/>
        <v>61</v>
      </c>
      <c r="N105" s="4">
        <f t="shared" si="66"/>
        <v>59</v>
      </c>
      <c r="O105" s="4">
        <f t="shared" si="66"/>
        <v>54</v>
      </c>
      <c r="P105" s="4">
        <f t="shared" si="66"/>
        <v>54</v>
      </c>
      <c r="Q105" s="4">
        <f t="shared" si="66"/>
        <v>42</v>
      </c>
      <c r="R105" s="4">
        <f t="shared" si="66"/>
        <v>59</v>
      </c>
    </row>
    <row r="106" spans="2:19" x14ac:dyDescent="0.35">
      <c r="B106" s="2" t="s">
        <v>14</v>
      </c>
      <c r="C106" s="5"/>
      <c r="D106" s="5"/>
      <c r="E106" s="5"/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</row>
    <row r="107" spans="2:19" x14ac:dyDescent="0.35">
      <c r="B107" s="2" t="s">
        <v>15</v>
      </c>
      <c r="C107" s="5"/>
      <c r="D107" s="5"/>
      <c r="E107" s="5"/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</row>
    <row r="108" spans="2:19" x14ac:dyDescent="0.35">
      <c r="B108" s="3" t="s">
        <v>16</v>
      </c>
      <c r="C108" s="4"/>
      <c r="D108" s="4"/>
      <c r="E108" s="4"/>
      <c r="F108" s="4">
        <f t="shared" ref="F108:R108" si="67">SUM(F105:F107)</f>
        <v>0</v>
      </c>
      <c r="G108" s="4">
        <f t="shared" si="67"/>
        <v>0</v>
      </c>
      <c r="H108" s="4">
        <f t="shared" si="67"/>
        <v>0</v>
      </c>
      <c r="I108" s="4">
        <f t="shared" si="67"/>
        <v>0</v>
      </c>
      <c r="J108" s="4">
        <f t="shared" si="67"/>
        <v>0</v>
      </c>
      <c r="K108" s="4">
        <f t="shared" si="67"/>
        <v>0</v>
      </c>
      <c r="L108" s="4">
        <f t="shared" si="67"/>
        <v>0</v>
      </c>
      <c r="M108" s="4">
        <f t="shared" si="67"/>
        <v>61</v>
      </c>
      <c r="N108" s="4">
        <f t="shared" si="67"/>
        <v>59</v>
      </c>
      <c r="O108" s="4">
        <f t="shared" si="67"/>
        <v>54</v>
      </c>
      <c r="P108" s="4">
        <f t="shared" si="67"/>
        <v>54</v>
      </c>
      <c r="Q108" s="4">
        <f t="shared" si="67"/>
        <v>42</v>
      </c>
      <c r="R108" s="4">
        <f t="shared" si="67"/>
        <v>59</v>
      </c>
    </row>
    <row r="109" spans="2:19" x14ac:dyDescent="0.35">
      <c r="B109" s="2" t="s">
        <v>17</v>
      </c>
      <c r="C109" s="8"/>
      <c r="D109" s="8"/>
      <c r="E109" s="8"/>
      <c r="F109" s="5">
        <v>1817</v>
      </c>
      <c r="G109" s="5">
        <v>1342</v>
      </c>
      <c r="H109" s="5">
        <v>1153</v>
      </c>
      <c r="I109" s="5">
        <v>1055</v>
      </c>
      <c r="J109" s="5">
        <v>1012</v>
      </c>
      <c r="K109" s="5">
        <v>979</v>
      </c>
      <c r="L109" s="5">
        <v>940</v>
      </c>
      <c r="M109" s="5">
        <v>945</v>
      </c>
      <c r="N109" s="5">
        <v>973</v>
      </c>
      <c r="O109" s="5">
        <v>1022</v>
      </c>
      <c r="P109" s="5">
        <v>1087</v>
      </c>
      <c r="Q109" s="5">
        <v>1103</v>
      </c>
      <c r="R109" s="5">
        <v>1117</v>
      </c>
    </row>
    <row r="110" spans="2:19" x14ac:dyDescent="0.35">
      <c r="B110" s="2" t="s">
        <v>18</v>
      </c>
      <c r="C110" s="5"/>
      <c r="D110" s="5"/>
      <c r="E110" s="5"/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</row>
    <row r="111" spans="2:19" x14ac:dyDescent="0.35">
      <c r="B111" s="2" t="s">
        <v>42</v>
      </c>
      <c r="C111" s="5"/>
      <c r="D111" s="5"/>
      <c r="E111" s="5"/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</row>
    <row r="112" spans="2:19" x14ac:dyDescent="0.35">
      <c r="B112" s="2" t="s">
        <v>19</v>
      </c>
      <c r="C112" s="5"/>
      <c r="D112" s="5"/>
      <c r="E112" s="5"/>
      <c r="F112" s="5">
        <v>255</v>
      </c>
      <c r="G112" s="5">
        <v>418</v>
      </c>
      <c r="H112" s="5">
        <v>220</v>
      </c>
      <c r="I112" s="5">
        <v>124</v>
      </c>
      <c r="J112" s="5">
        <v>227</v>
      </c>
      <c r="K112" s="5">
        <v>194</v>
      </c>
      <c r="L112" s="5">
        <v>134</v>
      </c>
      <c r="M112" s="5">
        <v>84</v>
      </c>
      <c r="N112" s="5">
        <v>78</v>
      </c>
      <c r="O112" s="5">
        <v>-51</v>
      </c>
      <c r="P112" s="5">
        <v>175</v>
      </c>
      <c r="Q112" s="5">
        <v>220</v>
      </c>
      <c r="R112" s="5">
        <v>216</v>
      </c>
    </row>
    <row r="113" spans="2:18" x14ac:dyDescent="0.35">
      <c r="B113" s="2" t="s">
        <v>20</v>
      </c>
      <c r="C113" s="5"/>
      <c r="D113" s="5"/>
      <c r="E113" s="5"/>
      <c r="F113" s="5">
        <v>72</v>
      </c>
      <c r="G113" s="5">
        <v>41</v>
      </c>
      <c r="H113" s="5">
        <v>25</v>
      </c>
      <c r="I113" s="5">
        <v>35</v>
      </c>
      <c r="J113" s="5">
        <v>14</v>
      </c>
      <c r="K113" s="5">
        <v>12</v>
      </c>
      <c r="L113" s="5">
        <v>16</v>
      </c>
      <c r="M113" s="5">
        <v>7</v>
      </c>
      <c r="N113" s="5">
        <v>8</v>
      </c>
      <c r="O113" s="5">
        <v>10</v>
      </c>
      <c r="P113" s="5">
        <v>12</v>
      </c>
      <c r="Q113" s="5">
        <v>11</v>
      </c>
      <c r="R113" s="5">
        <v>12</v>
      </c>
    </row>
    <row r="114" spans="2:18" x14ac:dyDescent="0.35">
      <c r="B114" s="3" t="s">
        <v>21</v>
      </c>
      <c r="C114" s="4"/>
      <c r="D114" s="4"/>
      <c r="E114" s="4"/>
      <c r="F114" s="4">
        <f t="shared" ref="F114:R114" si="68">SUM(F108:F113)</f>
        <v>2144</v>
      </c>
      <c r="G114" s="4">
        <f t="shared" si="68"/>
        <v>1801</v>
      </c>
      <c r="H114" s="4">
        <f t="shared" si="68"/>
        <v>1398</v>
      </c>
      <c r="I114" s="4">
        <f t="shared" si="68"/>
        <v>1214</v>
      </c>
      <c r="J114" s="4">
        <f t="shared" si="68"/>
        <v>1253</v>
      </c>
      <c r="K114" s="4">
        <f t="shared" si="68"/>
        <v>1185</v>
      </c>
      <c r="L114" s="4">
        <f t="shared" si="68"/>
        <v>1090</v>
      </c>
      <c r="M114" s="4">
        <f t="shared" si="68"/>
        <v>1097</v>
      </c>
      <c r="N114" s="4">
        <f t="shared" si="68"/>
        <v>1118</v>
      </c>
      <c r="O114" s="4">
        <f t="shared" si="68"/>
        <v>1035</v>
      </c>
      <c r="P114" s="4">
        <f t="shared" si="68"/>
        <v>1328</v>
      </c>
      <c r="Q114" s="4">
        <f t="shared" si="68"/>
        <v>1376</v>
      </c>
      <c r="R114" s="4">
        <f t="shared" si="68"/>
        <v>1404</v>
      </c>
    </row>
    <row r="115" spans="2:18" x14ac:dyDescent="0.35">
      <c r="B115" s="2" t="s">
        <v>22</v>
      </c>
      <c r="C115" s="5"/>
      <c r="D115" s="5"/>
      <c r="E115" s="5"/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</row>
    <row r="116" spans="2:18" x14ac:dyDescent="0.35">
      <c r="B116" s="2" t="s">
        <v>23</v>
      </c>
      <c r="C116" s="5"/>
      <c r="D116" s="5"/>
      <c r="E116" s="5"/>
      <c r="F116" s="5">
        <f>-109-621</f>
        <v>-730</v>
      </c>
      <c r="G116" s="5">
        <f>-64-510</f>
        <v>-574</v>
      </c>
      <c r="H116" s="5">
        <f>-61-431</f>
        <v>-492</v>
      </c>
      <c r="I116" s="5">
        <f>-61-382</f>
        <v>-443</v>
      </c>
      <c r="J116" s="5">
        <f>-62-370</f>
        <v>-432</v>
      </c>
      <c r="K116" s="5">
        <f>-63-374</f>
        <v>-437</v>
      </c>
      <c r="L116" s="5">
        <f>-68-378</f>
        <v>-446</v>
      </c>
      <c r="M116" s="5">
        <f>-68-389</f>
        <v>-457</v>
      </c>
      <c r="N116" s="5">
        <f>-73-415</f>
        <v>-488</v>
      </c>
      <c r="O116" s="5">
        <f>-75-440</f>
        <v>-515</v>
      </c>
      <c r="P116" s="5">
        <f>-80-475</f>
        <v>-555</v>
      </c>
      <c r="Q116" s="5">
        <f>-82-517</f>
        <v>-599</v>
      </c>
      <c r="R116" s="5">
        <f>-92-562</f>
        <v>-654</v>
      </c>
    </row>
    <row r="117" spans="2:18" x14ac:dyDescent="0.35">
      <c r="B117" s="2" t="s">
        <v>25</v>
      </c>
      <c r="C117" s="5"/>
      <c r="D117" s="5"/>
      <c r="E117" s="5"/>
      <c r="F117" s="5">
        <v>-825</v>
      </c>
      <c r="G117" s="5">
        <v>-511</v>
      </c>
      <c r="H117" s="5">
        <v>-452</v>
      </c>
      <c r="I117" s="5">
        <v>-454</v>
      </c>
      <c r="J117" s="5">
        <v>-405</v>
      </c>
      <c r="K117" s="5">
        <v>-410</v>
      </c>
      <c r="L117" s="5">
        <v>-293</v>
      </c>
      <c r="M117" s="5">
        <v>-342</v>
      </c>
      <c r="N117" s="5">
        <v>-332</v>
      </c>
      <c r="O117" s="5">
        <v>-295</v>
      </c>
      <c r="P117" s="5">
        <v>-321</v>
      </c>
      <c r="Q117" s="5">
        <v>-363</v>
      </c>
      <c r="R117" s="5">
        <v>-261</v>
      </c>
    </row>
    <row r="118" spans="2:18" x14ac:dyDescent="0.35">
      <c r="B118" s="2" t="s">
        <v>26</v>
      </c>
      <c r="C118" s="5"/>
      <c r="D118" s="5"/>
      <c r="E118" s="5"/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</row>
    <row r="119" spans="2:18" x14ac:dyDescent="0.35">
      <c r="B119" s="2" t="s">
        <v>12</v>
      </c>
      <c r="C119" s="5"/>
      <c r="D119" s="5"/>
      <c r="E119" s="5"/>
      <c r="F119" s="5">
        <f>-268</f>
        <v>-268</v>
      </c>
      <c r="G119" s="5">
        <f>-159</f>
        <v>-159</v>
      </c>
      <c r="H119" s="5">
        <f>-138</f>
        <v>-138</v>
      </c>
      <c r="I119" s="5">
        <f>-157</f>
        <v>-157</v>
      </c>
      <c r="J119" s="5">
        <f>-162</f>
        <v>-162</v>
      </c>
      <c r="K119" s="5">
        <f>-141</f>
        <v>-141</v>
      </c>
      <c r="L119" s="5">
        <f>-140</f>
        <v>-140</v>
      </c>
      <c r="M119" s="5">
        <f>-141</f>
        <v>-141</v>
      </c>
      <c r="N119" s="5">
        <f>-130</f>
        <v>-130</v>
      </c>
      <c r="O119" s="5">
        <v>-145</v>
      </c>
      <c r="P119" s="5">
        <f>-137</f>
        <v>-137</v>
      </c>
      <c r="Q119" s="5">
        <f>-130</f>
        <v>-130</v>
      </c>
      <c r="R119" s="5">
        <f>-146</f>
        <v>-146</v>
      </c>
    </row>
    <row r="120" spans="2:18" x14ac:dyDescent="0.35">
      <c r="B120" s="3" t="s">
        <v>27</v>
      </c>
      <c r="C120" s="4"/>
      <c r="D120" s="4"/>
      <c r="E120" s="4"/>
      <c r="F120" s="4">
        <f t="shared" ref="F120:R120" si="69">SUM(F114:F119)</f>
        <v>321</v>
      </c>
      <c r="G120" s="4">
        <f t="shared" si="69"/>
        <v>557</v>
      </c>
      <c r="H120" s="4">
        <f t="shared" si="69"/>
        <v>316</v>
      </c>
      <c r="I120" s="4">
        <f t="shared" si="69"/>
        <v>160</v>
      </c>
      <c r="J120" s="4">
        <f t="shared" si="69"/>
        <v>254</v>
      </c>
      <c r="K120" s="4">
        <f t="shared" si="69"/>
        <v>197</v>
      </c>
      <c r="L120" s="4">
        <f t="shared" si="69"/>
        <v>211</v>
      </c>
      <c r="M120" s="4">
        <f t="shared" si="69"/>
        <v>157</v>
      </c>
      <c r="N120" s="4">
        <f t="shared" si="69"/>
        <v>168</v>
      </c>
      <c r="O120" s="4">
        <f t="shared" si="69"/>
        <v>80</v>
      </c>
      <c r="P120" s="4">
        <f t="shared" si="69"/>
        <v>315</v>
      </c>
      <c r="Q120" s="4">
        <f t="shared" si="69"/>
        <v>284</v>
      </c>
      <c r="R120" s="4">
        <f t="shared" si="69"/>
        <v>343</v>
      </c>
    </row>
    <row r="122" spans="2:18" x14ac:dyDescent="0.35">
      <c r="B122" t="s">
        <v>194</v>
      </c>
      <c r="D122" s="5"/>
      <c r="E122" s="5"/>
      <c r="F122" s="5">
        <v>1318</v>
      </c>
      <c r="G122" s="5">
        <v>1029</v>
      </c>
      <c r="H122" s="5">
        <v>1039</v>
      </c>
      <c r="I122" s="5">
        <v>1061</v>
      </c>
      <c r="J122" s="5">
        <v>997</v>
      </c>
      <c r="K122" s="5">
        <v>1023</v>
      </c>
      <c r="L122" s="5">
        <v>977</v>
      </c>
      <c r="M122" s="5">
        <v>948</v>
      </c>
      <c r="N122" s="5">
        <v>996</v>
      </c>
      <c r="O122" s="5">
        <v>1174</v>
      </c>
      <c r="P122" s="5">
        <v>1310</v>
      </c>
      <c r="Q122" s="5">
        <v>1229</v>
      </c>
      <c r="R122" s="5">
        <v>1197</v>
      </c>
    </row>
    <row r="123" spans="2:18" x14ac:dyDescent="0.35">
      <c r="B123" t="s">
        <v>195</v>
      </c>
      <c r="D123" s="26"/>
      <c r="E123" s="26"/>
      <c r="F123" s="26">
        <v>0.97099999999999997</v>
      </c>
      <c r="G123" s="26">
        <v>0.90600000000000003</v>
      </c>
      <c r="H123" s="26">
        <v>0.93100000000000005</v>
      </c>
      <c r="I123" s="26">
        <v>0.98299999999999998</v>
      </c>
      <c r="J123" s="26">
        <v>0.98</v>
      </c>
      <c r="K123" s="26">
        <v>1.002</v>
      </c>
      <c r="L123" s="26">
        <v>0.92800000000000005</v>
      </c>
      <c r="M123" s="26">
        <v>0.98699999999999999</v>
      </c>
      <c r="N123" s="26">
        <v>0.96799999999999997</v>
      </c>
      <c r="O123" s="26">
        <v>0.92600000000000005</v>
      </c>
      <c r="P123" s="26">
        <v>0.92200000000000004</v>
      </c>
      <c r="Q123" s="26">
        <v>0.98</v>
      </c>
      <c r="R123" s="26">
        <v>0.93899999999999995</v>
      </c>
    </row>
    <row r="124" spans="2:18" x14ac:dyDescent="0.35">
      <c r="B124" t="s">
        <v>196</v>
      </c>
      <c r="D124" s="26"/>
      <c r="E124" s="26"/>
      <c r="F124" s="40">
        <f t="shared" ref="F124:R124" si="70">-SUM(F115:F119)/(F113+F109)</f>
        <v>0.96506087877183699</v>
      </c>
      <c r="G124" s="40">
        <f t="shared" si="70"/>
        <v>0.89949385394070858</v>
      </c>
      <c r="H124" s="40">
        <f t="shared" si="70"/>
        <v>0.91850594227504245</v>
      </c>
      <c r="I124" s="40">
        <f t="shared" si="70"/>
        <v>0.96697247706422018</v>
      </c>
      <c r="J124" s="40">
        <f t="shared" si="70"/>
        <v>0.97368421052631582</v>
      </c>
      <c r="K124" s="40">
        <f t="shared" si="70"/>
        <v>0.99697275479313829</v>
      </c>
      <c r="L124" s="40">
        <f t="shared" si="70"/>
        <v>0.91945606694560666</v>
      </c>
      <c r="M124" s="40">
        <f t="shared" si="70"/>
        <v>0.98739495798319332</v>
      </c>
      <c r="N124" s="40">
        <f t="shared" si="70"/>
        <v>0.96839959225280325</v>
      </c>
      <c r="O124" s="40">
        <f t="shared" si="70"/>
        <v>0.92538759689922478</v>
      </c>
      <c r="P124" s="40">
        <f t="shared" si="70"/>
        <v>0.92174704276615105</v>
      </c>
      <c r="Q124" s="40">
        <f t="shared" si="70"/>
        <v>0.98025134649910228</v>
      </c>
      <c r="R124" s="40">
        <f t="shared" si="70"/>
        <v>0.93976970770593449</v>
      </c>
    </row>
    <row r="126" spans="2:18" x14ac:dyDescent="0.35">
      <c r="B126" t="s">
        <v>197</v>
      </c>
      <c r="F126" s="6">
        <f t="shared" ref="F126:R126" si="71">SUM(F115:F119)+(F113+F109)</f>
        <v>66</v>
      </c>
      <c r="G126" s="6">
        <f t="shared" si="71"/>
        <v>139</v>
      </c>
      <c r="H126" s="6">
        <f t="shared" si="71"/>
        <v>96</v>
      </c>
      <c r="I126" s="6">
        <f t="shared" si="71"/>
        <v>36</v>
      </c>
      <c r="J126" s="6">
        <f t="shared" si="71"/>
        <v>27</v>
      </c>
      <c r="K126" s="6">
        <f t="shared" si="71"/>
        <v>3</v>
      </c>
      <c r="L126" s="6">
        <f t="shared" si="71"/>
        <v>77</v>
      </c>
      <c r="M126" s="6">
        <f t="shared" si="71"/>
        <v>12</v>
      </c>
      <c r="N126" s="6">
        <f t="shared" si="71"/>
        <v>31</v>
      </c>
      <c r="O126" s="6">
        <f t="shared" si="71"/>
        <v>77</v>
      </c>
      <c r="P126" s="6">
        <f t="shared" si="71"/>
        <v>86</v>
      </c>
      <c r="Q126" s="6">
        <f t="shared" si="71"/>
        <v>22</v>
      </c>
      <c r="R126" s="6">
        <f t="shared" si="71"/>
        <v>68</v>
      </c>
    </row>
    <row r="127" spans="2:18" x14ac:dyDescent="0.35">
      <c r="B127" t="s">
        <v>198</v>
      </c>
      <c r="F127" s="6">
        <f t="shared" ref="F127:R127" si="72">SUM(F112,F104)</f>
        <v>255</v>
      </c>
      <c r="G127" s="6">
        <f t="shared" si="72"/>
        <v>418</v>
      </c>
      <c r="H127" s="6">
        <f t="shared" si="72"/>
        <v>220</v>
      </c>
      <c r="I127" s="6">
        <f t="shared" si="72"/>
        <v>124</v>
      </c>
      <c r="J127" s="6">
        <f t="shared" si="72"/>
        <v>227</v>
      </c>
      <c r="K127" s="6">
        <f t="shared" si="72"/>
        <v>194</v>
      </c>
      <c r="L127" s="6">
        <f t="shared" si="72"/>
        <v>134</v>
      </c>
      <c r="M127" s="6">
        <f t="shared" si="72"/>
        <v>145</v>
      </c>
      <c r="N127" s="6">
        <f t="shared" si="72"/>
        <v>137</v>
      </c>
      <c r="O127" s="6">
        <f t="shared" si="72"/>
        <v>3</v>
      </c>
      <c r="P127" s="6">
        <f t="shared" si="72"/>
        <v>229</v>
      </c>
      <c r="Q127" s="6">
        <f t="shared" si="72"/>
        <v>262</v>
      </c>
      <c r="R127" s="6">
        <f t="shared" si="72"/>
        <v>275</v>
      </c>
    </row>
    <row r="128" spans="2:18" x14ac:dyDescent="0.35">
      <c r="B128" s="10" t="s">
        <v>38</v>
      </c>
      <c r="C128" s="10"/>
      <c r="D128" s="10"/>
      <c r="E128" s="10"/>
      <c r="F128" s="11" t="b">
        <f t="shared" ref="F128:R128" si="73">SUM(F126:F127)=F120</f>
        <v>1</v>
      </c>
      <c r="G128" s="11" t="b">
        <f t="shared" si="73"/>
        <v>1</v>
      </c>
      <c r="H128" s="11" t="b">
        <f t="shared" si="73"/>
        <v>1</v>
      </c>
      <c r="I128" s="11" t="b">
        <f t="shared" si="73"/>
        <v>1</v>
      </c>
      <c r="J128" s="11" t="b">
        <f t="shared" si="73"/>
        <v>1</v>
      </c>
      <c r="K128" s="11" t="b">
        <f t="shared" si="73"/>
        <v>1</v>
      </c>
      <c r="L128" s="11" t="b">
        <f t="shared" si="73"/>
        <v>1</v>
      </c>
      <c r="M128" s="11" t="b">
        <f t="shared" si="73"/>
        <v>1</v>
      </c>
      <c r="N128" s="11" t="b">
        <f t="shared" si="73"/>
        <v>1</v>
      </c>
      <c r="O128" s="11" t="b">
        <f t="shared" si="73"/>
        <v>1</v>
      </c>
      <c r="P128" s="11" t="b">
        <f t="shared" si="73"/>
        <v>1</v>
      </c>
      <c r="Q128" s="11" t="b">
        <f t="shared" si="73"/>
        <v>1</v>
      </c>
      <c r="R128" s="11" t="b">
        <f t="shared" si="73"/>
        <v>1</v>
      </c>
    </row>
    <row r="130" spans="2:19" x14ac:dyDescent="0.35">
      <c r="B130" t="s">
        <v>127</v>
      </c>
      <c r="D130" s="5"/>
      <c r="E130" s="5"/>
      <c r="F130" s="5">
        <v>121</v>
      </c>
      <c r="G130" s="5">
        <v>1196</v>
      </c>
      <c r="H130" s="5">
        <v>840</v>
      </c>
      <c r="I130" s="5">
        <v>617</v>
      </c>
      <c r="J130" s="5">
        <v>976</v>
      </c>
      <c r="K130" s="5">
        <v>1528</v>
      </c>
      <c r="L130" s="5">
        <v>1288</v>
      </c>
      <c r="M130" s="5">
        <v>885</v>
      </c>
      <c r="N130" s="5">
        <v>1281</v>
      </c>
      <c r="O130" s="5">
        <v>896</v>
      </c>
      <c r="P130" s="5">
        <v>1325</v>
      </c>
      <c r="Q130" s="5">
        <v>768</v>
      </c>
      <c r="R130" s="5">
        <v>722</v>
      </c>
    </row>
    <row r="131" spans="2:19" x14ac:dyDescent="0.35">
      <c r="B131" t="s">
        <v>199</v>
      </c>
      <c r="D131" s="5"/>
      <c r="E131" s="5"/>
      <c r="F131" s="5">
        <v>671</v>
      </c>
      <c r="G131" s="5">
        <v>671</v>
      </c>
      <c r="H131" s="5">
        <v>1054</v>
      </c>
      <c r="I131" s="5">
        <v>1148</v>
      </c>
      <c r="J131" s="5">
        <v>940</v>
      </c>
      <c r="K131" s="5">
        <v>906</v>
      </c>
      <c r="L131" s="5">
        <v>717</v>
      </c>
      <c r="M131" s="5">
        <v>595</v>
      </c>
      <c r="N131" s="5">
        <v>518</v>
      </c>
      <c r="O131" s="5">
        <v>766</v>
      </c>
      <c r="P131" s="5">
        <v>608</v>
      </c>
      <c r="Q131" s="5">
        <v>1064</v>
      </c>
      <c r="R131" s="5">
        <v>1085</v>
      </c>
      <c r="S131" s="5"/>
    </row>
    <row r="132" spans="2:19" x14ac:dyDescent="0.35">
      <c r="B132" t="s">
        <v>200</v>
      </c>
      <c r="D132" s="5"/>
      <c r="E132" s="5"/>
      <c r="F132" s="5">
        <v>3983</v>
      </c>
      <c r="G132" s="5">
        <v>3983</v>
      </c>
      <c r="H132" s="5">
        <v>3373</v>
      </c>
      <c r="I132" s="5">
        <v>3379</v>
      </c>
      <c r="J132" s="5">
        <v>3379</v>
      </c>
      <c r="K132" s="5">
        <v>2879</v>
      </c>
      <c r="L132" s="5">
        <v>3048</v>
      </c>
      <c r="M132" s="5">
        <v>3553</v>
      </c>
      <c r="N132" s="5">
        <v>3372</v>
      </c>
      <c r="O132" s="5">
        <v>3430</v>
      </c>
      <c r="P132" s="5">
        <v>3809</v>
      </c>
      <c r="Q132" s="5">
        <v>3589</v>
      </c>
      <c r="R132" s="5">
        <v>3723</v>
      </c>
    </row>
    <row r="133" spans="2:19" x14ac:dyDescent="0.35">
      <c r="B133" s="3" t="s">
        <v>201</v>
      </c>
      <c r="C133" s="4"/>
      <c r="D133" s="4"/>
      <c r="E133" s="4"/>
      <c r="F133" s="4">
        <f t="shared" ref="F133" si="74">SUM(F130:F132)</f>
        <v>4775</v>
      </c>
      <c r="G133" s="4">
        <f t="shared" ref="G133" si="75">SUM(G130:G132)</f>
        <v>5850</v>
      </c>
      <c r="H133" s="4">
        <f t="shared" ref="H133" si="76">SUM(H130:H132)</f>
        <v>5267</v>
      </c>
      <c r="I133" s="4">
        <f t="shared" ref="I133:O133" si="77">SUM(I130:I132)</f>
        <v>5144</v>
      </c>
      <c r="J133" s="4">
        <f t="shared" si="77"/>
        <v>5295</v>
      </c>
      <c r="K133" s="4">
        <f t="shared" si="77"/>
        <v>5313</v>
      </c>
      <c r="L133" s="4">
        <f t="shared" si="77"/>
        <v>5053</v>
      </c>
      <c r="M133" s="4">
        <f t="shared" si="77"/>
        <v>5033</v>
      </c>
      <c r="N133" s="4">
        <f t="shared" si="77"/>
        <v>5171</v>
      </c>
      <c r="O133" s="4">
        <f t="shared" si="77"/>
        <v>5092</v>
      </c>
      <c r="P133" s="4">
        <f>SUM(P130:P132)</f>
        <v>5742</v>
      </c>
      <c r="Q133" s="4">
        <f>SUM(Q130:Q132)</f>
        <v>5421</v>
      </c>
      <c r="R133" s="4">
        <f>SUM(R130:R132)</f>
        <v>5530</v>
      </c>
    </row>
    <row r="134" spans="2:19" x14ac:dyDescent="0.35">
      <c r="B134" t="s">
        <v>130</v>
      </c>
      <c r="F134" s="5">
        <v>2720</v>
      </c>
      <c r="G134" s="5">
        <v>2181</v>
      </c>
      <c r="H134" s="5">
        <v>1853</v>
      </c>
      <c r="I134" s="5">
        <v>1609</v>
      </c>
      <c r="J134" s="5">
        <v>1613</v>
      </c>
      <c r="K134" s="5">
        <v>1609</v>
      </c>
      <c r="L134" s="5">
        <v>1801</v>
      </c>
      <c r="M134" s="5">
        <v>1905</v>
      </c>
      <c r="N134" s="5">
        <v>2047</v>
      </c>
      <c r="O134" s="5">
        <v>2326</v>
      </c>
      <c r="P134" s="5">
        <v>2558</v>
      </c>
      <c r="Q134" s="5">
        <v>2679</v>
      </c>
      <c r="R134" s="5">
        <v>2724</v>
      </c>
    </row>
    <row r="135" spans="2:19" x14ac:dyDescent="0.35">
      <c r="B135" t="s">
        <v>202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830</v>
      </c>
      <c r="R135" s="5">
        <v>923</v>
      </c>
    </row>
    <row r="136" spans="2:19" x14ac:dyDescent="0.35">
      <c r="B136" t="s">
        <v>12</v>
      </c>
      <c r="F136" s="6">
        <f t="shared" ref="F136:P136" si="78">+F137-SUM(F133:F135)</f>
        <v>3119</v>
      </c>
      <c r="G136" s="6">
        <f t="shared" si="78"/>
        <v>758</v>
      </c>
      <c r="H136" s="6">
        <f t="shared" si="78"/>
        <v>916</v>
      </c>
      <c r="I136" s="6">
        <f t="shared" si="78"/>
        <v>1686</v>
      </c>
      <c r="J136" s="6">
        <f t="shared" si="78"/>
        <v>216</v>
      </c>
      <c r="K136" s="6">
        <f t="shared" si="78"/>
        <v>268</v>
      </c>
      <c r="L136" s="6">
        <f t="shared" si="78"/>
        <v>199</v>
      </c>
      <c r="M136" s="6">
        <f t="shared" si="78"/>
        <v>234</v>
      </c>
      <c r="N136" s="6">
        <f t="shared" si="78"/>
        <v>246</v>
      </c>
      <c r="O136" s="6">
        <f t="shared" si="78"/>
        <v>316</v>
      </c>
      <c r="P136" s="6">
        <f t="shared" si="78"/>
        <v>247</v>
      </c>
      <c r="Q136" s="6">
        <f>+Q137-SUM(Q133:Q135)</f>
        <v>207</v>
      </c>
      <c r="R136" s="6">
        <f>+R137-SUM(R133:R135)</f>
        <v>204</v>
      </c>
    </row>
    <row r="137" spans="2:19" x14ac:dyDescent="0.35">
      <c r="B137" s="3" t="s">
        <v>98</v>
      </c>
      <c r="C137" s="3"/>
      <c r="D137" s="9">
        <v>13770</v>
      </c>
      <c r="E137" s="9">
        <v>12013</v>
      </c>
      <c r="F137" s="9">
        <v>10614</v>
      </c>
      <c r="G137" s="9">
        <v>8789</v>
      </c>
      <c r="H137" s="9">
        <v>8036</v>
      </c>
      <c r="I137" s="9">
        <v>8439</v>
      </c>
      <c r="J137" s="9">
        <v>7124</v>
      </c>
      <c r="K137" s="9">
        <v>7190</v>
      </c>
      <c r="L137" s="9">
        <v>7053</v>
      </c>
      <c r="M137" s="9">
        <v>7172</v>
      </c>
      <c r="N137" s="9">
        <v>7464</v>
      </c>
      <c r="O137" s="9">
        <v>7734</v>
      </c>
      <c r="P137" s="9">
        <v>8547</v>
      </c>
      <c r="Q137" s="9">
        <v>9137</v>
      </c>
      <c r="R137" s="9">
        <v>9381</v>
      </c>
    </row>
    <row r="138" spans="2:19" x14ac:dyDescent="0.35">
      <c r="B138" t="s">
        <v>193</v>
      </c>
      <c r="D138" s="5"/>
      <c r="E138" s="5"/>
      <c r="F138" s="40">
        <f t="shared" ref="F138:R138" si="79">SUM(F104,F112)/AVERAGE(E137:F137)</f>
        <v>2.2539444027047332E-2</v>
      </c>
      <c r="G138" s="40">
        <f t="shared" si="79"/>
        <v>4.3086120702984072E-2</v>
      </c>
      <c r="H138" s="40">
        <f t="shared" si="79"/>
        <v>2.6151560178306093E-2</v>
      </c>
      <c r="I138" s="40">
        <f t="shared" si="79"/>
        <v>1.5053110773899848E-2</v>
      </c>
      <c r="J138" s="40">
        <f t="shared" si="79"/>
        <v>2.9171753517959264E-2</v>
      </c>
      <c r="K138" s="40">
        <f t="shared" si="79"/>
        <v>2.7106329467654046E-2</v>
      </c>
      <c r="L138" s="40">
        <f t="shared" si="79"/>
        <v>1.8816260619251561E-2</v>
      </c>
      <c r="M138" s="40">
        <f t="shared" si="79"/>
        <v>2.0386643233743409E-2</v>
      </c>
      <c r="N138" s="40">
        <f t="shared" si="79"/>
        <v>1.8720962011478545E-2</v>
      </c>
      <c r="O138" s="40">
        <f t="shared" si="79"/>
        <v>3.9478878799842083E-4</v>
      </c>
      <c r="P138" s="40">
        <f t="shared" si="79"/>
        <v>2.8130950187334931E-2</v>
      </c>
      <c r="Q138" s="40">
        <f t="shared" si="79"/>
        <v>2.9631305134584937E-2</v>
      </c>
      <c r="R138" s="40">
        <f t="shared" si="79"/>
        <v>2.9700831623285451E-2</v>
      </c>
    </row>
    <row r="139" spans="2:19" x14ac:dyDescent="0.35">
      <c r="B139" t="s">
        <v>203</v>
      </c>
      <c r="F139" s="40">
        <f t="shared" ref="F139" si="80">SUM(F104,F112)/AVERAGE(E133:F133)</f>
        <v>5.3403141361256547E-2</v>
      </c>
      <c r="G139" s="40">
        <f t="shared" ref="G139:R139" si="81">SUM(G104,G112)/AVERAGE(F133:G133)</f>
        <v>7.8682352941176467E-2</v>
      </c>
      <c r="H139" s="40">
        <f t="shared" si="81"/>
        <v>3.9579023117747594E-2</v>
      </c>
      <c r="I139" s="40">
        <f t="shared" si="81"/>
        <v>2.3820958601479203E-2</v>
      </c>
      <c r="J139" s="40">
        <f t="shared" si="81"/>
        <v>4.3490755819522942E-2</v>
      </c>
      <c r="K139" s="40">
        <f t="shared" si="81"/>
        <v>3.6576168929110107E-2</v>
      </c>
      <c r="L139" s="40">
        <f t="shared" si="81"/>
        <v>2.5853752652903725E-2</v>
      </c>
      <c r="M139" s="40">
        <f t="shared" si="81"/>
        <v>2.8752726551655762E-2</v>
      </c>
      <c r="N139" s="40">
        <f t="shared" si="81"/>
        <v>2.6852214817718541E-2</v>
      </c>
      <c r="O139" s="40">
        <f t="shared" si="81"/>
        <v>5.8462437883659746E-4</v>
      </c>
      <c r="P139" s="40">
        <f t="shared" si="81"/>
        <v>4.2274321580210446E-2</v>
      </c>
      <c r="Q139" s="40">
        <f t="shared" si="81"/>
        <v>4.6940786526919284E-2</v>
      </c>
      <c r="R139" s="40">
        <f t="shared" si="81"/>
        <v>5.0223723860834624E-2</v>
      </c>
    </row>
    <row r="140" spans="2:19" x14ac:dyDescent="0.35">
      <c r="B140" t="s">
        <v>204</v>
      </c>
      <c r="F140" s="40">
        <f t="shared" ref="F140" si="82">+F131/F133</f>
        <v>0.14052356020942408</v>
      </c>
      <c r="G140" s="40">
        <f t="shared" ref="G140:Q140" si="83">+G131/G133</f>
        <v>0.1147008547008547</v>
      </c>
      <c r="H140" s="40">
        <f t="shared" si="83"/>
        <v>0.20011391684070629</v>
      </c>
      <c r="I140" s="40">
        <f t="shared" si="83"/>
        <v>0.22317262830482115</v>
      </c>
      <c r="J140" s="40">
        <f t="shared" si="83"/>
        <v>0.17752596789423986</v>
      </c>
      <c r="K140" s="40">
        <f t="shared" si="83"/>
        <v>0.17052512704686618</v>
      </c>
      <c r="L140" s="40">
        <f t="shared" si="83"/>
        <v>0.1418959034237087</v>
      </c>
      <c r="M140" s="40">
        <f t="shared" si="83"/>
        <v>0.11821974965229486</v>
      </c>
      <c r="N140" s="40">
        <f t="shared" si="83"/>
        <v>0.10017404757300329</v>
      </c>
      <c r="O140" s="40">
        <f t="shared" si="83"/>
        <v>0.15043205027494108</v>
      </c>
      <c r="P140" s="40">
        <f t="shared" si="83"/>
        <v>0.10588645071403692</v>
      </c>
      <c r="Q140" s="40">
        <f t="shared" si="83"/>
        <v>0.19627375023058477</v>
      </c>
      <c r="R140" s="40">
        <f>+R131/R133</f>
        <v>0.19620253164556961</v>
      </c>
    </row>
    <row r="142" spans="2:19" x14ac:dyDescent="0.35">
      <c r="B142" s="1" t="s">
        <v>8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44"/>
      <c r="N142" s="44"/>
      <c r="O142" s="44"/>
      <c r="P142" s="44"/>
      <c r="Q142" s="44"/>
      <c r="R142" s="44"/>
      <c r="S142" s="1"/>
    </row>
    <row r="143" spans="2:19" x14ac:dyDescent="0.35">
      <c r="B143" s="2" t="s">
        <v>33</v>
      </c>
      <c r="C143" s="5"/>
      <c r="D143" s="5"/>
      <c r="E143" s="5"/>
      <c r="F143" s="5">
        <v>387</v>
      </c>
      <c r="G143" s="5">
        <v>1711</v>
      </c>
      <c r="H143" s="5">
        <v>758</v>
      </c>
      <c r="I143" s="5">
        <v>617</v>
      </c>
      <c r="J143" s="5">
        <v>378</v>
      </c>
      <c r="K143" s="5">
        <v>282</v>
      </c>
      <c r="L143" s="5">
        <v>302</v>
      </c>
      <c r="M143" s="5">
        <v>250</v>
      </c>
      <c r="N143" s="5">
        <v>308</v>
      </c>
      <c r="O143" s="5">
        <v>483</v>
      </c>
      <c r="P143" s="5">
        <v>577</v>
      </c>
      <c r="Q143" s="5">
        <v>487</v>
      </c>
      <c r="R143" s="5">
        <v>407</v>
      </c>
    </row>
    <row r="144" spans="2:19" x14ac:dyDescent="0.35">
      <c r="B144" s="2" t="s">
        <v>12</v>
      </c>
      <c r="C144" s="5"/>
      <c r="D144" s="5"/>
      <c r="E144" s="5"/>
      <c r="F144" s="5">
        <f>1240-1113</f>
        <v>127</v>
      </c>
      <c r="G144" s="5">
        <f>1261-394</f>
        <v>867</v>
      </c>
      <c r="H144" s="5">
        <f>365-434</f>
        <v>-69</v>
      </c>
      <c r="I144" s="5">
        <f>300-4</f>
        <v>296</v>
      </c>
      <c r="J144" s="5">
        <f>68-213</f>
        <v>-145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</row>
    <row r="145" spans="2:18" x14ac:dyDescent="0.35">
      <c r="B145" s="3" t="s">
        <v>13</v>
      </c>
      <c r="C145" s="4"/>
      <c r="D145" s="4"/>
      <c r="E145" s="4"/>
      <c r="F145" s="4">
        <f t="shared" ref="F145:R145" si="84">SUM(F143:F144)</f>
        <v>514</v>
      </c>
      <c r="G145" s="4">
        <f t="shared" si="84"/>
        <v>2578</v>
      </c>
      <c r="H145" s="4">
        <f t="shared" si="84"/>
        <v>689</v>
      </c>
      <c r="I145" s="4">
        <f t="shared" si="84"/>
        <v>913</v>
      </c>
      <c r="J145" s="4">
        <f t="shared" si="84"/>
        <v>233</v>
      </c>
      <c r="K145" s="4">
        <f t="shared" si="84"/>
        <v>282</v>
      </c>
      <c r="L145" s="4">
        <f t="shared" si="84"/>
        <v>302</v>
      </c>
      <c r="M145" s="4">
        <f t="shared" si="84"/>
        <v>250</v>
      </c>
      <c r="N145" s="4">
        <f t="shared" si="84"/>
        <v>308</v>
      </c>
      <c r="O145" s="4">
        <f t="shared" si="84"/>
        <v>483</v>
      </c>
      <c r="P145" s="4">
        <f t="shared" si="84"/>
        <v>577</v>
      </c>
      <c r="Q145" s="4">
        <f t="shared" si="84"/>
        <v>487</v>
      </c>
      <c r="R145" s="4">
        <f t="shared" si="84"/>
        <v>407</v>
      </c>
    </row>
    <row r="146" spans="2:18" x14ac:dyDescent="0.35">
      <c r="B146" s="2" t="s">
        <v>14</v>
      </c>
      <c r="C146" s="5"/>
      <c r="D146" s="5"/>
      <c r="E146" s="5"/>
      <c r="F146" s="5">
        <v>-369</v>
      </c>
      <c r="G146" s="5">
        <v>-1122</v>
      </c>
      <c r="H146" s="5">
        <v>-553</v>
      </c>
      <c r="I146" s="5">
        <v>-468</v>
      </c>
      <c r="J146" s="5">
        <v>-302</v>
      </c>
      <c r="K146" s="5">
        <v>-239</v>
      </c>
      <c r="L146" s="5">
        <v>-230</v>
      </c>
      <c r="M146" s="5">
        <v>-153</v>
      </c>
      <c r="N146" s="5">
        <v>-176</v>
      </c>
      <c r="O146" s="5">
        <v>-304</v>
      </c>
      <c r="P146" s="5">
        <v>-406</v>
      </c>
      <c r="Q146" s="5">
        <v>-369</v>
      </c>
      <c r="R146" s="5">
        <v>-283</v>
      </c>
    </row>
    <row r="147" spans="2:18" x14ac:dyDescent="0.35">
      <c r="B147" s="2" t="s">
        <v>15</v>
      </c>
      <c r="C147" s="5"/>
      <c r="D147" s="5"/>
      <c r="E147" s="5"/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</row>
    <row r="148" spans="2:18" x14ac:dyDescent="0.35">
      <c r="B148" s="3" t="s">
        <v>16</v>
      </c>
      <c r="C148" s="4"/>
      <c r="D148" s="4"/>
      <c r="E148" s="4"/>
      <c r="F148" s="4">
        <f t="shared" ref="F148:R148" si="85">SUM(F145:F147)</f>
        <v>145</v>
      </c>
      <c r="G148" s="4">
        <f t="shared" si="85"/>
        <v>1456</v>
      </c>
      <c r="H148" s="4">
        <f t="shared" si="85"/>
        <v>136</v>
      </c>
      <c r="I148" s="4">
        <f t="shared" si="85"/>
        <v>445</v>
      </c>
      <c r="J148" s="4">
        <f t="shared" si="85"/>
        <v>-69</v>
      </c>
      <c r="K148" s="4">
        <f t="shared" si="85"/>
        <v>43</v>
      </c>
      <c r="L148" s="4">
        <f t="shared" si="85"/>
        <v>72</v>
      </c>
      <c r="M148" s="4">
        <f t="shared" si="85"/>
        <v>97</v>
      </c>
      <c r="N148" s="4">
        <f t="shared" si="85"/>
        <v>132</v>
      </c>
      <c r="O148" s="4">
        <f t="shared" si="85"/>
        <v>179</v>
      </c>
      <c r="P148" s="4">
        <f t="shared" si="85"/>
        <v>171</v>
      </c>
      <c r="Q148" s="4">
        <f t="shared" si="85"/>
        <v>118</v>
      </c>
      <c r="R148" s="4">
        <f t="shared" si="85"/>
        <v>124</v>
      </c>
    </row>
    <row r="149" spans="2:18" x14ac:dyDescent="0.35">
      <c r="B149" s="2" t="s">
        <v>17</v>
      </c>
      <c r="C149" s="5"/>
      <c r="D149" s="5"/>
      <c r="E149" s="5"/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</row>
    <row r="150" spans="2:18" x14ac:dyDescent="0.35">
      <c r="B150" s="2" t="s">
        <v>18</v>
      </c>
      <c r="C150" s="5"/>
      <c r="D150" s="5"/>
      <c r="E150" s="5"/>
      <c r="F150" s="5">
        <v>695</v>
      </c>
      <c r="G150" s="5">
        <v>990</v>
      </c>
      <c r="H150" s="5">
        <v>172</v>
      </c>
      <c r="I150" s="5">
        <v>375</v>
      </c>
      <c r="J150" s="5">
        <v>55</v>
      </c>
      <c r="K150" s="5">
        <v>6</v>
      </c>
      <c r="L150" s="5">
        <v>79</v>
      </c>
      <c r="M150" s="5">
        <v>0</v>
      </c>
      <c r="N150" s="5">
        <v>3</v>
      </c>
      <c r="O150" s="5">
        <v>5</v>
      </c>
      <c r="P150" s="5">
        <v>20</v>
      </c>
      <c r="Q150" s="5">
        <v>93</v>
      </c>
      <c r="R150" s="5">
        <v>87</v>
      </c>
    </row>
    <row r="151" spans="2:18" x14ac:dyDescent="0.35">
      <c r="B151" s="2" t="s">
        <v>42</v>
      </c>
      <c r="C151" s="5"/>
      <c r="D151" s="5"/>
      <c r="E151" s="5"/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</row>
    <row r="152" spans="2:18" x14ac:dyDescent="0.35">
      <c r="B152" s="2" t="s">
        <v>19</v>
      </c>
      <c r="C152" s="5"/>
      <c r="D152" s="5"/>
      <c r="E152" s="5"/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</row>
    <row r="153" spans="2:18" x14ac:dyDescent="0.35">
      <c r="B153" s="2" t="s">
        <v>20</v>
      </c>
      <c r="C153" s="5"/>
      <c r="D153" s="5"/>
      <c r="E153" s="5"/>
      <c r="F153" s="5">
        <v>136</v>
      </c>
      <c r="G153" s="5">
        <v>141</v>
      </c>
      <c r="H153" s="5">
        <v>251</v>
      </c>
      <c r="I153" s="5">
        <v>488</v>
      </c>
      <c r="J153" s="5">
        <v>90</v>
      </c>
      <c r="K153" s="5">
        <v>11</v>
      </c>
      <c r="L153" s="5">
        <v>8</v>
      </c>
      <c r="M153" s="5">
        <v>0</v>
      </c>
      <c r="N153" s="5">
        <v>1</v>
      </c>
      <c r="O153" s="5">
        <v>2</v>
      </c>
      <c r="P153" s="5">
        <v>2</v>
      </c>
      <c r="Q153" s="5">
        <v>9</v>
      </c>
      <c r="R153" s="5">
        <v>7</v>
      </c>
    </row>
    <row r="154" spans="2:18" x14ac:dyDescent="0.35">
      <c r="B154" s="3" t="s">
        <v>21</v>
      </c>
      <c r="C154" s="4"/>
      <c r="D154" s="4"/>
      <c r="E154" s="4"/>
      <c r="F154" s="4">
        <f t="shared" ref="F154:R154" si="86">SUM(F148:F153)</f>
        <v>976</v>
      </c>
      <c r="G154" s="4">
        <f t="shared" si="86"/>
        <v>2587</v>
      </c>
      <c r="H154" s="4">
        <f t="shared" si="86"/>
        <v>559</v>
      </c>
      <c r="I154" s="4">
        <f t="shared" si="86"/>
        <v>1308</v>
      </c>
      <c r="J154" s="4">
        <f t="shared" si="86"/>
        <v>76</v>
      </c>
      <c r="K154" s="4">
        <f t="shared" si="86"/>
        <v>60</v>
      </c>
      <c r="L154" s="4">
        <f t="shared" si="86"/>
        <v>159</v>
      </c>
      <c r="M154" s="4">
        <f t="shared" si="86"/>
        <v>97</v>
      </c>
      <c r="N154" s="4">
        <f t="shared" si="86"/>
        <v>136</v>
      </c>
      <c r="O154" s="4">
        <f t="shared" si="86"/>
        <v>186</v>
      </c>
      <c r="P154" s="4">
        <f t="shared" si="86"/>
        <v>193</v>
      </c>
      <c r="Q154" s="4">
        <f t="shared" si="86"/>
        <v>220</v>
      </c>
      <c r="R154" s="4">
        <f t="shared" si="86"/>
        <v>218</v>
      </c>
    </row>
    <row r="155" spans="2:18" x14ac:dyDescent="0.35">
      <c r="B155" s="2" t="s">
        <v>22</v>
      </c>
      <c r="C155" s="5"/>
      <c r="D155" s="5"/>
      <c r="E155" s="5"/>
      <c r="F155" s="5">
        <v>-41</v>
      </c>
      <c r="G155" s="5">
        <v>-144</v>
      </c>
      <c r="H155" s="5">
        <v>-123</v>
      </c>
      <c r="I155" s="5">
        <v>-86</v>
      </c>
      <c r="J155" s="5">
        <v>-13</v>
      </c>
      <c r="K155" s="5">
        <v>69</v>
      </c>
      <c r="L155" s="5">
        <v>-1</v>
      </c>
      <c r="M155" s="5">
        <v>4</v>
      </c>
      <c r="N155" s="5">
        <v>-8</v>
      </c>
      <c r="O155" s="5">
        <v>-1</v>
      </c>
      <c r="P155" s="5">
        <v>-5</v>
      </c>
      <c r="Q155" s="5">
        <v>-7</v>
      </c>
      <c r="R155" s="5">
        <v>1</v>
      </c>
    </row>
    <row r="156" spans="2:18" x14ac:dyDescent="0.35">
      <c r="B156" s="2" t="s">
        <v>23</v>
      </c>
      <c r="C156" s="5"/>
      <c r="D156" s="5"/>
      <c r="E156" s="5"/>
      <c r="F156" s="5">
        <v>-265</v>
      </c>
      <c r="G156" s="5">
        <v>-322</v>
      </c>
      <c r="H156" s="5">
        <v>-74</v>
      </c>
      <c r="I156" s="5">
        <v>-96</v>
      </c>
      <c r="J156" s="5">
        <v>-39</v>
      </c>
      <c r="K156" s="5">
        <v>-11</v>
      </c>
      <c r="L156" s="5">
        <v>-11</v>
      </c>
      <c r="M156" s="5">
        <v>-13</v>
      </c>
      <c r="N156" s="5">
        <v>-23</v>
      </c>
      <c r="O156" s="5">
        <v>-32</v>
      </c>
      <c r="P156" s="5">
        <v>-31</v>
      </c>
      <c r="Q156" s="5">
        <v>-22</v>
      </c>
      <c r="R156" s="5">
        <v>-22</v>
      </c>
    </row>
    <row r="157" spans="2:18" x14ac:dyDescent="0.35">
      <c r="B157" s="2" t="s">
        <v>25</v>
      </c>
      <c r="C157" s="5"/>
      <c r="D157" s="5"/>
      <c r="E157" s="5"/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</row>
    <row r="158" spans="2:18" x14ac:dyDescent="0.35">
      <c r="B158" s="2" t="s">
        <v>26</v>
      </c>
      <c r="C158" s="5"/>
      <c r="D158" s="5"/>
      <c r="E158" s="5"/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</row>
    <row r="159" spans="2:18" x14ac:dyDescent="0.35">
      <c r="B159" s="2" t="s">
        <v>12</v>
      </c>
      <c r="C159" s="5"/>
      <c r="D159" s="5"/>
      <c r="E159" s="5"/>
      <c r="F159" s="5">
        <f>-32-595</f>
        <v>-627</v>
      </c>
      <c r="G159" s="5">
        <f>-670-679</f>
        <v>-1349</v>
      </c>
      <c r="H159" s="5">
        <v>-270</v>
      </c>
      <c r="I159" s="5">
        <f>-171-360</f>
        <v>-531</v>
      </c>
      <c r="J159" s="5">
        <f>-104-181</f>
        <v>-285</v>
      </c>
      <c r="K159" s="5">
        <f>-69+10</f>
        <v>-59</v>
      </c>
      <c r="L159" s="5">
        <f>-70+13</f>
        <v>-57</v>
      </c>
      <c r="M159" s="5">
        <v>-54</v>
      </c>
      <c r="N159" s="5">
        <v>-85</v>
      </c>
      <c r="O159" s="5">
        <v>-108</v>
      </c>
      <c r="P159" s="5">
        <v>-117</v>
      </c>
      <c r="Q159" s="5">
        <v>-138</v>
      </c>
      <c r="R159" s="5">
        <v>-165</v>
      </c>
    </row>
    <row r="160" spans="2:18" x14ac:dyDescent="0.35">
      <c r="B160" s="3" t="s">
        <v>27</v>
      </c>
      <c r="C160" s="4"/>
      <c r="D160" s="4"/>
      <c r="E160" s="4"/>
      <c r="F160" s="4">
        <f t="shared" ref="F160:Q160" si="87">SUM(F154:F159)</f>
        <v>43</v>
      </c>
      <c r="G160" s="4">
        <f t="shared" si="87"/>
        <v>772</v>
      </c>
      <c r="H160" s="4">
        <f t="shared" si="87"/>
        <v>92</v>
      </c>
      <c r="I160" s="4">
        <f t="shared" si="87"/>
        <v>595</v>
      </c>
      <c r="J160" s="4">
        <f t="shared" si="87"/>
        <v>-261</v>
      </c>
      <c r="K160" s="4">
        <f t="shared" si="87"/>
        <v>59</v>
      </c>
      <c r="L160" s="4">
        <f t="shared" si="87"/>
        <v>90</v>
      </c>
      <c r="M160" s="4">
        <f t="shared" si="87"/>
        <v>34</v>
      </c>
      <c r="N160" s="4">
        <f t="shared" si="87"/>
        <v>20</v>
      </c>
      <c r="O160" s="4">
        <f t="shared" si="87"/>
        <v>45</v>
      </c>
      <c r="P160" s="4">
        <f t="shared" si="87"/>
        <v>40</v>
      </c>
      <c r="Q160" s="4">
        <f t="shared" si="87"/>
        <v>53</v>
      </c>
      <c r="R160" s="4">
        <f>SUM(R154:R159)</f>
        <v>32</v>
      </c>
    </row>
    <row r="161" spans="2:18" x14ac:dyDescent="0.35"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</row>
    <row r="162" spans="2:18" x14ac:dyDescent="0.35">
      <c r="B162" s="2" t="s">
        <v>98</v>
      </c>
      <c r="C162" s="6"/>
      <c r="D162" s="6">
        <f t="shared" ref="D162:R162" si="88">+D378</f>
        <v>81307</v>
      </c>
      <c r="E162" s="6">
        <f t="shared" si="88"/>
        <v>44763</v>
      </c>
      <c r="F162" s="6">
        <f t="shared" si="88"/>
        <v>38894</v>
      </c>
      <c r="G162" s="6">
        <f t="shared" si="88"/>
        <v>36786</v>
      </c>
      <c r="H162" s="6">
        <f t="shared" si="88"/>
        <v>33906</v>
      </c>
      <c r="I162" s="6">
        <f t="shared" si="88"/>
        <v>14744</v>
      </c>
      <c r="J162" s="6">
        <f t="shared" si="88"/>
        <v>8168</v>
      </c>
      <c r="K162" s="6">
        <f t="shared" si="88"/>
        <v>7884</v>
      </c>
      <c r="L162" s="6">
        <f t="shared" si="88"/>
        <v>9768</v>
      </c>
      <c r="M162" s="6">
        <f t="shared" si="88"/>
        <v>8307</v>
      </c>
      <c r="N162" s="6">
        <f t="shared" si="88"/>
        <v>11708</v>
      </c>
      <c r="O162" s="6">
        <f t="shared" si="88"/>
        <v>15211</v>
      </c>
      <c r="P162" s="6">
        <f t="shared" si="88"/>
        <v>16279</v>
      </c>
      <c r="Q162" s="6">
        <f t="shared" si="88"/>
        <v>14889</v>
      </c>
      <c r="R162" s="6">
        <f t="shared" si="88"/>
        <v>17847</v>
      </c>
    </row>
    <row r="163" spans="2:18" x14ac:dyDescent="0.35">
      <c r="B163" s="2" t="s">
        <v>223</v>
      </c>
      <c r="C163" s="6"/>
      <c r="D163" s="43"/>
      <c r="E163" s="43"/>
      <c r="F163" s="43"/>
      <c r="G163" s="43"/>
      <c r="H163" s="43"/>
      <c r="I163" s="43"/>
      <c r="J163" s="43"/>
      <c r="K163" s="27"/>
      <c r="L163" s="27"/>
      <c r="M163" s="112">
        <f t="shared" ref="M163:Q163" si="89">(M160*0.79)/(AVERAGE(L167:M167)*0.35*0.1)</f>
        <v>0.10651333399425002</v>
      </c>
      <c r="N163" s="112">
        <f t="shared" si="89"/>
        <v>4.6243451283402112E-2</v>
      </c>
      <c r="O163" s="112">
        <f t="shared" si="89"/>
        <v>7.7320008047370756E-2</v>
      </c>
      <c r="P163" s="112">
        <f>(P160*0.79)/(AVERAGE(O167:P167)*0.35*0.1)</f>
        <v>5.8655653263416777E-2</v>
      </c>
      <c r="Q163" s="112">
        <f t="shared" si="89"/>
        <v>7.8811892370097794E-2</v>
      </c>
      <c r="R163" s="112">
        <f>(R160*0.79)/(AVERAGE(Q167:R167)*0.35*0.1)</f>
        <v>4.5172501597030193E-2</v>
      </c>
    </row>
    <row r="164" spans="2:18" x14ac:dyDescent="0.35">
      <c r="B164" s="2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2:18" x14ac:dyDescent="0.35">
      <c r="B165" s="2" t="s">
        <v>208</v>
      </c>
      <c r="C165" s="6"/>
      <c r="D165" s="6"/>
      <c r="E165" s="6"/>
      <c r="F165" s="6"/>
      <c r="G165" s="6"/>
      <c r="H165" s="6"/>
      <c r="I165" s="6"/>
      <c r="J165" s="6"/>
      <c r="K165" s="6"/>
      <c r="L165" s="6">
        <f t="shared" ref="L165:Q165" si="90">+L167-L166</f>
        <v>2268</v>
      </c>
      <c r="M165" s="6">
        <f t="shared" si="90"/>
        <v>2488</v>
      </c>
      <c r="N165" s="6">
        <f t="shared" si="90"/>
        <v>2579</v>
      </c>
      <c r="O165" s="6">
        <f t="shared" si="90"/>
        <v>2828</v>
      </c>
      <c r="P165" s="6">
        <f t="shared" si="90"/>
        <v>1715</v>
      </c>
      <c r="Q165" s="6">
        <f t="shared" si="90"/>
        <v>927</v>
      </c>
      <c r="R165" s="6">
        <f>+R167-R166</f>
        <v>378</v>
      </c>
    </row>
    <row r="166" spans="2:18" x14ac:dyDescent="0.35">
      <c r="B166" s="2" t="s">
        <v>207</v>
      </c>
      <c r="C166" s="6"/>
      <c r="D166" s="6"/>
      <c r="E166" s="6"/>
      <c r="F166" s="6"/>
      <c r="G166" s="6"/>
      <c r="H166" s="6"/>
      <c r="I166" s="6"/>
      <c r="J166" s="5"/>
      <c r="K166" s="5"/>
      <c r="L166" s="5">
        <v>4021</v>
      </c>
      <c r="M166" s="5">
        <v>5633</v>
      </c>
      <c r="N166" s="5">
        <v>8824</v>
      </c>
      <c r="O166" s="5">
        <v>12042</v>
      </c>
      <c r="P166" s="5">
        <v>14200</v>
      </c>
      <c r="Q166" s="5">
        <v>13516</v>
      </c>
      <c r="R166" s="5">
        <v>17158</v>
      </c>
    </row>
    <row r="167" spans="2:18" x14ac:dyDescent="0.35">
      <c r="B167" s="41" t="s">
        <v>216</v>
      </c>
      <c r="C167" s="4"/>
      <c r="D167" s="4"/>
      <c r="E167" s="4"/>
      <c r="F167" s="4"/>
      <c r="G167" s="4"/>
      <c r="H167" s="4"/>
      <c r="I167" s="4"/>
      <c r="J167" s="9"/>
      <c r="K167" s="9"/>
      <c r="L167" s="9">
        <v>6289</v>
      </c>
      <c r="M167" s="9">
        <v>8121</v>
      </c>
      <c r="N167" s="9">
        <v>11403</v>
      </c>
      <c r="O167" s="9">
        <v>14870</v>
      </c>
      <c r="P167" s="9">
        <v>15915</v>
      </c>
      <c r="Q167" s="9">
        <v>14443</v>
      </c>
      <c r="R167" s="9">
        <v>17536</v>
      </c>
    </row>
    <row r="168" spans="2:18" x14ac:dyDescent="0.35">
      <c r="B168" s="2" t="s">
        <v>205</v>
      </c>
      <c r="C168" s="6"/>
      <c r="D168" s="6"/>
      <c r="E168" s="6"/>
      <c r="F168" s="6"/>
      <c r="G168" s="6"/>
      <c r="H168" s="6"/>
      <c r="I168" s="6"/>
      <c r="J168" s="31"/>
      <c r="K168" s="31"/>
      <c r="L168" s="31">
        <v>3.8300000000000001E-2</v>
      </c>
      <c r="M168" s="31">
        <v>3.8100000000000002E-2</v>
      </c>
      <c r="N168" s="31">
        <v>3.8699999999999998E-2</v>
      </c>
      <c r="O168" s="31">
        <v>4.0099999999999997E-2</v>
      </c>
      <c r="P168" s="31">
        <v>4.0099999999999997E-2</v>
      </c>
      <c r="Q168" s="31">
        <v>3.8100000000000002E-2</v>
      </c>
      <c r="R168" s="31">
        <v>3.1399999999999997E-2</v>
      </c>
    </row>
    <row r="169" spans="2:18" x14ac:dyDescent="0.35">
      <c r="B169" s="2" t="s">
        <v>209</v>
      </c>
      <c r="C169" s="6"/>
      <c r="D169" s="6"/>
      <c r="E169" s="6"/>
      <c r="F169" s="6"/>
      <c r="G169" s="6"/>
      <c r="H169" s="6"/>
      <c r="I169" s="6"/>
      <c r="J169" s="31"/>
      <c r="K169" s="31"/>
      <c r="L169" s="31">
        <v>0.60370000000000001</v>
      </c>
      <c r="M169" s="31">
        <v>0.59689999999999999</v>
      </c>
      <c r="N169" s="31">
        <v>0.60840000000000005</v>
      </c>
      <c r="O169" s="31">
        <v>0.5958</v>
      </c>
      <c r="P169" s="31">
        <v>0.60329999999999995</v>
      </c>
      <c r="Q169" s="31">
        <v>0.60150000000000003</v>
      </c>
      <c r="R169" s="31">
        <v>0.56940000000000002</v>
      </c>
    </row>
    <row r="170" spans="2:18" x14ac:dyDescent="0.35">
      <c r="B170" s="2" t="s">
        <v>206</v>
      </c>
      <c r="J170" s="5"/>
      <c r="K170" s="5"/>
      <c r="L170" s="5">
        <v>769</v>
      </c>
      <c r="M170" s="5">
        <v>772</v>
      </c>
      <c r="N170" s="5">
        <v>772</v>
      </c>
      <c r="O170" s="5">
        <v>774</v>
      </c>
      <c r="P170" s="5">
        <v>774</v>
      </c>
      <c r="Q170" s="5">
        <v>776</v>
      </c>
      <c r="R170" s="5">
        <v>776</v>
      </c>
    </row>
    <row r="171" spans="2:18" x14ac:dyDescent="0.35">
      <c r="B171" s="2" t="s">
        <v>222</v>
      </c>
      <c r="J171" s="5"/>
      <c r="K171" s="5"/>
      <c r="L171" s="34">
        <f t="shared" ref="L171:Q171" si="91">L148/AVERAGE(K167:L167)</f>
        <v>1.1448560979487994E-2</v>
      </c>
      <c r="M171" s="34">
        <f t="shared" si="91"/>
        <v>1.3462873004857738E-2</v>
      </c>
      <c r="N171" s="34">
        <f t="shared" si="91"/>
        <v>1.3521819299323909E-2</v>
      </c>
      <c r="O171" s="34">
        <f t="shared" si="91"/>
        <v>1.3626156129867164E-2</v>
      </c>
      <c r="P171" s="34">
        <f t="shared" si="91"/>
        <v>1.1109306480428779E-2</v>
      </c>
      <c r="Q171" s="34">
        <f t="shared" si="91"/>
        <v>7.7738981487581529E-3</v>
      </c>
      <c r="R171" s="34">
        <f>R148/AVERAGE(Q167:R167)</f>
        <v>7.7550892773382537E-3</v>
      </c>
    </row>
    <row r="173" spans="2:18" x14ac:dyDescent="0.35">
      <c r="B173" s="2" t="s">
        <v>214</v>
      </c>
      <c r="J173" s="5"/>
      <c r="K173" s="5"/>
      <c r="L173" s="5"/>
      <c r="M173" s="5">
        <v>3754</v>
      </c>
      <c r="N173" s="5">
        <v>4629</v>
      </c>
      <c r="O173" s="5">
        <v>4847</v>
      </c>
      <c r="P173" s="5">
        <v>5406</v>
      </c>
      <c r="Q173" s="5">
        <v>6207</v>
      </c>
      <c r="R173" s="5">
        <v>10893</v>
      </c>
    </row>
    <row r="174" spans="2:18" x14ac:dyDescent="0.35">
      <c r="B174" s="2" t="s">
        <v>221</v>
      </c>
      <c r="J174" s="5"/>
      <c r="K174" s="5"/>
      <c r="L174" s="5"/>
      <c r="M174" s="7">
        <f t="shared" ref="M174:N174" si="92">+M182+M183</f>
        <v>3754</v>
      </c>
      <c r="N174" s="7">
        <f t="shared" si="92"/>
        <v>4629</v>
      </c>
      <c r="O174" s="7">
        <f>+O182+O183</f>
        <v>4801</v>
      </c>
      <c r="P174" s="7">
        <f t="shared" ref="P174:R174" si="93">+P182+P183</f>
        <v>5500</v>
      </c>
      <c r="Q174" s="7">
        <f t="shared" si="93"/>
        <v>6200</v>
      </c>
      <c r="R174" s="7">
        <f t="shared" si="93"/>
        <v>10900</v>
      </c>
    </row>
    <row r="176" spans="2:18" x14ac:dyDescent="0.35">
      <c r="B176" s="18" t="s">
        <v>217</v>
      </c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9">
        <f t="shared" ref="M176" si="94">+L167</f>
        <v>6289</v>
      </c>
      <c r="N176" s="19">
        <f>+M167</f>
        <v>8121</v>
      </c>
      <c r="O176" s="19">
        <f t="shared" ref="O176:R176" si="95">+N167</f>
        <v>11403</v>
      </c>
      <c r="P176" s="19">
        <f t="shared" si="95"/>
        <v>14870</v>
      </c>
      <c r="Q176" s="19">
        <f t="shared" si="95"/>
        <v>15915</v>
      </c>
      <c r="R176" s="19">
        <f t="shared" si="95"/>
        <v>14443</v>
      </c>
    </row>
    <row r="177" spans="2:19" x14ac:dyDescent="0.35">
      <c r="B177" s="2" t="s">
        <v>218</v>
      </c>
      <c r="M177" s="6">
        <f>+M182</f>
        <v>3700</v>
      </c>
      <c r="N177" s="6">
        <f>+N182</f>
        <v>4500</v>
      </c>
      <c r="O177" s="6">
        <f t="shared" ref="O177:R177" si="96">+O182</f>
        <v>4400</v>
      </c>
      <c r="P177" s="6">
        <f t="shared" si="96"/>
        <v>3500</v>
      </c>
      <c r="Q177" s="6">
        <f t="shared" si="96"/>
        <v>4200</v>
      </c>
      <c r="R177" s="6">
        <f t="shared" si="96"/>
        <v>3900</v>
      </c>
    </row>
    <row r="178" spans="2:19" x14ac:dyDescent="0.35">
      <c r="B178" s="2" t="s">
        <v>210</v>
      </c>
      <c r="M178" s="6">
        <f>+M173-M177</f>
        <v>54</v>
      </c>
      <c r="N178" s="6">
        <f>+N173-N177</f>
        <v>129</v>
      </c>
      <c r="O178" s="6">
        <f t="shared" ref="O178:R178" si="97">+O173-O177</f>
        <v>447</v>
      </c>
      <c r="P178" s="6">
        <f t="shared" si="97"/>
        <v>1906</v>
      </c>
      <c r="Q178" s="6">
        <f t="shared" si="97"/>
        <v>2007</v>
      </c>
      <c r="R178" s="6">
        <f t="shared" si="97"/>
        <v>6993</v>
      </c>
    </row>
    <row r="179" spans="2:19" x14ac:dyDescent="0.35">
      <c r="B179" s="2" t="s">
        <v>220</v>
      </c>
      <c r="M179" s="6">
        <f t="shared" ref="M179" si="98">+M180-SUM(M176:M178)</f>
        <v>-1922</v>
      </c>
      <c r="N179" s="6">
        <f>+N180-SUM(N176:N178)</f>
        <v>-1347</v>
      </c>
      <c r="O179" s="6">
        <f>+O180-SUM(O176:O178)</f>
        <v>-1380</v>
      </c>
      <c r="P179" s="6">
        <f>+P180-SUM(P176:P178)</f>
        <v>-4361</v>
      </c>
      <c r="Q179" s="6">
        <f>+Q180-SUM(Q176:Q178)</f>
        <v>-7679</v>
      </c>
      <c r="R179" s="6">
        <f>+R180-SUM(R176:R178)</f>
        <v>-7800</v>
      </c>
    </row>
    <row r="180" spans="2:19" x14ac:dyDescent="0.35">
      <c r="B180" s="3" t="s">
        <v>219</v>
      </c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>
        <f t="shared" ref="M180" si="99">+M167</f>
        <v>8121</v>
      </c>
      <c r="N180" s="4">
        <f t="shared" ref="N180:Q180" si="100">+N167</f>
        <v>11403</v>
      </c>
      <c r="O180" s="4">
        <f t="shared" si="100"/>
        <v>14870</v>
      </c>
      <c r="P180" s="4">
        <f t="shared" si="100"/>
        <v>15915</v>
      </c>
      <c r="Q180" s="4">
        <f t="shared" si="100"/>
        <v>14443</v>
      </c>
      <c r="R180" s="4">
        <f>+R167</f>
        <v>17536</v>
      </c>
    </row>
    <row r="181" spans="2:19" x14ac:dyDescent="0.35">
      <c r="B181" s="18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2:19" x14ac:dyDescent="0.35">
      <c r="B182" t="s">
        <v>215</v>
      </c>
      <c r="K182" s="5">
        <v>857</v>
      </c>
      <c r="L182" s="5">
        <v>4100</v>
      </c>
      <c r="M182" s="5">
        <v>3700</v>
      </c>
      <c r="N182" s="5">
        <v>4500</v>
      </c>
      <c r="O182" s="5">
        <v>4400</v>
      </c>
      <c r="P182" s="5">
        <v>3500</v>
      </c>
      <c r="Q182" s="5">
        <v>4200</v>
      </c>
      <c r="R182" s="5">
        <v>3900</v>
      </c>
    </row>
    <row r="183" spans="2:19" x14ac:dyDescent="0.35">
      <c r="B183" t="s">
        <v>211</v>
      </c>
      <c r="K183" s="5">
        <v>0</v>
      </c>
      <c r="L183" s="5">
        <v>0</v>
      </c>
      <c r="M183" s="6">
        <f>+M173-M182</f>
        <v>54</v>
      </c>
      <c r="N183" s="6">
        <f>+N173-N182</f>
        <v>129</v>
      </c>
      <c r="O183" s="5">
        <v>401</v>
      </c>
      <c r="P183" s="5">
        <v>2000</v>
      </c>
      <c r="Q183" s="5">
        <v>2000</v>
      </c>
      <c r="R183" s="5">
        <v>7000</v>
      </c>
    </row>
    <row r="184" spans="2:19" x14ac:dyDescent="0.35">
      <c r="B184" t="s">
        <v>212</v>
      </c>
      <c r="K184" s="5">
        <v>0</v>
      </c>
      <c r="L184" s="5">
        <v>0</v>
      </c>
      <c r="M184" s="5">
        <v>0</v>
      </c>
      <c r="N184" s="8" t="s">
        <v>390</v>
      </c>
      <c r="O184" s="5">
        <v>302</v>
      </c>
      <c r="P184" s="5">
        <v>738</v>
      </c>
      <c r="Q184" s="5">
        <v>2700</v>
      </c>
      <c r="R184" s="5">
        <v>3400</v>
      </c>
    </row>
    <row r="185" spans="2:19" x14ac:dyDescent="0.35">
      <c r="B185" s="18" t="s">
        <v>213</v>
      </c>
      <c r="C185" s="18"/>
      <c r="D185" s="18"/>
      <c r="E185" s="18"/>
      <c r="F185" s="18"/>
      <c r="G185" s="18"/>
      <c r="H185" s="18"/>
      <c r="I185" s="18"/>
      <c r="J185" s="18"/>
      <c r="K185" s="19">
        <f t="shared" ref="K185:M185" si="101">SUM(K183:K184)</f>
        <v>0</v>
      </c>
      <c r="L185" s="19">
        <f t="shared" si="101"/>
        <v>0</v>
      </c>
      <c r="M185" s="19">
        <f t="shared" si="101"/>
        <v>54</v>
      </c>
      <c r="N185" s="19">
        <f t="shared" ref="N185" si="102">SUM(N183:N184)</f>
        <v>129</v>
      </c>
      <c r="O185" s="19">
        <f t="shared" ref="O185:Q185" si="103">SUM(O183:O184)</f>
        <v>703</v>
      </c>
      <c r="P185" s="19">
        <f t="shared" si="103"/>
        <v>2738</v>
      </c>
      <c r="Q185" s="19">
        <f t="shared" si="103"/>
        <v>4700</v>
      </c>
      <c r="R185" s="19">
        <f>SUM(R183:R184)</f>
        <v>10400</v>
      </c>
    </row>
    <row r="186" spans="2:19" x14ac:dyDescent="0.35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9"/>
      <c r="O186" s="19"/>
      <c r="P186" s="19"/>
      <c r="Q186" s="19"/>
      <c r="R186" s="19"/>
    </row>
    <row r="188" spans="2:19" x14ac:dyDescent="0.35">
      <c r="B188" s="1" t="s">
        <v>5</v>
      </c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2:19" x14ac:dyDescent="0.35">
      <c r="B189" s="2" t="s">
        <v>34</v>
      </c>
      <c r="C189" s="5"/>
      <c r="D189" s="5"/>
      <c r="E189" s="5"/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116</v>
      </c>
      <c r="L189" s="5">
        <v>143</v>
      </c>
      <c r="M189" s="5">
        <v>192</v>
      </c>
      <c r="N189" s="5">
        <v>256</v>
      </c>
      <c r="O189" s="5">
        <v>321</v>
      </c>
      <c r="P189" s="5">
        <v>363</v>
      </c>
      <c r="Q189" s="5">
        <v>349</v>
      </c>
      <c r="R189" s="5">
        <v>334</v>
      </c>
    </row>
    <row r="190" spans="2:19" x14ac:dyDescent="0.35">
      <c r="B190" s="2" t="s">
        <v>35</v>
      </c>
      <c r="C190" s="5"/>
      <c r="D190" s="5"/>
      <c r="E190" s="5"/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10</v>
      </c>
      <c r="P190" s="5">
        <v>10</v>
      </c>
      <c r="Q190" s="5">
        <v>11</v>
      </c>
      <c r="R190" s="5">
        <v>11</v>
      </c>
    </row>
    <row r="191" spans="2:19" x14ac:dyDescent="0.35">
      <c r="B191" s="2" t="s">
        <v>12</v>
      </c>
      <c r="C191" s="5"/>
      <c r="D191" s="5"/>
      <c r="E191" s="5"/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</row>
    <row r="192" spans="2:19" x14ac:dyDescent="0.35">
      <c r="B192" s="3" t="s">
        <v>13</v>
      </c>
      <c r="C192" s="4"/>
      <c r="D192" s="4"/>
      <c r="E192" s="4"/>
      <c r="F192" s="4">
        <f t="shared" ref="F192:I192" si="104">SUM(F189:F191)</f>
        <v>0</v>
      </c>
      <c r="G192" s="4">
        <f t="shared" si="104"/>
        <v>0</v>
      </c>
      <c r="H192" s="4">
        <f t="shared" si="104"/>
        <v>0</v>
      </c>
      <c r="I192" s="4">
        <f t="shared" si="104"/>
        <v>0</v>
      </c>
      <c r="J192" s="4">
        <f t="shared" ref="J192:R192" si="105">SUM(J189:J191)</f>
        <v>0</v>
      </c>
      <c r="K192" s="4">
        <f t="shared" si="105"/>
        <v>116</v>
      </c>
      <c r="L192" s="4">
        <f t="shared" si="105"/>
        <v>143</v>
      </c>
      <c r="M192" s="4">
        <f t="shared" si="105"/>
        <v>192</v>
      </c>
      <c r="N192" s="4">
        <f t="shared" si="105"/>
        <v>256</v>
      </c>
      <c r="O192" s="4">
        <f t="shared" si="105"/>
        <v>331</v>
      </c>
      <c r="P192" s="4">
        <f t="shared" si="105"/>
        <v>373</v>
      </c>
      <c r="Q192" s="4">
        <f t="shared" si="105"/>
        <v>360</v>
      </c>
      <c r="R192" s="4">
        <f t="shared" si="105"/>
        <v>345</v>
      </c>
    </row>
    <row r="193" spans="2:19" x14ac:dyDescent="0.35">
      <c r="B193" s="2" t="s">
        <v>14</v>
      </c>
      <c r="C193" s="5"/>
      <c r="D193" s="5"/>
      <c r="E193" s="5"/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-57</v>
      </c>
      <c r="L193" s="5">
        <v>-54</v>
      </c>
      <c r="M193" s="5">
        <v>-71</v>
      </c>
      <c r="N193" s="5">
        <v>-89</v>
      </c>
      <c r="O193" s="5">
        <v>-127</v>
      </c>
      <c r="P193" s="5">
        <v>-134</v>
      </c>
      <c r="Q193" s="5">
        <v>-61</v>
      </c>
      <c r="R193" s="5">
        <v>-37</v>
      </c>
    </row>
    <row r="194" spans="2:19" x14ac:dyDescent="0.35">
      <c r="B194" s="2" t="s">
        <v>15</v>
      </c>
      <c r="C194" s="5"/>
      <c r="D194" s="5"/>
      <c r="E194" s="5"/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</row>
    <row r="195" spans="2:19" x14ac:dyDescent="0.35">
      <c r="B195" s="3" t="s">
        <v>16</v>
      </c>
      <c r="C195" s="4"/>
      <c r="D195" s="4"/>
      <c r="E195" s="4"/>
      <c r="F195" s="4">
        <f t="shared" ref="F195:R195" si="106">SUM(F192:F194)</f>
        <v>0</v>
      </c>
      <c r="G195" s="4">
        <f t="shared" si="106"/>
        <v>0</v>
      </c>
      <c r="H195" s="4">
        <f t="shared" si="106"/>
        <v>0</v>
      </c>
      <c r="I195" s="4">
        <f t="shared" si="106"/>
        <v>0</v>
      </c>
      <c r="J195" s="4">
        <f t="shared" si="106"/>
        <v>0</v>
      </c>
      <c r="K195" s="4">
        <f t="shared" si="106"/>
        <v>59</v>
      </c>
      <c r="L195" s="4">
        <f t="shared" si="106"/>
        <v>89</v>
      </c>
      <c r="M195" s="4">
        <f t="shared" si="106"/>
        <v>121</v>
      </c>
      <c r="N195" s="4">
        <f t="shared" si="106"/>
        <v>167</v>
      </c>
      <c r="O195" s="4">
        <f t="shared" si="106"/>
        <v>204</v>
      </c>
      <c r="P195" s="4">
        <f t="shared" si="106"/>
        <v>239</v>
      </c>
      <c r="Q195" s="4">
        <f t="shared" si="106"/>
        <v>299</v>
      </c>
      <c r="R195" s="4">
        <f t="shared" si="106"/>
        <v>308</v>
      </c>
    </row>
    <row r="196" spans="2:19" x14ac:dyDescent="0.35">
      <c r="B196" s="2" t="s">
        <v>17</v>
      </c>
      <c r="C196" s="5"/>
      <c r="D196" s="5"/>
      <c r="E196" s="5"/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</row>
    <row r="197" spans="2:19" x14ac:dyDescent="0.35">
      <c r="B197" s="2" t="s">
        <v>18</v>
      </c>
      <c r="C197" s="5"/>
      <c r="D197" s="5"/>
      <c r="E197" s="5"/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</row>
    <row r="198" spans="2:19" x14ac:dyDescent="0.35">
      <c r="B198" s="2" t="s">
        <v>42</v>
      </c>
      <c r="C198" s="5"/>
      <c r="D198" s="5"/>
      <c r="E198" s="5"/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</row>
    <row r="199" spans="2:19" x14ac:dyDescent="0.35">
      <c r="B199" s="2" t="s">
        <v>19</v>
      </c>
      <c r="C199" s="5"/>
      <c r="D199" s="5"/>
      <c r="E199" s="5"/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</row>
    <row r="200" spans="2:19" x14ac:dyDescent="0.35">
      <c r="B200" s="2" t="s">
        <v>20</v>
      </c>
      <c r="C200" s="5"/>
      <c r="D200" s="5"/>
      <c r="E200" s="5"/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32</v>
      </c>
      <c r="L200" s="5">
        <v>25</v>
      </c>
      <c r="M200" s="5">
        <v>26</v>
      </c>
      <c r="N200" s="5">
        <v>45</v>
      </c>
      <c r="O200" s="5">
        <v>38</v>
      </c>
      <c r="P200" s="5">
        <v>45</v>
      </c>
      <c r="Q200" s="5">
        <v>45</v>
      </c>
      <c r="R200" s="5">
        <v>128</v>
      </c>
    </row>
    <row r="201" spans="2:19" x14ac:dyDescent="0.35">
      <c r="B201" s="3" t="s">
        <v>21</v>
      </c>
      <c r="C201" s="4"/>
      <c r="D201" s="4"/>
      <c r="E201" s="4"/>
      <c r="F201" s="4">
        <f t="shared" ref="F201:R201" si="107">SUM(F195:F200)</f>
        <v>0</v>
      </c>
      <c r="G201" s="4">
        <f t="shared" si="107"/>
        <v>0</v>
      </c>
      <c r="H201" s="4">
        <f t="shared" si="107"/>
        <v>0</v>
      </c>
      <c r="I201" s="4">
        <f t="shared" si="107"/>
        <v>0</v>
      </c>
      <c r="J201" s="4">
        <f t="shared" si="107"/>
        <v>0</v>
      </c>
      <c r="K201" s="4">
        <f t="shared" si="107"/>
        <v>91</v>
      </c>
      <c r="L201" s="4">
        <f t="shared" si="107"/>
        <v>114</v>
      </c>
      <c r="M201" s="4">
        <f t="shared" si="107"/>
        <v>147</v>
      </c>
      <c r="N201" s="4">
        <f t="shared" si="107"/>
        <v>212</v>
      </c>
      <c r="O201" s="4">
        <f t="shared" si="107"/>
        <v>242</v>
      </c>
      <c r="P201" s="4">
        <f t="shared" si="107"/>
        <v>284</v>
      </c>
      <c r="Q201" s="4">
        <f t="shared" si="107"/>
        <v>344</v>
      </c>
      <c r="R201" s="4">
        <f t="shared" si="107"/>
        <v>436</v>
      </c>
    </row>
    <row r="202" spans="2:19" x14ac:dyDescent="0.35">
      <c r="B202" s="2" t="s">
        <v>22</v>
      </c>
      <c r="C202" s="5"/>
      <c r="D202" s="5"/>
      <c r="E202" s="5"/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16</v>
      </c>
      <c r="L202" s="5">
        <v>-9</v>
      </c>
      <c r="M202" s="5">
        <v>-10</v>
      </c>
      <c r="N202" s="5">
        <v>-22</v>
      </c>
      <c r="O202" s="5">
        <v>-12</v>
      </c>
      <c r="P202" s="5">
        <v>-36</v>
      </c>
      <c r="Q202" s="5">
        <v>-149</v>
      </c>
      <c r="R202" s="5">
        <v>-38</v>
      </c>
    </row>
    <row r="203" spans="2:19" x14ac:dyDescent="0.35">
      <c r="B203" s="2" t="s">
        <v>23</v>
      </c>
      <c r="C203" s="8"/>
      <c r="D203" s="8"/>
      <c r="E203" s="8"/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-29</v>
      </c>
      <c r="L203" s="8">
        <v>-32</v>
      </c>
      <c r="M203" s="5">
        <v>-38</v>
      </c>
      <c r="N203" s="5">
        <v>-47</v>
      </c>
      <c r="O203" s="5">
        <v>-53</v>
      </c>
      <c r="P203" s="5">
        <v>-58</v>
      </c>
      <c r="Q203" s="5">
        <v>-62</v>
      </c>
      <c r="R203" s="5">
        <v>-70</v>
      </c>
    </row>
    <row r="204" spans="2:19" x14ac:dyDescent="0.35">
      <c r="B204" s="2" t="s">
        <v>25</v>
      </c>
      <c r="C204" s="5"/>
      <c r="D204" s="5"/>
      <c r="E204" s="5"/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</row>
    <row r="205" spans="2:19" x14ac:dyDescent="0.35">
      <c r="B205" s="2" t="s">
        <v>26</v>
      </c>
      <c r="C205" s="5"/>
      <c r="D205" s="5"/>
      <c r="E205" s="5"/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</row>
    <row r="206" spans="2:19" x14ac:dyDescent="0.35">
      <c r="B206" s="2" t="s">
        <v>12</v>
      </c>
      <c r="C206" s="5"/>
      <c r="D206" s="5"/>
      <c r="E206" s="5"/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-14</v>
      </c>
      <c r="L206" s="5">
        <v>-23</v>
      </c>
      <c r="M206" s="5">
        <v>-28</v>
      </c>
      <c r="N206" s="5">
        <v>-29</v>
      </c>
      <c r="O206" s="5">
        <v>-33</v>
      </c>
      <c r="P206" s="5">
        <v>-37</v>
      </c>
      <c r="Q206" s="5">
        <v>-45</v>
      </c>
      <c r="R206" s="5">
        <v>-46</v>
      </c>
    </row>
    <row r="207" spans="2:19" x14ac:dyDescent="0.35">
      <c r="B207" s="3" t="s">
        <v>27</v>
      </c>
      <c r="C207" s="4"/>
      <c r="D207" s="4"/>
      <c r="E207" s="4"/>
      <c r="F207" s="4">
        <f t="shared" ref="F207:Q207" si="108">SUM(F201:F206)</f>
        <v>0</v>
      </c>
      <c r="G207" s="4">
        <f t="shared" si="108"/>
        <v>0</v>
      </c>
      <c r="H207" s="4">
        <f t="shared" si="108"/>
        <v>0</v>
      </c>
      <c r="I207" s="4">
        <f t="shared" si="108"/>
        <v>0</v>
      </c>
      <c r="J207" s="4">
        <f t="shared" si="108"/>
        <v>0</v>
      </c>
      <c r="K207" s="4">
        <f t="shared" si="108"/>
        <v>64</v>
      </c>
      <c r="L207" s="4">
        <f t="shared" si="108"/>
        <v>50</v>
      </c>
      <c r="M207" s="4">
        <f t="shared" si="108"/>
        <v>71</v>
      </c>
      <c r="N207" s="4">
        <f t="shared" si="108"/>
        <v>114</v>
      </c>
      <c r="O207" s="4">
        <f t="shared" si="108"/>
        <v>144</v>
      </c>
      <c r="P207" s="4">
        <f t="shared" si="108"/>
        <v>153</v>
      </c>
      <c r="Q207" s="4">
        <f t="shared" si="108"/>
        <v>88</v>
      </c>
      <c r="R207" s="4">
        <f>SUM(R201:R206)</f>
        <v>282</v>
      </c>
      <c r="S207" s="19"/>
    </row>
    <row r="209" spans="2:19" x14ac:dyDescent="0.35">
      <c r="B209" s="13" t="s">
        <v>98</v>
      </c>
      <c r="D209" s="5"/>
      <c r="E209" s="5"/>
      <c r="F209" s="5"/>
      <c r="G209" s="5"/>
      <c r="H209" s="5"/>
      <c r="I209" s="5"/>
      <c r="J209" s="5"/>
      <c r="K209" s="5">
        <v>1870</v>
      </c>
      <c r="L209" s="5">
        <v>2677</v>
      </c>
      <c r="M209" s="5">
        <v>3183</v>
      </c>
      <c r="N209" s="5">
        <v>3979</v>
      </c>
      <c r="O209" s="5">
        <v>4670</v>
      </c>
      <c r="P209" s="5">
        <v>5787</v>
      </c>
      <c r="Q209" s="5">
        <v>6108</v>
      </c>
      <c r="R209" s="5">
        <v>7950</v>
      </c>
    </row>
    <row r="210" spans="2:19" x14ac:dyDescent="0.35">
      <c r="B210" s="13" t="s">
        <v>12</v>
      </c>
      <c r="D210" s="5"/>
      <c r="E210" s="5"/>
      <c r="F210" s="5"/>
      <c r="G210" s="5"/>
      <c r="H210" s="5"/>
      <c r="I210" s="5"/>
      <c r="J210" s="5"/>
      <c r="K210" s="5">
        <v>19</v>
      </c>
      <c r="L210" s="7">
        <f t="shared" ref="L210:R210" si="109">+L209-L211</f>
        <v>19</v>
      </c>
      <c r="M210" s="7">
        <f t="shared" si="109"/>
        <v>3</v>
      </c>
      <c r="N210" s="7">
        <f t="shared" si="109"/>
        <v>69</v>
      </c>
      <c r="O210" s="7">
        <f t="shared" si="109"/>
        <v>34</v>
      </c>
      <c r="P210" s="7">
        <f t="shared" si="109"/>
        <v>99</v>
      </c>
      <c r="Q210" s="7">
        <f t="shared" si="109"/>
        <v>102</v>
      </c>
      <c r="R210" s="7">
        <f t="shared" si="109"/>
        <v>180</v>
      </c>
    </row>
    <row r="211" spans="2:19" x14ac:dyDescent="0.35">
      <c r="B211" s="13" t="s">
        <v>224</v>
      </c>
      <c r="D211" s="5"/>
      <c r="E211" s="5"/>
      <c r="F211" s="5"/>
      <c r="G211" s="5"/>
      <c r="H211" s="5"/>
      <c r="I211" s="5"/>
      <c r="J211" s="5"/>
      <c r="K211" s="7">
        <f>+K209-K210</f>
        <v>1851</v>
      </c>
      <c r="L211" s="5">
        <v>2658</v>
      </c>
      <c r="M211" s="5">
        <v>3180</v>
      </c>
      <c r="N211" s="5">
        <v>3910</v>
      </c>
      <c r="O211" s="5">
        <v>4636</v>
      </c>
      <c r="P211" s="5">
        <v>5688</v>
      </c>
      <c r="Q211" s="5">
        <v>6006</v>
      </c>
      <c r="R211" s="5">
        <v>7770</v>
      </c>
      <c r="S211" s="5"/>
    </row>
    <row r="212" spans="2:19" x14ac:dyDescent="0.35">
      <c r="B212" s="13" t="s">
        <v>223</v>
      </c>
      <c r="K212" s="113">
        <f t="shared" ref="K212:R212" si="110">(K207*0.79)/(AVERAGE(J211:K211)*1*0.1)</f>
        <v>0.27314964883846565</v>
      </c>
      <c r="L212" s="113">
        <f t="shared" si="110"/>
        <v>0.17520514526502548</v>
      </c>
      <c r="M212" s="113">
        <f t="shared" si="110"/>
        <v>0.192154847550531</v>
      </c>
      <c r="N212" s="113">
        <f t="shared" si="110"/>
        <v>0.25404795486600845</v>
      </c>
      <c r="O212" s="113">
        <f t="shared" si="110"/>
        <v>0.26622981511818394</v>
      </c>
      <c r="P212" s="113">
        <f t="shared" si="110"/>
        <v>0.23415342890352575</v>
      </c>
      <c r="Q212" s="113">
        <f t="shared" si="110"/>
        <v>0.1188985804686164</v>
      </c>
      <c r="R212" s="113">
        <f t="shared" si="110"/>
        <v>0.32343205574912887</v>
      </c>
      <c r="S212" s="12"/>
    </row>
    <row r="213" spans="2:19" x14ac:dyDescent="0.35">
      <c r="P213" s="12"/>
      <c r="Q213" s="12"/>
      <c r="R213" s="12"/>
    </row>
    <row r="214" spans="2:19" x14ac:dyDescent="0.35">
      <c r="B214" s="1" t="s">
        <v>6</v>
      </c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2:19" x14ac:dyDescent="0.35">
      <c r="B215" s="2" t="s">
        <v>34</v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>
        <v>66</v>
      </c>
      <c r="N215" s="5">
        <v>68</v>
      </c>
      <c r="O215" s="5">
        <v>83</v>
      </c>
      <c r="P215" s="5">
        <v>69</v>
      </c>
      <c r="Q215" s="5">
        <v>-15</v>
      </c>
      <c r="R215" s="5">
        <v>5</v>
      </c>
    </row>
    <row r="216" spans="2:19" x14ac:dyDescent="0.35">
      <c r="B216" s="2" t="s">
        <v>35</v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>
        <v>0</v>
      </c>
      <c r="N216" s="5">
        <v>0</v>
      </c>
      <c r="O216" s="5">
        <v>2</v>
      </c>
      <c r="P216" s="5">
        <v>2</v>
      </c>
      <c r="Q216" s="5">
        <v>4</v>
      </c>
      <c r="R216" s="5">
        <v>3</v>
      </c>
    </row>
    <row r="217" spans="2:19" x14ac:dyDescent="0.35">
      <c r="B217" s="2" t="s">
        <v>36</v>
      </c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>
        <v>319</v>
      </c>
      <c r="N217" s="5">
        <v>497</v>
      </c>
      <c r="O217" s="5">
        <v>677</v>
      </c>
      <c r="P217" s="5">
        <v>842</v>
      </c>
      <c r="Q217" s="5">
        <v>629</v>
      </c>
      <c r="R217" s="5">
        <v>498</v>
      </c>
    </row>
    <row r="218" spans="2:19" x14ac:dyDescent="0.35">
      <c r="B218" s="2" t="s">
        <v>37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>
        <v>5</v>
      </c>
      <c r="N218" s="5">
        <v>30</v>
      </c>
      <c r="O218" s="5">
        <v>62</v>
      </c>
      <c r="P218" s="5">
        <v>58</v>
      </c>
      <c r="Q218" s="5">
        <v>14</v>
      </c>
      <c r="R218" s="5">
        <v>14</v>
      </c>
    </row>
    <row r="219" spans="2:19" x14ac:dyDescent="0.35">
      <c r="B219" s="2" t="s">
        <v>12</v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>
        <v>-12</v>
      </c>
      <c r="N219" s="5">
        <v>-7</v>
      </c>
      <c r="O219" s="5">
        <v>-9</v>
      </c>
      <c r="P219" s="5">
        <v>-11</v>
      </c>
      <c r="Q219" s="5">
        <v>-8</v>
      </c>
      <c r="R219" s="5">
        <v>0</v>
      </c>
    </row>
    <row r="220" spans="2:19" x14ac:dyDescent="0.35">
      <c r="B220" s="3" t="s">
        <v>13</v>
      </c>
      <c r="C220" s="4"/>
      <c r="D220" s="4"/>
      <c r="E220" s="4"/>
      <c r="F220" s="9">
        <v>-78</v>
      </c>
      <c r="G220" s="9">
        <v>206</v>
      </c>
      <c r="H220" s="9">
        <v>195</v>
      </c>
      <c r="I220" s="9">
        <v>157</v>
      </c>
      <c r="J220" s="9">
        <v>298</v>
      </c>
      <c r="K220" s="9">
        <v>361</v>
      </c>
      <c r="L220" s="9">
        <v>379</v>
      </c>
      <c r="M220" s="4">
        <f t="shared" ref="M220:Q220" si="111">SUM(M215:M219)</f>
        <v>378</v>
      </c>
      <c r="N220" s="4">
        <f t="shared" si="111"/>
        <v>588</v>
      </c>
      <c r="O220" s="4">
        <f t="shared" si="111"/>
        <v>815</v>
      </c>
      <c r="P220" s="4">
        <f t="shared" si="111"/>
        <v>960</v>
      </c>
      <c r="Q220" s="4">
        <f t="shared" si="111"/>
        <v>624</v>
      </c>
      <c r="R220" s="4">
        <f>SUM(R215:R219)</f>
        <v>520</v>
      </c>
    </row>
    <row r="221" spans="2:19" x14ac:dyDescent="0.35">
      <c r="B221" s="2" t="s">
        <v>14</v>
      </c>
      <c r="C221" s="5"/>
      <c r="D221" s="5"/>
      <c r="E221" s="5"/>
      <c r="F221" s="5">
        <f>-1239-1143</f>
        <v>-2382</v>
      </c>
      <c r="G221" s="5">
        <f>-1204-1055</f>
        <v>-2259</v>
      </c>
      <c r="H221" s="5">
        <f>-925-943</f>
        <v>-1868</v>
      </c>
      <c r="I221" s="5">
        <f>-349-957</f>
        <v>-1306</v>
      </c>
      <c r="J221" s="5">
        <f>-262-549</f>
        <v>-811</v>
      </c>
      <c r="K221" s="5">
        <f>-189-217</f>
        <v>-406</v>
      </c>
      <c r="L221" s="5">
        <f>-62-156</f>
        <v>-218</v>
      </c>
      <c r="M221" s="5">
        <f>-78-337</f>
        <v>-415</v>
      </c>
      <c r="N221" s="5">
        <f>-90-348</f>
        <v>-438</v>
      </c>
      <c r="O221" s="5">
        <v>-631</v>
      </c>
      <c r="P221" s="5">
        <f>-42-890</f>
        <v>-932</v>
      </c>
      <c r="Q221" s="5">
        <f>-617-47</f>
        <v>-664</v>
      </c>
      <c r="R221" s="5">
        <f>-4-49</f>
        <v>-53</v>
      </c>
    </row>
    <row r="222" spans="2:19" x14ac:dyDescent="0.35">
      <c r="B222" s="2" t="s">
        <v>15</v>
      </c>
      <c r="C222" s="5"/>
      <c r="D222" s="5"/>
      <c r="E222" s="5"/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</row>
    <row r="223" spans="2:19" x14ac:dyDescent="0.35">
      <c r="B223" s="3" t="s">
        <v>16</v>
      </c>
      <c r="C223" s="4"/>
      <c r="D223" s="4"/>
      <c r="E223" s="4"/>
      <c r="F223" s="4">
        <f t="shared" ref="F223:R223" si="112">SUM(F220:F222)</f>
        <v>-2460</v>
      </c>
      <c r="G223" s="4">
        <f t="shared" si="112"/>
        <v>-2053</v>
      </c>
      <c r="H223" s="4">
        <f t="shared" si="112"/>
        <v>-1673</v>
      </c>
      <c r="I223" s="4">
        <f t="shared" si="112"/>
        <v>-1149</v>
      </c>
      <c r="J223" s="4">
        <f t="shared" si="112"/>
        <v>-513</v>
      </c>
      <c r="K223" s="4">
        <f t="shared" si="112"/>
        <v>-45</v>
      </c>
      <c r="L223" s="4">
        <f t="shared" si="112"/>
        <v>161</v>
      </c>
      <c r="M223" s="4">
        <f t="shared" si="112"/>
        <v>-37</v>
      </c>
      <c r="N223" s="4">
        <f t="shared" si="112"/>
        <v>150</v>
      </c>
      <c r="O223" s="4">
        <f t="shared" si="112"/>
        <v>184</v>
      </c>
      <c r="P223" s="4">
        <f t="shared" si="112"/>
        <v>28</v>
      </c>
      <c r="Q223" s="4">
        <f t="shared" si="112"/>
        <v>-40</v>
      </c>
      <c r="R223" s="4">
        <f t="shared" si="112"/>
        <v>467</v>
      </c>
    </row>
    <row r="224" spans="2:19" x14ac:dyDescent="0.35">
      <c r="B224" s="2" t="s">
        <v>17</v>
      </c>
      <c r="C224" s="5"/>
      <c r="D224" s="5"/>
      <c r="E224" s="5"/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</row>
    <row r="225" spans="2:19" x14ac:dyDescent="0.35">
      <c r="B225" s="2" t="s">
        <v>18</v>
      </c>
      <c r="C225" s="5"/>
      <c r="D225" s="5"/>
      <c r="E225" s="5"/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-6</v>
      </c>
      <c r="N225" s="5">
        <v>-11</v>
      </c>
      <c r="O225" s="5">
        <v>-2</v>
      </c>
      <c r="P225" s="5">
        <v>0</v>
      </c>
      <c r="Q225" s="5">
        <v>17</v>
      </c>
      <c r="R225" s="5">
        <v>0</v>
      </c>
    </row>
    <row r="226" spans="2:19" x14ac:dyDescent="0.35">
      <c r="B226" s="2" t="s">
        <v>42</v>
      </c>
      <c r="C226" s="5"/>
      <c r="D226" s="5"/>
      <c r="E226" s="5"/>
      <c r="F226" s="5">
        <v>661</v>
      </c>
      <c r="G226" s="5">
        <v>-124</v>
      </c>
      <c r="H226" s="5">
        <v>-64</v>
      </c>
      <c r="I226" s="5">
        <v>-148</v>
      </c>
      <c r="J226" s="5">
        <v>-59</v>
      </c>
      <c r="K226" s="5">
        <v>-202</v>
      </c>
      <c r="L226" s="5">
        <v>-357</v>
      </c>
      <c r="M226" s="5">
        <v>0</v>
      </c>
      <c r="N226" s="5">
        <v>0</v>
      </c>
      <c r="O226" s="5">
        <v>-1</v>
      </c>
      <c r="P226" s="5">
        <v>-2</v>
      </c>
      <c r="Q226" s="5">
        <v>-102</v>
      </c>
      <c r="R226" s="5">
        <v>-136</v>
      </c>
    </row>
    <row r="227" spans="2:19" x14ac:dyDescent="0.35">
      <c r="B227" s="2" t="s">
        <v>19</v>
      </c>
      <c r="C227" s="5"/>
      <c r="D227" s="5"/>
      <c r="E227" s="5"/>
      <c r="F227" s="5">
        <v>85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101</v>
      </c>
      <c r="N227" s="5">
        <v>24</v>
      </c>
      <c r="O227" s="5">
        <v>8</v>
      </c>
      <c r="P227" s="5">
        <v>63</v>
      </c>
      <c r="Q227" s="5">
        <v>88</v>
      </c>
      <c r="R227" s="5">
        <v>64</v>
      </c>
    </row>
    <row r="228" spans="2:19" x14ac:dyDescent="0.35">
      <c r="B228" s="2" t="s">
        <v>20</v>
      </c>
      <c r="C228" s="5"/>
      <c r="D228" s="5"/>
      <c r="E228" s="5"/>
      <c r="F228" s="5">
        <v>194</v>
      </c>
      <c r="G228" s="5">
        <f>146-56</f>
        <v>90</v>
      </c>
      <c r="H228" s="5">
        <f>84+156</f>
        <v>240</v>
      </c>
      <c r="I228" s="5">
        <f>69+22</f>
        <v>91</v>
      </c>
      <c r="J228" s="5">
        <f>76+3</f>
        <v>79</v>
      </c>
      <c r="K228" s="5">
        <f>38+30</f>
        <v>68</v>
      </c>
      <c r="L228" s="5">
        <f>70+74</f>
        <v>144</v>
      </c>
      <c r="M228" s="5">
        <v>67</v>
      </c>
      <c r="N228" s="5">
        <v>68</v>
      </c>
      <c r="O228" s="5">
        <v>114</v>
      </c>
      <c r="P228" s="5">
        <v>110</v>
      </c>
      <c r="Q228" s="5">
        <v>295</v>
      </c>
      <c r="R228" s="5">
        <v>293</v>
      </c>
    </row>
    <row r="229" spans="2:19" x14ac:dyDescent="0.35">
      <c r="B229" s="3" t="s">
        <v>21</v>
      </c>
      <c r="C229" s="4"/>
      <c r="D229" s="4"/>
      <c r="E229" s="4"/>
      <c r="F229" s="4">
        <f t="shared" ref="F229:R229" si="113">SUM(F223:F228)</f>
        <v>-1520</v>
      </c>
      <c r="G229" s="4">
        <f t="shared" si="113"/>
        <v>-2087</v>
      </c>
      <c r="H229" s="4">
        <f t="shared" si="113"/>
        <v>-1497</v>
      </c>
      <c r="I229" s="4">
        <f t="shared" si="113"/>
        <v>-1206</v>
      </c>
      <c r="J229" s="4">
        <f t="shared" si="113"/>
        <v>-493</v>
      </c>
      <c r="K229" s="4">
        <f t="shared" si="113"/>
        <v>-179</v>
      </c>
      <c r="L229" s="4">
        <f t="shared" si="113"/>
        <v>-52</v>
      </c>
      <c r="M229" s="4">
        <f t="shared" si="113"/>
        <v>125</v>
      </c>
      <c r="N229" s="4">
        <f t="shared" si="113"/>
        <v>231</v>
      </c>
      <c r="O229" s="4">
        <f t="shared" si="113"/>
        <v>303</v>
      </c>
      <c r="P229" s="4">
        <f t="shared" si="113"/>
        <v>199</v>
      </c>
      <c r="Q229" s="4">
        <f t="shared" si="113"/>
        <v>258</v>
      </c>
      <c r="R229" s="4">
        <f t="shared" si="113"/>
        <v>688</v>
      </c>
    </row>
    <row r="230" spans="2:19" x14ac:dyDescent="0.35">
      <c r="B230" s="2" t="s">
        <v>22</v>
      </c>
      <c r="C230" s="5"/>
      <c r="D230" s="5"/>
      <c r="E230" s="5"/>
      <c r="F230" s="5">
        <v>-491</v>
      </c>
      <c r="G230" s="5">
        <v>47</v>
      </c>
      <c r="H230" s="5">
        <v>51</v>
      </c>
      <c r="I230" s="5">
        <v>10</v>
      </c>
      <c r="J230" s="5">
        <v>6</v>
      </c>
      <c r="K230" s="5">
        <v>16</v>
      </c>
      <c r="L230" s="5">
        <v>-10</v>
      </c>
      <c r="M230" s="5">
        <v>13</v>
      </c>
      <c r="N230" s="5">
        <v>16</v>
      </c>
      <c r="O230" s="5">
        <v>15</v>
      </c>
      <c r="P230" s="5">
        <v>5</v>
      </c>
      <c r="Q230" s="5">
        <v>-47</v>
      </c>
      <c r="R230" s="5">
        <v>-151</v>
      </c>
    </row>
    <row r="231" spans="2:19" x14ac:dyDescent="0.35">
      <c r="B231" s="2" t="s">
        <v>23</v>
      </c>
      <c r="C231" s="5"/>
      <c r="D231" s="5"/>
      <c r="E231" s="5"/>
      <c r="F231" s="5">
        <v>-405</v>
      </c>
      <c r="G231" s="8">
        <v>-610</v>
      </c>
      <c r="H231" s="8">
        <v>-463</v>
      </c>
      <c r="I231" s="8">
        <v>-533</v>
      </c>
      <c r="J231" s="8" t="s">
        <v>24</v>
      </c>
      <c r="K231" s="8" t="s">
        <v>24</v>
      </c>
      <c r="L231" s="8" t="s">
        <v>24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</row>
    <row r="232" spans="2:19" x14ac:dyDescent="0.35">
      <c r="B232" s="2" t="s">
        <v>25</v>
      </c>
      <c r="C232" s="5"/>
      <c r="D232" s="5"/>
      <c r="E232" s="5"/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</row>
    <row r="233" spans="2:19" x14ac:dyDescent="0.35">
      <c r="B233" s="2" t="s">
        <v>26</v>
      </c>
      <c r="C233" s="5"/>
      <c r="D233" s="5"/>
      <c r="E233" s="5"/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-50</v>
      </c>
      <c r="R233" s="5">
        <v>0</v>
      </c>
    </row>
    <row r="234" spans="2:19" x14ac:dyDescent="0.35">
      <c r="B234" s="2" t="s">
        <v>12</v>
      </c>
      <c r="C234" s="5"/>
      <c r="D234" s="5"/>
      <c r="E234" s="5"/>
      <c r="F234" s="5">
        <v>-74</v>
      </c>
      <c r="G234" s="5">
        <v>-44</v>
      </c>
      <c r="H234" s="5">
        <v>-9</v>
      </c>
      <c r="I234" s="5">
        <v>99</v>
      </c>
      <c r="J234" s="5">
        <v>-327</v>
      </c>
      <c r="K234" s="5">
        <v>-276</v>
      </c>
      <c r="L234" s="5">
        <v>-181</v>
      </c>
      <c r="M234" s="5">
        <v>-199</v>
      </c>
      <c r="N234" s="5">
        <v>-262</v>
      </c>
      <c r="O234" s="5">
        <v>-333</v>
      </c>
      <c r="P234" s="5">
        <v>-363</v>
      </c>
      <c r="Q234" s="5">
        <f>-507-Q233</f>
        <v>-457</v>
      </c>
      <c r="R234" s="5">
        <v>-723</v>
      </c>
    </row>
    <row r="235" spans="2:19" x14ac:dyDescent="0.35">
      <c r="B235" s="3" t="s">
        <v>27</v>
      </c>
      <c r="C235" s="4"/>
      <c r="D235" s="4"/>
      <c r="E235" s="4"/>
      <c r="F235" s="4">
        <f t="shared" ref="F235:Q235" si="114">SUM(F229:F234)</f>
        <v>-2490</v>
      </c>
      <c r="G235" s="4">
        <f t="shared" si="114"/>
        <v>-2694</v>
      </c>
      <c r="H235" s="4">
        <f t="shared" si="114"/>
        <v>-1918</v>
      </c>
      <c r="I235" s="4">
        <f t="shared" si="114"/>
        <v>-1630</v>
      </c>
      <c r="J235" s="4">
        <f t="shared" si="114"/>
        <v>-814</v>
      </c>
      <c r="K235" s="4">
        <f t="shared" si="114"/>
        <v>-439</v>
      </c>
      <c r="L235" s="4">
        <f t="shared" si="114"/>
        <v>-243</v>
      </c>
      <c r="M235" s="4">
        <f t="shared" si="114"/>
        <v>-61</v>
      </c>
      <c r="N235" s="4">
        <f t="shared" si="114"/>
        <v>-15</v>
      </c>
      <c r="O235" s="4">
        <f t="shared" si="114"/>
        <v>-15</v>
      </c>
      <c r="P235" s="4">
        <f t="shared" si="114"/>
        <v>-159</v>
      </c>
      <c r="Q235" s="4">
        <f t="shared" si="114"/>
        <v>-296</v>
      </c>
      <c r="R235" s="4">
        <f>SUM(R229:R234)</f>
        <v>-186</v>
      </c>
    </row>
    <row r="237" spans="2:19" x14ac:dyDescent="0.35">
      <c r="B237" s="53" t="s">
        <v>28</v>
      </c>
      <c r="C237" s="53"/>
      <c r="D237" s="53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</row>
    <row r="238" spans="2:19" x14ac:dyDescent="0.35">
      <c r="B238" s="2" t="s">
        <v>33</v>
      </c>
      <c r="C238" s="5"/>
      <c r="D238" s="5">
        <v>22741</v>
      </c>
      <c r="E238" s="5">
        <v>18918</v>
      </c>
      <c r="F238" s="5">
        <v>12772</v>
      </c>
      <c r="G238" s="5">
        <v>8017</v>
      </c>
      <c r="H238" s="5">
        <v>6671</v>
      </c>
      <c r="I238" s="5">
        <v>7342</v>
      </c>
      <c r="J238" s="5">
        <v>8093</v>
      </c>
      <c r="K238" s="5">
        <v>8391</v>
      </c>
      <c r="L238" s="5">
        <v>8397</v>
      </c>
      <c r="M238" s="7">
        <f>+M27+M105+M145+M192+M220</f>
        <v>8258</v>
      </c>
      <c r="N238" s="7">
        <f>+N27+N105+N145+N192+N220</f>
        <v>8272</v>
      </c>
      <c r="O238" s="7">
        <f>+O27+O105+O145+O192+O220</f>
        <v>8985</v>
      </c>
      <c r="P238" s="7">
        <f>+P27+P105+P145+P192+P220</f>
        <v>9778</v>
      </c>
      <c r="Q238" s="7">
        <f>+Q27+Q105+Q145+Q192+Q220</f>
        <v>8717</v>
      </c>
      <c r="R238" s="7">
        <f>+R27+R105+R145+R192+R220</f>
        <v>8593</v>
      </c>
    </row>
    <row r="239" spans="2:19" x14ac:dyDescent="0.35">
      <c r="B239" s="2" t="s">
        <v>14</v>
      </c>
      <c r="C239" s="5"/>
      <c r="D239" s="5">
        <v>-14406</v>
      </c>
      <c r="E239" s="5">
        <v>-11297</v>
      </c>
      <c r="F239" s="5">
        <v>-7091</v>
      </c>
      <c r="G239" s="5">
        <v>-5460</v>
      </c>
      <c r="H239" s="5">
        <v>-4606</v>
      </c>
      <c r="I239" s="5">
        <v>-4052</v>
      </c>
      <c r="J239" s="5">
        <v>-3319</v>
      </c>
      <c r="K239" s="5">
        <v>-2783</v>
      </c>
      <c r="L239" s="5">
        <v>-2429</v>
      </c>
      <c r="M239" s="7">
        <f>+M28+M106+M146+M193+M221</f>
        <v>-2582</v>
      </c>
      <c r="N239" s="7">
        <f>+N28+N106+N146+N193+N221</f>
        <v>-2807</v>
      </c>
      <c r="O239" s="7">
        <f>+O28+O106+O146+O193+O221</f>
        <v>-3570</v>
      </c>
      <c r="P239" s="7">
        <f>+P28+P106+P146+P193+P221</f>
        <v>-4164</v>
      </c>
      <c r="Q239" s="7">
        <f>+Q28+Q106+Q146+Q193+Q221</f>
        <v>-3163</v>
      </c>
      <c r="R239" s="7">
        <f>+R28+R106+R146+R193+R221</f>
        <v>-1856</v>
      </c>
    </row>
    <row r="240" spans="2:19" x14ac:dyDescent="0.35">
      <c r="B240" s="2" t="s">
        <v>15</v>
      </c>
      <c r="C240" s="7"/>
      <c r="D240" s="5">
        <v>-4552</v>
      </c>
      <c r="E240" s="5">
        <v>-5478</v>
      </c>
      <c r="F240" s="5">
        <v>-3519</v>
      </c>
      <c r="G240" s="5">
        <v>-1251</v>
      </c>
      <c r="H240" s="7">
        <f>+H29+H107+H147+H194+H222</f>
        <v>-941</v>
      </c>
      <c r="I240" s="7">
        <f>+I29+I107+I147+I194+I222</f>
        <v>-1399</v>
      </c>
      <c r="J240" s="7">
        <f>+J29+J107+J147+J194+J222</f>
        <v>-1995</v>
      </c>
      <c r="K240" s="7">
        <f>+K29+K107+K147+K194+K222</f>
        <v>-2233</v>
      </c>
      <c r="L240" s="7">
        <f>+L29+L107+L147+L194+L222</f>
        <v>-2249</v>
      </c>
      <c r="M240" s="7">
        <f>+M29+M107+M147+M194+M222</f>
        <v>-1769</v>
      </c>
      <c r="N240" s="7">
        <f>+N29+N107+N147+N194+N222</f>
        <v>-1244</v>
      </c>
      <c r="O240" s="7">
        <f>+O29+O107+O147+O194+O222</f>
        <v>-1025</v>
      </c>
      <c r="P240" s="7">
        <f>+P29+P107+P147+P194+P222</f>
        <v>-981</v>
      </c>
      <c r="Q240" s="7">
        <f>+Q29+Q107+Q147+Q194+Q222</f>
        <v>-851</v>
      </c>
      <c r="R240" s="7">
        <f>+R29+R107+R147+R194+R222</f>
        <v>-570</v>
      </c>
    </row>
    <row r="241" spans="2:18" x14ac:dyDescent="0.35">
      <c r="B241" s="3" t="s">
        <v>16</v>
      </c>
      <c r="C241" s="4"/>
      <c r="D241" s="4">
        <f t="shared" ref="D241:F241" si="115">SUM(D238:D240)</f>
        <v>3783</v>
      </c>
      <c r="E241" s="4">
        <f t="shared" si="115"/>
        <v>2143</v>
      </c>
      <c r="F241" s="4">
        <f t="shared" si="115"/>
        <v>2162</v>
      </c>
      <c r="G241" s="4">
        <f t="shared" ref="G241:Q241" si="116">SUM(G238:G240)</f>
        <v>1306</v>
      </c>
      <c r="H241" s="4">
        <f t="shared" si="116"/>
        <v>1124</v>
      </c>
      <c r="I241" s="4">
        <f t="shared" si="116"/>
        <v>1891</v>
      </c>
      <c r="J241" s="4">
        <f t="shared" si="116"/>
        <v>2779</v>
      </c>
      <c r="K241" s="4">
        <f t="shared" si="116"/>
        <v>3375</v>
      </c>
      <c r="L241" s="4">
        <f t="shared" si="116"/>
        <v>3719</v>
      </c>
      <c r="M241" s="4">
        <f t="shared" si="116"/>
        <v>3907</v>
      </c>
      <c r="N241" s="4">
        <f t="shared" si="116"/>
        <v>4221</v>
      </c>
      <c r="O241" s="4">
        <f t="shared" si="116"/>
        <v>4390</v>
      </c>
      <c r="P241" s="4">
        <f t="shared" si="116"/>
        <v>4633</v>
      </c>
      <c r="Q241" s="4">
        <f t="shared" si="116"/>
        <v>4703</v>
      </c>
      <c r="R241" s="4">
        <f>SUM(R238:R240)</f>
        <v>6167</v>
      </c>
    </row>
    <row r="242" spans="2:18" x14ac:dyDescent="0.35">
      <c r="B242" s="2" t="s">
        <v>17</v>
      </c>
      <c r="C242" s="7"/>
      <c r="D242" s="5">
        <v>2806</v>
      </c>
      <c r="E242" s="5">
        <v>2710</v>
      </c>
      <c r="F242" s="5">
        <v>1861</v>
      </c>
      <c r="G242" s="5">
        <v>1371</v>
      </c>
      <c r="H242" s="7">
        <f>+H109</f>
        <v>1153</v>
      </c>
      <c r="I242" s="7">
        <f>+I109</f>
        <v>1055</v>
      </c>
      <c r="J242" s="7">
        <f>+J109</f>
        <v>1012</v>
      </c>
      <c r="K242" s="7">
        <f>+K109</f>
        <v>979</v>
      </c>
      <c r="L242" s="7">
        <f>+L109</f>
        <v>940</v>
      </c>
      <c r="M242" s="7">
        <f>+M109</f>
        <v>945</v>
      </c>
      <c r="N242" s="7">
        <f>+N109</f>
        <v>973</v>
      </c>
      <c r="O242" s="7">
        <f>+O109</f>
        <v>1022</v>
      </c>
      <c r="P242" s="7">
        <f>+P109</f>
        <v>1087</v>
      </c>
      <c r="Q242" s="7">
        <f>+Q109</f>
        <v>1103</v>
      </c>
      <c r="R242" s="7">
        <f>+R109</f>
        <v>1117</v>
      </c>
    </row>
    <row r="243" spans="2:18" x14ac:dyDescent="0.35">
      <c r="B243" s="2" t="s">
        <v>18</v>
      </c>
      <c r="C243" s="5"/>
      <c r="D243" s="5">
        <v>597</v>
      </c>
      <c r="E243" s="5">
        <v>-605</v>
      </c>
      <c r="F243" s="5">
        <v>799</v>
      </c>
      <c r="G243" s="5">
        <v>1239</v>
      </c>
      <c r="H243" s="5">
        <v>229</v>
      </c>
      <c r="I243" s="5">
        <v>379</v>
      </c>
      <c r="J243" s="6">
        <f>+J32+J110+J150+J197+J225</f>
        <v>55</v>
      </c>
      <c r="K243" s="5">
        <v>7</v>
      </c>
      <c r="L243" s="5">
        <v>45</v>
      </c>
      <c r="M243" s="6">
        <f>+M32+M110+M150+M197+M225</f>
        <v>11</v>
      </c>
      <c r="N243" s="6">
        <f>+N32+N110+N150+N197+N225</f>
        <v>68</v>
      </c>
      <c r="O243" s="6">
        <f>+O32+O110+O150+O197+O225</f>
        <v>25</v>
      </c>
      <c r="P243" s="6">
        <f>+P32+P110+P150+P197+P225</f>
        <v>28</v>
      </c>
      <c r="Q243" s="6">
        <f>+Q32+Q110+Q150+Q197+Q225</f>
        <v>110</v>
      </c>
      <c r="R243" s="6">
        <f>+R32+R110+R150+R197+R225</f>
        <v>87</v>
      </c>
    </row>
    <row r="244" spans="2:18" x14ac:dyDescent="0.35">
      <c r="B244" s="2" t="s">
        <v>42</v>
      </c>
      <c r="C244" s="6"/>
      <c r="D244" s="5">
        <v>563</v>
      </c>
      <c r="E244" s="5">
        <v>12628</v>
      </c>
      <c r="F244" s="5">
        <v>665</v>
      </c>
      <c r="G244" s="6">
        <f>+G33+G111+G151+G198+G226</f>
        <v>-124</v>
      </c>
      <c r="H244" s="6">
        <f>+H33+H111+H151+H198+H226</f>
        <v>-64</v>
      </c>
      <c r="I244" s="6">
        <f>+I33+I111+I151+I198+I226</f>
        <v>-148</v>
      </c>
      <c r="J244" s="6">
        <f>+J33+J111+J151+J198+J226</f>
        <v>-59</v>
      </c>
      <c r="K244" s="6">
        <f>+K33+K111+K151+K198+K226</f>
        <v>-202</v>
      </c>
      <c r="L244" s="6">
        <f>+L33+L111+L151+L198+L226</f>
        <v>-357</v>
      </c>
      <c r="M244" s="6">
        <f>+M33+M111+M151+M198+M226</f>
        <v>0</v>
      </c>
      <c r="N244" s="6">
        <f>+N33+N111+N151+N198+N226</f>
        <v>0</v>
      </c>
      <c r="O244" s="6">
        <f>+O33+O111+O151+O198+O226</f>
        <v>-1</v>
      </c>
      <c r="P244" s="6">
        <f>+P33+P111+P151+P198+P226</f>
        <v>-2</v>
      </c>
      <c r="Q244" s="6">
        <f>+Q33+Q111+Q151+Q198+Q226</f>
        <v>-102</v>
      </c>
      <c r="R244" s="6">
        <f>+R33+R111+R151+R198+R226</f>
        <v>-136</v>
      </c>
    </row>
    <row r="245" spans="2:18" x14ac:dyDescent="0.35">
      <c r="B245" s="2" t="s">
        <v>19</v>
      </c>
      <c r="C245" s="5"/>
      <c r="D245" s="5">
        <v>-590</v>
      </c>
      <c r="E245" s="5">
        <v>-1095</v>
      </c>
      <c r="F245" s="5">
        <v>162</v>
      </c>
      <c r="G245" s="5">
        <v>502</v>
      </c>
      <c r="H245" s="5">
        <v>258</v>
      </c>
      <c r="I245" s="5">
        <v>146</v>
      </c>
      <c r="J245" s="5">
        <v>180</v>
      </c>
      <c r="K245" s="5">
        <v>181</v>
      </c>
      <c r="L245" s="5">
        <v>155</v>
      </c>
      <c r="M245" s="7">
        <f>+M34+M112+M152+M199+M227</f>
        <v>185</v>
      </c>
      <c r="N245" s="7">
        <f>+N34+N112+N152+N199+N227</f>
        <v>102</v>
      </c>
      <c r="O245" s="7">
        <f>+O34+O112+O152+O199+O227</f>
        <v>-43</v>
      </c>
      <c r="P245" s="7">
        <f>+P34+P112+P152+P199+P227</f>
        <v>238</v>
      </c>
      <c r="Q245" s="7">
        <f>+Q34+Q112+Q152+Q199+Q227</f>
        <v>308</v>
      </c>
      <c r="R245" s="7">
        <f>+R34+R112+R152+R199+R227</f>
        <v>280</v>
      </c>
    </row>
    <row r="246" spans="2:18" x14ac:dyDescent="0.35">
      <c r="B246" s="2" t="s">
        <v>20</v>
      </c>
      <c r="C246" s="5"/>
      <c r="D246" s="5">
        <f>939+1649</f>
        <v>2588</v>
      </c>
      <c r="E246" s="5">
        <f>-644+1516</f>
        <v>872</v>
      </c>
      <c r="F246" s="5">
        <f>190+363</f>
        <v>553</v>
      </c>
      <c r="G246" s="5">
        <f>334+1094</f>
        <v>1428</v>
      </c>
      <c r="H246" s="5">
        <f>621+91</f>
        <v>712</v>
      </c>
      <c r="I246" s="5">
        <f>405+737</f>
        <v>1142</v>
      </c>
      <c r="J246" s="5">
        <f>383-87</f>
        <v>296</v>
      </c>
      <c r="K246" s="5">
        <f>280+31</f>
        <v>311</v>
      </c>
      <c r="L246" s="5">
        <f>314+45</f>
        <v>359</v>
      </c>
      <c r="M246" s="7">
        <f>+M35+M113+M153+M200+M228</f>
        <v>389</v>
      </c>
      <c r="N246" s="7">
        <f>+N35+N113+N153+N200+N228</f>
        <v>401</v>
      </c>
      <c r="O246" s="7">
        <f>+O35+O113+O153+O200+O228</f>
        <v>411</v>
      </c>
      <c r="P246" s="7">
        <f>+P35+P113+P153+P200+P228</f>
        <v>410</v>
      </c>
      <c r="Q246" s="7">
        <f>+Q35+Q113+Q153+Q200+Q228</f>
        <v>564</v>
      </c>
      <c r="R246" s="7">
        <f>+R35+R113+R153+R200+R228</f>
        <v>691</v>
      </c>
    </row>
    <row r="247" spans="2:18" x14ac:dyDescent="0.35">
      <c r="B247" s="3" t="s">
        <v>21</v>
      </c>
      <c r="C247" s="4"/>
      <c r="D247" s="4">
        <f t="shared" ref="D247:F247" si="117">SUM(D241:D246)</f>
        <v>9747</v>
      </c>
      <c r="E247" s="4">
        <f t="shared" ref="E247" si="118">SUM(E241:E246)</f>
        <v>16653</v>
      </c>
      <c r="F247" s="4">
        <f t="shared" si="117"/>
        <v>6202</v>
      </c>
      <c r="G247" s="4">
        <f t="shared" ref="G247:Q247" si="119">SUM(G241:G246)</f>
        <v>5722</v>
      </c>
      <c r="H247" s="4">
        <f t="shared" si="119"/>
        <v>3412</v>
      </c>
      <c r="I247" s="4">
        <f t="shared" si="119"/>
        <v>4465</v>
      </c>
      <c r="J247" s="4">
        <f t="shared" si="119"/>
        <v>4263</v>
      </c>
      <c r="K247" s="4">
        <f t="shared" si="119"/>
        <v>4651</v>
      </c>
      <c r="L247" s="4">
        <f t="shared" si="119"/>
        <v>4861</v>
      </c>
      <c r="M247" s="4">
        <f t="shared" si="119"/>
        <v>5437</v>
      </c>
      <c r="N247" s="4">
        <f t="shared" si="119"/>
        <v>5765</v>
      </c>
      <c r="O247" s="4">
        <f t="shared" si="119"/>
        <v>5804</v>
      </c>
      <c r="P247" s="4">
        <f t="shared" si="119"/>
        <v>6394</v>
      </c>
      <c r="Q247" s="4">
        <f t="shared" si="119"/>
        <v>6686</v>
      </c>
      <c r="R247" s="4">
        <f>SUM(R241:R246)</f>
        <v>8206</v>
      </c>
    </row>
    <row r="248" spans="2:18" x14ac:dyDescent="0.35">
      <c r="B248" s="2" t="s">
        <v>22</v>
      </c>
      <c r="C248" s="7"/>
      <c r="D248" s="5">
        <v>3067</v>
      </c>
      <c r="E248" s="5">
        <v>3410</v>
      </c>
      <c r="F248" s="5">
        <v>5603</v>
      </c>
      <c r="G248" s="7">
        <f>-SUM(G37,G115,G155,G202,G230)</f>
        <v>357</v>
      </c>
      <c r="H248" s="7">
        <f>-SUM(H37,H115,H155,H202,H230)</f>
        <v>161</v>
      </c>
      <c r="I248" s="7">
        <f>-SUM(I37,I115,I155,I202,I230)</f>
        <v>329</v>
      </c>
      <c r="J248" s="7">
        <f>-SUM(J37,J115,J155,J202,J230)</f>
        <v>501</v>
      </c>
      <c r="K248" s="5">
        <f>-SUM(K37,K115,K155,K202,K230)+K202</f>
        <v>457</v>
      </c>
      <c r="L248" s="5">
        <f>-SUM(L37,L115,L155,L202,L230)+L202</f>
        <v>707</v>
      </c>
      <c r="M248" s="7">
        <f>-SUM(M37,M115,M155,M202,M230)</f>
        <v>917</v>
      </c>
      <c r="N248" s="7">
        <f>-SUM(N37,N115,N155,N202,N230)</f>
        <v>1148</v>
      </c>
      <c r="O248" s="7">
        <f>-SUM(O37,O115,O155,O202,O230)</f>
        <v>918</v>
      </c>
      <c r="P248" s="7">
        <f>-SUM(P37,P115,P155,P202,P230)</f>
        <v>998</v>
      </c>
      <c r="Q248" s="7">
        <f>-SUM(Q37,Q115,Q155,Q202,Q230)</f>
        <v>1439</v>
      </c>
      <c r="R248" s="7">
        <f>-SUM(R37,R115,R155,R202,R230)</f>
        <v>241</v>
      </c>
    </row>
    <row r="249" spans="2:18" x14ac:dyDescent="0.35">
      <c r="B249" s="2" t="s">
        <v>40</v>
      </c>
      <c r="C249" s="5"/>
      <c r="D249" s="8" t="s">
        <v>24</v>
      </c>
      <c r="E249" s="8" t="s">
        <v>24</v>
      </c>
      <c r="F249" s="5">
        <v>1517</v>
      </c>
      <c r="G249" s="7">
        <f>-SUM(G38,G116,G156,G203,G231)</f>
        <v>1858</v>
      </c>
      <c r="H249" s="7">
        <f>-SUM(H38,H116,H156,H203,H231)</f>
        <v>1424</v>
      </c>
      <c r="I249" s="7">
        <f>-SUM(I38,I116,I156,I203,I231)</f>
        <v>1488</v>
      </c>
      <c r="J249" s="7">
        <f>-SUM(J38,J116,J156,J203,J231)</f>
        <v>921</v>
      </c>
      <c r="K249" s="5">
        <f>-SUM(K38,K116,K156,K203,K231)+K203</f>
        <v>902</v>
      </c>
      <c r="L249" s="5">
        <f>-SUM(L38,L116,L156,L203,L231)+L203</f>
        <v>946</v>
      </c>
      <c r="M249" s="7">
        <f>-SUM(M38,M116,M156,M203,M231)</f>
        <v>989</v>
      </c>
      <c r="N249" s="7">
        <f>-SUM(N38,N116,N156,N203,N231)</f>
        <v>1068</v>
      </c>
      <c r="O249" s="7">
        <f>-SUM(O38,O116,O156,O203,O231)</f>
        <v>1105</v>
      </c>
      <c r="P249" s="7">
        <f>-SUM(P38,P116,P156,P203,P231)</f>
        <v>1168</v>
      </c>
      <c r="Q249" s="7">
        <f>-SUM(Q38,Q116,Q156,Q203,Q231)</f>
        <v>1232</v>
      </c>
      <c r="R249" s="7">
        <f>-SUM(R38,R116,R156,R203,R231)</f>
        <v>1317</v>
      </c>
    </row>
    <row r="250" spans="2:18" x14ac:dyDescent="0.35">
      <c r="B250" s="2" t="s">
        <v>25</v>
      </c>
      <c r="C250" s="7"/>
      <c r="D250" s="5">
        <v>1376</v>
      </c>
      <c r="E250" s="5">
        <v>1402</v>
      </c>
      <c r="F250" s="5">
        <v>992</v>
      </c>
      <c r="G250" s="7">
        <f>-SUM(G39,G117,G157,G204,G232)</f>
        <v>511</v>
      </c>
      <c r="H250" s="7">
        <f>-SUM(H39,H117,H157,H204,H232)</f>
        <v>452</v>
      </c>
      <c r="I250" s="7">
        <f>-SUM(I39,I117,I157,I204,I232)</f>
        <v>454</v>
      </c>
      <c r="J250" s="7">
        <f>-SUM(J39,J117,J157,J204,J232)</f>
        <v>405</v>
      </c>
      <c r="K250" s="5">
        <f>-SUM(K39,K117,K157,K204,K232)+K204</f>
        <v>410</v>
      </c>
      <c r="L250" s="5">
        <f>-SUM(L39,L117,L157,L204,L232)+L204</f>
        <v>293</v>
      </c>
      <c r="M250" s="7">
        <f>-SUM(M39,M117,M157,M204,M232)</f>
        <v>342</v>
      </c>
      <c r="N250" s="7">
        <f>-SUM(N39,N117,N157,N204,N232)</f>
        <v>332</v>
      </c>
      <c r="O250" s="7">
        <f>-SUM(O39,O117,O157,O204,O232)</f>
        <v>295</v>
      </c>
      <c r="P250" s="7">
        <f>-SUM(P39,P117,P157,P204,P232)</f>
        <v>321</v>
      </c>
      <c r="Q250" s="7">
        <f>-SUM(Q39,Q117,Q157,Q204,Q232)</f>
        <v>363</v>
      </c>
      <c r="R250" s="7">
        <f>-SUM(R39,R117,R157,R204,R232)</f>
        <v>261</v>
      </c>
    </row>
    <row r="251" spans="2:18" x14ac:dyDescent="0.35">
      <c r="B251" s="2" t="s">
        <v>26</v>
      </c>
      <c r="C251" s="5"/>
      <c r="D251" s="5">
        <v>438</v>
      </c>
      <c r="E251" s="5">
        <f>1218+16</f>
        <v>1234</v>
      </c>
      <c r="F251" s="5">
        <v>0</v>
      </c>
      <c r="G251" s="7">
        <f>-SUM(G40,G118,G158,G205,G233)</f>
        <v>0</v>
      </c>
      <c r="H251" s="7">
        <f>-SUM(H40,H118,H158,H205,H233)</f>
        <v>0</v>
      </c>
      <c r="I251" s="7">
        <f>-SUM(I40,I118,I158,I205,I233)</f>
        <v>0</v>
      </c>
      <c r="J251" s="7">
        <f>-SUM(J40,J118,J158,J205,J233)</f>
        <v>0</v>
      </c>
      <c r="K251" s="5">
        <f>-SUM(K40,K118,K158,K205,K233)+K205</f>
        <v>0</v>
      </c>
      <c r="L251" s="5">
        <f>-SUM(L40,L118,L158,L205,L233)+L205</f>
        <v>0</v>
      </c>
      <c r="M251" s="7">
        <f>-SUM(M40,M118,M158,M205,M233)</f>
        <v>0</v>
      </c>
      <c r="N251" s="7">
        <f>-SUM(N40,N118,N158,N205,N233)</f>
        <v>0</v>
      </c>
      <c r="O251" s="7">
        <f>-SUM(O40,O118,O158,O205,O233)</f>
        <v>0</v>
      </c>
      <c r="P251" s="7">
        <f>-SUM(P40,P118,P158,P205,P233)</f>
        <v>0</v>
      </c>
      <c r="Q251" s="7">
        <f>-SUM(Q40,Q118,Q158,Q205,Q233)</f>
        <v>50</v>
      </c>
      <c r="R251" s="7">
        <f>-SUM(R40,R118,R158,R205,R233)</f>
        <v>0</v>
      </c>
    </row>
    <row r="252" spans="2:18" x14ac:dyDescent="0.35">
      <c r="B252" s="2" t="s">
        <v>41</v>
      </c>
      <c r="C252" s="5"/>
      <c r="D252" s="5">
        <v>6672</v>
      </c>
      <c r="E252" s="5">
        <v>7231</v>
      </c>
      <c r="F252" s="5">
        <v>4999</v>
      </c>
      <c r="G252" s="7">
        <f>-SUM(G41,G119,G159,G206,G234)</f>
        <v>2604</v>
      </c>
      <c r="H252" s="7">
        <f>-SUM(H41,H119,H159,H206,H234)</f>
        <v>1552</v>
      </c>
      <c r="I252" s="7">
        <f>-SUM(I41,I119,I159,I206,I234)</f>
        <v>1680</v>
      </c>
      <c r="J252" s="7">
        <f>-SUM(J41,J119,J159,J206,J234)</f>
        <v>2079</v>
      </c>
      <c r="K252" s="5">
        <f>-SUM(K41,K119,K159,K206,K234)+K206</f>
        <v>1636</v>
      </c>
      <c r="L252" s="5">
        <f>-SUM(L41,L119,L159,L206,L234)+L206</f>
        <v>1522</v>
      </c>
      <c r="M252" s="7">
        <f>-SUM(M41,M119,M159,M206,M234)</f>
        <v>1608</v>
      </c>
      <c r="N252" s="7">
        <f>-SUM(N41,N119,N159,N206,N234)</f>
        <v>1710</v>
      </c>
      <c r="O252" s="7">
        <f>-SUM(O41,O119,O159,O206,O234)</f>
        <v>1864</v>
      </c>
      <c r="P252" s="7">
        <f>-SUM(P41,P119,P159,P206,P234)</f>
        <v>1940</v>
      </c>
      <c r="Q252" s="7">
        <f>-SUM(Q41,Q119,Q159,Q206,Q234)</f>
        <v>2188</v>
      </c>
      <c r="R252" s="7">
        <f>-SUM(R41,R119,R159,R206,R234)</f>
        <v>2532</v>
      </c>
    </row>
    <row r="253" spans="2:18" x14ac:dyDescent="0.35">
      <c r="B253" s="3" t="s">
        <v>39</v>
      </c>
      <c r="C253" s="4"/>
      <c r="D253" s="4">
        <f t="shared" ref="D253:F253" si="120">SUM(D248:D252)</f>
        <v>11553</v>
      </c>
      <c r="E253" s="4">
        <f t="shared" si="120"/>
        <v>13277</v>
      </c>
      <c r="F253" s="4">
        <f t="shared" si="120"/>
        <v>13111</v>
      </c>
      <c r="G253" s="4">
        <f>SUM(G248:G252)</f>
        <v>5330</v>
      </c>
      <c r="H253" s="4">
        <f t="shared" ref="H253:R253" si="121">SUM(H248:H252)</f>
        <v>3589</v>
      </c>
      <c r="I253" s="4">
        <f t="shared" si="121"/>
        <v>3951</v>
      </c>
      <c r="J253" s="4">
        <f t="shared" si="121"/>
        <v>3906</v>
      </c>
      <c r="K253" s="4">
        <f t="shared" si="121"/>
        <v>3405</v>
      </c>
      <c r="L253" s="4">
        <f t="shared" si="121"/>
        <v>3468</v>
      </c>
      <c r="M253" s="4">
        <f t="shared" si="121"/>
        <v>3856</v>
      </c>
      <c r="N253" s="4">
        <f t="shared" si="121"/>
        <v>4258</v>
      </c>
      <c r="O253" s="4">
        <f t="shared" si="121"/>
        <v>4182</v>
      </c>
      <c r="P253" s="4">
        <f t="shared" si="121"/>
        <v>4427</v>
      </c>
      <c r="Q253" s="4">
        <f>SUM(Q248:Q252)</f>
        <v>5272</v>
      </c>
      <c r="R253" s="4">
        <f t="shared" si="121"/>
        <v>4351</v>
      </c>
    </row>
    <row r="255" spans="2:18" x14ac:dyDescent="0.35">
      <c r="B255" s="2" t="s">
        <v>27</v>
      </c>
      <c r="D255" s="6">
        <f t="shared" ref="D255:R255" si="122">+D247-D253</f>
        <v>-1806</v>
      </c>
      <c r="E255" s="6">
        <f t="shared" si="122"/>
        <v>3376</v>
      </c>
      <c r="F255" s="6">
        <f t="shared" si="122"/>
        <v>-6909</v>
      </c>
      <c r="G255" s="6">
        <f t="shared" si="122"/>
        <v>392</v>
      </c>
      <c r="H255" s="6">
        <f t="shared" si="122"/>
        <v>-177</v>
      </c>
      <c r="I255" s="6">
        <f t="shared" si="122"/>
        <v>514</v>
      </c>
      <c r="J255" s="6">
        <f t="shared" si="122"/>
        <v>357</v>
      </c>
      <c r="K255" s="6">
        <f t="shared" si="122"/>
        <v>1246</v>
      </c>
      <c r="L255" s="6">
        <f t="shared" si="122"/>
        <v>1393</v>
      </c>
      <c r="M255" s="6">
        <f t="shared" si="122"/>
        <v>1581</v>
      </c>
      <c r="N255" s="6">
        <f t="shared" si="122"/>
        <v>1507</v>
      </c>
      <c r="O255" s="6">
        <f t="shared" si="122"/>
        <v>1622</v>
      </c>
      <c r="P255" s="6">
        <f t="shared" si="122"/>
        <v>1967</v>
      </c>
      <c r="Q255" s="6">
        <f t="shared" si="122"/>
        <v>1414</v>
      </c>
      <c r="R255" s="6">
        <f t="shared" si="122"/>
        <v>3855</v>
      </c>
    </row>
    <row r="256" spans="2:18" x14ac:dyDescent="0.35">
      <c r="B256" t="s">
        <v>43</v>
      </c>
      <c r="C256" s="5"/>
      <c r="D256" s="5">
        <v>-242</v>
      </c>
      <c r="E256" s="5">
        <v>-356</v>
      </c>
      <c r="F256" s="5">
        <v>-333</v>
      </c>
      <c r="G256" s="5">
        <v>-117</v>
      </c>
      <c r="H256" s="5">
        <v>-47</v>
      </c>
      <c r="I256" s="5">
        <v>14</v>
      </c>
      <c r="J256" s="5">
        <v>-4</v>
      </c>
      <c r="K256" s="5">
        <v>-10</v>
      </c>
      <c r="L256" s="5">
        <v>-9</v>
      </c>
      <c r="M256" s="5">
        <v>-17</v>
      </c>
      <c r="N256" s="5">
        <v>-42</v>
      </c>
      <c r="O256" s="5">
        <v>-28</v>
      </c>
      <c r="P256" s="5">
        <v>-67</v>
      </c>
      <c r="Q256" s="5">
        <v>-86</v>
      </c>
      <c r="R256" s="5">
        <v>-674</v>
      </c>
    </row>
    <row r="257" spans="2:19" x14ac:dyDescent="0.35">
      <c r="B257" s="2" t="s">
        <v>44</v>
      </c>
      <c r="C257" s="12"/>
      <c r="D257" s="12">
        <f t="shared" ref="D257:Q257" si="123">-D256/D255</f>
        <v>-0.13399778516057587</v>
      </c>
      <c r="E257" s="12">
        <f t="shared" si="123"/>
        <v>0.10545023696682465</v>
      </c>
      <c r="F257" s="12">
        <f t="shared" si="123"/>
        <v>-4.8198002605297441E-2</v>
      </c>
      <c r="G257" s="12">
        <f t="shared" si="123"/>
        <v>0.29846938775510207</v>
      </c>
      <c r="H257" s="12">
        <f t="shared" si="123"/>
        <v>-0.2655367231638418</v>
      </c>
      <c r="I257" s="12">
        <f t="shared" si="123"/>
        <v>-2.7237354085603113E-2</v>
      </c>
      <c r="J257" s="12">
        <f t="shared" si="123"/>
        <v>1.1204481792717087E-2</v>
      </c>
      <c r="K257" s="12">
        <f t="shared" si="123"/>
        <v>8.0256821829855531E-3</v>
      </c>
      <c r="L257" s="12">
        <f t="shared" si="123"/>
        <v>6.4608758076094763E-3</v>
      </c>
      <c r="M257" s="12">
        <f t="shared" si="123"/>
        <v>1.0752688172043012E-2</v>
      </c>
      <c r="N257" s="12">
        <f t="shared" si="123"/>
        <v>2.7869940278699403E-2</v>
      </c>
      <c r="O257" s="12">
        <f t="shared" si="123"/>
        <v>1.7262638717632551E-2</v>
      </c>
      <c r="P257" s="12">
        <f t="shared" si="123"/>
        <v>3.4062023385866801E-2</v>
      </c>
      <c r="Q257" s="12">
        <f t="shared" si="123"/>
        <v>6.0820367751060818E-2</v>
      </c>
      <c r="R257" s="12">
        <f>-R256/R255</f>
        <v>0.17483787289234759</v>
      </c>
    </row>
    <row r="258" spans="2:19" x14ac:dyDescent="0.35">
      <c r="B258" t="s">
        <v>45</v>
      </c>
      <c r="C258" s="5"/>
      <c r="D258" s="5">
        <v>-153</v>
      </c>
      <c r="E258" s="5">
        <v>416</v>
      </c>
      <c r="F258" s="5">
        <v>259</v>
      </c>
      <c r="G258" s="5">
        <v>13</v>
      </c>
      <c r="H258" s="5">
        <v>5</v>
      </c>
      <c r="I258" s="5">
        <v>842</v>
      </c>
      <c r="J258" s="5">
        <v>63</v>
      </c>
      <c r="K258" s="5">
        <v>-311</v>
      </c>
      <c r="L258" s="5">
        <v>-487</v>
      </c>
      <c r="M258" s="5">
        <v>-453</v>
      </c>
      <c r="N258" s="5">
        <v>-539</v>
      </c>
      <c r="O258" s="5">
        <v>-331</v>
      </c>
      <c r="P258" s="5">
        <v>-179</v>
      </c>
      <c r="Q258" s="5">
        <v>-242</v>
      </c>
      <c r="R258" s="5">
        <v>-116</v>
      </c>
    </row>
    <row r="259" spans="2:19" x14ac:dyDescent="0.35">
      <c r="B259" s="2" t="s">
        <v>46</v>
      </c>
      <c r="C259" s="12"/>
      <c r="D259" s="12">
        <f t="shared" ref="D259:Q259" si="124">-D258/D255</f>
        <v>-8.4717607973421927E-2</v>
      </c>
      <c r="E259" s="12">
        <f t="shared" si="124"/>
        <v>-0.12322274881516587</v>
      </c>
      <c r="F259" s="12">
        <f t="shared" si="124"/>
        <v>3.7487335359675786E-2</v>
      </c>
      <c r="G259" s="12">
        <f t="shared" si="124"/>
        <v>-3.3163265306122451E-2</v>
      </c>
      <c r="H259" s="12">
        <f t="shared" si="124"/>
        <v>2.8248587570621469E-2</v>
      </c>
      <c r="I259" s="12">
        <f t="shared" si="124"/>
        <v>-1.6381322957198443</v>
      </c>
      <c r="J259" s="12">
        <f t="shared" si="124"/>
        <v>-0.17647058823529413</v>
      </c>
      <c r="K259" s="12">
        <f t="shared" si="124"/>
        <v>0.24959871589085073</v>
      </c>
      <c r="L259" s="12">
        <f t="shared" si="124"/>
        <v>0.34960516870064606</v>
      </c>
      <c r="M259" s="12">
        <f t="shared" si="124"/>
        <v>0.28652751423149903</v>
      </c>
      <c r="N259" s="12">
        <f t="shared" si="124"/>
        <v>0.35766423357664234</v>
      </c>
      <c r="O259" s="12">
        <f t="shared" si="124"/>
        <v>0.20406905055487054</v>
      </c>
      <c r="P259" s="12">
        <f t="shared" si="124"/>
        <v>9.1001525165226235E-2</v>
      </c>
      <c r="Q259" s="12">
        <f t="shared" si="124"/>
        <v>0.17114568599717114</v>
      </c>
      <c r="R259" s="12">
        <f>-R258/R255</f>
        <v>3.0090791180285344E-2</v>
      </c>
    </row>
    <row r="260" spans="2:19" x14ac:dyDescent="0.35">
      <c r="B260" s="3" t="s">
        <v>47</v>
      </c>
      <c r="C260" s="4"/>
      <c r="D260" s="4">
        <f>+D255+D256+D258</f>
        <v>-2201</v>
      </c>
      <c r="E260" s="4">
        <f t="shared" ref="E260:R260" si="125">+E255+E256+E258</f>
        <v>3436</v>
      </c>
      <c r="F260" s="4">
        <f t="shared" si="125"/>
        <v>-6983</v>
      </c>
      <c r="G260" s="4">
        <f t="shared" si="125"/>
        <v>288</v>
      </c>
      <c r="H260" s="4">
        <f t="shared" si="125"/>
        <v>-219</v>
      </c>
      <c r="I260" s="4">
        <f t="shared" si="125"/>
        <v>1370</v>
      </c>
      <c r="J260" s="4">
        <f t="shared" si="125"/>
        <v>416</v>
      </c>
      <c r="K260" s="4">
        <f t="shared" si="125"/>
        <v>925</v>
      </c>
      <c r="L260" s="4">
        <f t="shared" si="125"/>
        <v>897</v>
      </c>
      <c r="M260" s="4">
        <f t="shared" si="125"/>
        <v>1111</v>
      </c>
      <c r="N260" s="4">
        <f t="shared" si="125"/>
        <v>926</v>
      </c>
      <c r="O260" s="4">
        <f t="shared" si="125"/>
        <v>1263</v>
      </c>
      <c r="P260" s="4">
        <f t="shared" si="125"/>
        <v>1721</v>
      </c>
      <c r="Q260" s="4">
        <f t="shared" si="125"/>
        <v>1086</v>
      </c>
      <c r="R260" s="4">
        <f t="shared" si="125"/>
        <v>3065</v>
      </c>
    </row>
    <row r="261" spans="2:19" x14ac:dyDescent="0.35">
      <c r="B261" t="s">
        <v>48</v>
      </c>
      <c r="D261" s="5">
        <v>-131</v>
      </c>
      <c r="E261" s="5">
        <v>-1568</v>
      </c>
      <c r="F261" s="5">
        <v>-3315</v>
      </c>
      <c r="G261" s="5">
        <v>741</v>
      </c>
      <c r="H261" s="5">
        <v>62</v>
      </c>
      <c r="I261" s="5">
        <v>-174</v>
      </c>
      <c r="J261" s="5">
        <v>-55</v>
      </c>
      <c r="K261" s="5">
        <v>225</v>
      </c>
      <c r="L261" s="5">
        <v>392</v>
      </c>
      <c r="M261" s="5">
        <v>-44</v>
      </c>
      <c r="N261" s="5">
        <v>3</v>
      </c>
      <c r="O261" s="5">
        <v>0</v>
      </c>
      <c r="P261" s="5">
        <v>-6</v>
      </c>
      <c r="Q261" s="5">
        <v>-1</v>
      </c>
      <c r="R261" s="5">
        <v>-5</v>
      </c>
    </row>
    <row r="262" spans="2:19" x14ac:dyDescent="0.35">
      <c r="B262" s="3" t="s">
        <v>47</v>
      </c>
      <c r="C262" s="4"/>
      <c r="D262" s="4">
        <f t="shared" ref="D262" si="126">SUM(D260:D261)</f>
        <v>-2332</v>
      </c>
      <c r="E262" s="4">
        <f t="shared" ref="E262:O262" si="127">SUM(E260:E261)</f>
        <v>1868</v>
      </c>
      <c r="F262" s="4">
        <f t="shared" si="127"/>
        <v>-10298</v>
      </c>
      <c r="G262" s="4">
        <f t="shared" si="127"/>
        <v>1029</v>
      </c>
      <c r="H262" s="4">
        <f t="shared" si="127"/>
        <v>-157</v>
      </c>
      <c r="I262" s="4">
        <f t="shared" si="127"/>
        <v>1196</v>
      </c>
      <c r="J262" s="4">
        <f t="shared" si="127"/>
        <v>361</v>
      </c>
      <c r="K262" s="4">
        <f t="shared" si="127"/>
        <v>1150</v>
      </c>
      <c r="L262" s="4">
        <f t="shared" si="127"/>
        <v>1289</v>
      </c>
      <c r="M262" s="4">
        <f t="shared" si="127"/>
        <v>1067</v>
      </c>
      <c r="N262" s="4">
        <f t="shared" si="127"/>
        <v>929</v>
      </c>
      <c r="O262" s="4">
        <f t="shared" si="127"/>
        <v>1263</v>
      </c>
      <c r="P262" s="4">
        <f>SUM(P260:P261)</f>
        <v>1715</v>
      </c>
      <c r="Q262" s="4">
        <f t="shared" ref="Q262:R262" si="128">SUM(Q260:Q261)</f>
        <v>1085</v>
      </c>
      <c r="R262" s="4">
        <f t="shared" si="128"/>
        <v>3060</v>
      </c>
    </row>
    <row r="264" spans="2:19" x14ac:dyDescent="0.35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6" spans="2:19" x14ac:dyDescent="0.35">
      <c r="B266" s="53" t="s">
        <v>29</v>
      </c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</row>
    <row r="267" spans="2:19" x14ac:dyDescent="0.35">
      <c r="B267" t="s">
        <v>47</v>
      </c>
      <c r="C267" s="6"/>
      <c r="D267" s="6">
        <f>+D262</f>
        <v>-2332</v>
      </c>
      <c r="E267" s="6">
        <f t="shared" ref="E267:R267" si="129">+E262</f>
        <v>1868</v>
      </c>
      <c r="F267" s="6">
        <f t="shared" si="129"/>
        <v>-10298</v>
      </c>
      <c r="G267" s="6">
        <f t="shared" si="129"/>
        <v>1029</v>
      </c>
      <c r="H267" s="6">
        <f t="shared" si="129"/>
        <v>-157</v>
      </c>
      <c r="I267" s="6">
        <f t="shared" si="129"/>
        <v>1196</v>
      </c>
      <c r="J267" s="6">
        <f t="shared" si="129"/>
        <v>361</v>
      </c>
      <c r="K267" s="6">
        <f t="shared" si="129"/>
        <v>1150</v>
      </c>
      <c r="L267" s="6">
        <f t="shared" si="129"/>
        <v>1289</v>
      </c>
      <c r="M267" s="6">
        <f t="shared" si="129"/>
        <v>1067</v>
      </c>
      <c r="N267" s="6">
        <f t="shared" si="129"/>
        <v>929</v>
      </c>
      <c r="O267" s="6">
        <f t="shared" si="129"/>
        <v>1263</v>
      </c>
      <c r="P267" s="6">
        <f t="shared" si="129"/>
        <v>1715</v>
      </c>
      <c r="Q267" s="6">
        <f t="shared" si="129"/>
        <v>1085</v>
      </c>
      <c r="R267" s="6">
        <f t="shared" si="129"/>
        <v>3060</v>
      </c>
    </row>
    <row r="268" spans="2:19" x14ac:dyDescent="0.35">
      <c r="B268" s="2" t="s">
        <v>49</v>
      </c>
      <c r="C268" s="5"/>
      <c r="D268" s="5">
        <v>5998</v>
      </c>
      <c r="E268" s="5">
        <v>6722</v>
      </c>
      <c r="F268" s="5">
        <v>5958</v>
      </c>
      <c r="G268" s="5">
        <v>4146</v>
      </c>
      <c r="H268" s="5">
        <v>2713</v>
      </c>
      <c r="I268" s="5">
        <v>2381</v>
      </c>
      <c r="J268" s="5">
        <v>2864</v>
      </c>
      <c r="K268" s="5">
        <v>2936</v>
      </c>
      <c r="L268" s="5">
        <v>2801</v>
      </c>
      <c r="M268" s="5">
        <v>2382</v>
      </c>
      <c r="N268" s="5">
        <v>1859</v>
      </c>
      <c r="O268" s="5">
        <v>1649</v>
      </c>
      <c r="P268" s="5">
        <v>1555</v>
      </c>
      <c r="Q268" s="5">
        <v>1550</v>
      </c>
      <c r="R268" s="5">
        <v>1261</v>
      </c>
    </row>
    <row r="269" spans="2:19" x14ac:dyDescent="0.35">
      <c r="B269" s="2" t="s">
        <v>50</v>
      </c>
      <c r="C269" s="6"/>
      <c r="D269" s="5">
        <v>455</v>
      </c>
      <c r="E269" s="5">
        <f>1234+58</f>
        <v>1292</v>
      </c>
      <c r="F269" s="5">
        <f>607+1516</f>
        <v>2123</v>
      </c>
      <c r="G269" s="5">
        <v>170</v>
      </c>
      <c r="H269" s="6">
        <f t="shared" ref="H269:P269" si="130">H251</f>
        <v>0</v>
      </c>
      <c r="I269" s="6">
        <f t="shared" si="130"/>
        <v>0</v>
      </c>
      <c r="J269" s="6">
        <f t="shared" si="130"/>
        <v>0</v>
      </c>
      <c r="K269" s="6">
        <f t="shared" si="130"/>
        <v>0</v>
      </c>
      <c r="L269" s="6">
        <f t="shared" si="130"/>
        <v>0</v>
      </c>
      <c r="M269" s="6">
        <f t="shared" si="130"/>
        <v>0</v>
      </c>
      <c r="N269" s="6">
        <f t="shared" si="130"/>
        <v>0</v>
      </c>
      <c r="O269" s="6">
        <f t="shared" si="130"/>
        <v>0</v>
      </c>
      <c r="P269" s="6">
        <f t="shared" si="130"/>
        <v>0</v>
      </c>
      <c r="Q269" s="6">
        <f>Q251</f>
        <v>50</v>
      </c>
      <c r="R269" s="6">
        <f t="shared" ref="R269" si="131">R251</f>
        <v>0</v>
      </c>
    </row>
    <row r="270" spans="2:19" x14ac:dyDescent="0.35">
      <c r="B270" s="2" t="s">
        <v>22</v>
      </c>
      <c r="C270" s="6"/>
      <c r="D270" s="5">
        <v>3096</v>
      </c>
      <c r="E270" s="5">
        <v>3683</v>
      </c>
      <c r="F270" s="5">
        <v>6173</v>
      </c>
      <c r="G270" s="5">
        <v>469</v>
      </c>
      <c r="H270" s="5">
        <v>217</v>
      </c>
      <c r="I270" s="5">
        <v>405</v>
      </c>
      <c r="J270" s="5">
        <v>570</v>
      </c>
      <c r="K270" s="6">
        <f>K248</f>
        <v>457</v>
      </c>
      <c r="L270" s="6">
        <f t="shared" ref="L270:R270" si="132">L248</f>
        <v>707</v>
      </c>
      <c r="M270" s="6">
        <f t="shared" si="132"/>
        <v>917</v>
      </c>
      <c r="N270" s="6">
        <f t="shared" si="132"/>
        <v>1148</v>
      </c>
      <c r="O270" s="6">
        <f t="shared" si="132"/>
        <v>918</v>
      </c>
      <c r="P270" s="6">
        <f t="shared" si="132"/>
        <v>998</v>
      </c>
      <c r="Q270" s="6">
        <f t="shared" si="132"/>
        <v>1439</v>
      </c>
      <c r="R270" s="6">
        <f t="shared" si="132"/>
        <v>241</v>
      </c>
    </row>
    <row r="271" spans="2:19" x14ac:dyDescent="0.35">
      <c r="B271" s="2" t="s">
        <v>51</v>
      </c>
      <c r="C271" s="6"/>
      <c r="D271" s="5">
        <v>-508</v>
      </c>
      <c r="E271" s="5">
        <v>1825</v>
      </c>
      <c r="F271" s="5">
        <v>-192</v>
      </c>
      <c r="G271" s="5">
        <v>-1014</v>
      </c>
      <c r="H271" s="5">
        <v>-459</v>
      </c>
      <c r="I271" s="5">
        <v>-527</v>
      </c>
      <c r="J271" s="6">
        <f>-J243</f>
        <v>-55</v>
      </c>
      <c r="K271" s="6">
        <f t="shared" ref="K271:R271" si="133">-K243</f>
        <v>-7</v>
      </c>
      <c r="L271" s="6">
        <f t="shared" si="133"/>
        <v>-45</v>
      </c>
      <c r="M271" s="6">
        <f t="shared" si="133"/>
        <v>-11</v>
      </c>
      <c r="N271" s="6">
        <f t="shared" si="133"/>
        <v>-68</v>
      </c>
      <c r="O271" s="6">
        <f t="shared" si="133"/>
        <v>-25</v>
      </c>
      <c r="P271" s="6">
        <f t="shared" si="133"/>
        <v>-28</v>
      </c>
      <c r="Q271" s="6">
        <f t="shared" si="133"/>
        <v>-110</v>
      </c>
      <c r="R271" s="6">
        <f t="shared" si="133"/>
        <v>-87</v>
      </c>
    </row>
    <row r="272" spans="2:19" x14ac:dyDescent="0.35">
      <c r="B272" s="2" t="s">
        <v>52</v>
      </c>
      <c r="C272" s="6"/>
      <c r="D272" s="5">
        <v>737</v>
      </c>
      <c r="E272" s="5">
        <v>1203</v>
      </c>
      <c r="F272" s="5">
        <v>-2</v>
      </c>
      <c r="G272" s="5">
        <v>-520</v>
      </c>
      <c r="H272" s="5">
        <v>-294</v>
      </c>
      <c r="I272" s="5">
        <v>-177</v>
      </c>
      <c r="J272" s="5">
        <v>-182</v>
      </c>
      <c r="K272" s="6">
        <f>-K245</f>
        <v>-181</v>
      </c>
      <c r="L272" s="6">
        <f t="shared" ref="L272:R272" si="134">-L245</f>
        <v>-155</v>
      </c>
      <c r="M272" s="6">
        <f t="shared" si="134"/>
        <v>-185</v>
      </c>
      <c r="N272" s="6">
        <f t="shared" si="134"/>
        <v>-102</v>
      </c>
      <c r="O272" s="6">
        <f t="shared" si="134"/>
        <v>43</v>
      </c>
      <c r="P272" s="6">
        <f t="shared" si="134"/>
        <v>-238</v>
      </c>
      <c r="Q272" s="6">
        <f t="shared" si="134"/>
        <v>-308</v>
      </c>
      <c r="R272" s="6">
        <f t="shared" si="134"/>
        <v>-280</v>
      </c>
    </row>
    <row r="273" spans="2:18" x14ac:dyDescent="0.35">
      <c r="B273" s="2" t="s">
        <v>12</v>
      </c>
      <c r="C273" s="5"/>
      <c r="D273" s="5">
        <v>1260</v>
      </c>
      <c r="E273" s="5">
        <v>2250</v>
      </c>
      <c r="F273" s="5">
        <v>142</v>
      </c>
      <c r="G273" s="5">
        <v>872</v>
      </c>
      <c r="H273" s="5">
        <v>1606</v>
      </c>
      <c r="I273" s="5">
        <f>677+1192-28</f>
        <v>1841</v>
      </c>
      <c r="J273" s="5">
        <f>-666-600+101</f>
        <v>-1165</v>
      </c>
      <c r="K273" s="5">
        <f>7-150</f>
        <v>-143</v>
      </c>
      <c r="L273" s="5">
        <v>-452</v>
      </c>
      <c r="M273" s="5">
        <v>0</v>
      </c>
      <c r="N273" s="5">
        <v>0</v>
      </c>
      <c r="O273" s="5">
        <v>7</v>
      </c>
      <c r="P273" s="5">
        <v>-5</v>
      </c>
      <c r="Q273" s="5">
        <v>1</v>
      </c>
      <c r="R273" s="5">
        <v>-5</v>
      </c>
    </row>
    <row r="274" spans="2:18" x14ac:dyDescent="0.35">
      <c r="B274" s="2" t="s">
        <v>53</v>
      </c>
      <c r="C274" s="6"/>
      <c r="D274" s="5">
        <v>-563</v>
      </c>
      <c r="E274" s="5">
        <v>-12628</v>
      </c>
      <c r="F274" s="5">
        <v>-665</v>
      </c>
      <c r="G274" s="5">
        <v>123</v>
      </c>
      <c r="H274" s="6">
        <f>-H244</f>
        <v>64</v>
      </c>
      <c r="I274" s="6">
        <f t="shared" ref="I274:R274" si="135">-I244</f>
        <v>148</v>
      </c>
      <c r="J274" s="6">
        <f t="shared" si="135"/>
        <v>59</v>
      </c>
      <c r="K274" s="6">
        <f t="shared" si="135"/>
        <v>202</v>
      </c>
      <c r="L274" s="6">
        <f t="shared" si="135"/>
        <v>357</v>
      </c>
      <c r="M274" s="6">
        <f t="shared" si="135"/>
        <v>0</v>
      </c>
      <c r="N274" s="6">
        <f t="shared" si="135"/>
        <v>0</v>
      </c>
      <c r="O274" s="6">
        <f t="shared" si="135"/>
        <v>1</v>
      </c>
      <c r="P274" s="6">
        <f t="shared" si="135"/>
        <v>2</v>
      </c>
      <c r="Q274" s="6">
        <f t="shared" si="135"/>
        <v>102</v>
      </c>
      <c r="R274" s="6">
        <f t="shared" si="135"/>
        <v>136</v>
      </c>
    </row>
    <row r="275" spans="2:18" x14ac:dyDescent="0.35">
      <c r="B275" s="2" t="s">
        <v>54</v>
      </c>
      <c r="C275" s="5"/>
      <c r="D275" s="5">
        <v>-128576</v>
      </c>
      <c r="E275" s="5">
        <v>-132023</v>
      </c>
      <c r="F275" s="5">
        <v>-88283</v>
      </c>
      <c r="G275" s="5">
        <v>-73823</v>
      </c>
      <c r="H275" s="5">
        <v>-60270</v>
      </c>
      <c r="I275" s="5">
        <v>-33075</v>
      </c>
      <c r="J275" s="5">
        <v>-6235</v>
      </c>
      <c r="K275" s="5">
        <v>0</v>
      </c>
      <c r="L275" s="5">
        <v>-1770</v>
      </c>
      <c r="M275" s="5">
        <v>-141</v>
      </c>
      <c r="N275" s="5">
        <v>-414</v>
      </c>
      <c r="O275" s="5">
        <v>-1016</v>
      </c>
      <c r="P275" s="5">
        <v>-1276</v>
      </c>
      <c r="Q275" s="5">
        <v>-3199</v>
      </c>
      <c r="R275" s="5">
        <v>-4255</v>
      </c>
    </row>
    <row r="276" spans="2:18" x14ac:dyDescent="0.35">
      <c r="B276" s="2" t="s">
        <v>55</v>
      </c>
      <c r="C276" s="5"/>
      <c r="D276" s="5">
        <v>121620</v>
      </c>
      <c r="E276" s="5">
        <v>141312</v>
      </c>
      <c r="F276" s="5">
        <v>78673</v>
      </c>
      <c r="G276" s="5">
        <v>80093</v>
      </c>
      <c r="H276" s="5">
        <v>61187</v>
      </c>
      <c r="I276" s="5">
        <v>34073</v>
      </c>
      <c r="J276" s="5">
        <v>8696</v>
      </c>
      <c r="K276" s="5">
        <v>62</v>
      </c>
      <c r="L276" s="5">
        <v>1658</v>
      </c>
      <c r="M276" s="5">
        <v>240</v>
      </c>
      <c r="N276" s="5">
        <v>310</v>
      </c>
      <c r="O276" s="5">
        <v>948</v>
      </c>
      <c r="P276" s="5">
        <v>1288</v>
      </c>
      <c r="Q276" s="5">
        <v>3161</v>
      </c>
      <c r="R276" s="5">
        <v>4107</v>
      </c>
    </row>
    <row r="277" spans="2:18" x14ac:dyDescent="0.35">
      <c r="B277" s="3" t="s">
        <v>56</v>
      </c>
      <c r="C277" s="4"/>
      <c r="D277" s="4">
        <f t="shared" ref="D277:R277" si="136">SUM(D267:D276)</f>
        <v>1187</v>
      </c>
      <c r="E277" s="4">
        <f t="shared" si="136"/>
        <v>15504</v>
      </c>
      <c r="F277" s="4">
        <f t="shared" si="136"/>
        <v>-6371</v>
      </c>
      <c r="G277" s="4">
        <f t="shared" si="136"/>
        <v>11545</v>
      </c>
      <c r="H277" s="4">
        <f t="shared" si="136"/>
        <v>4607</v>
      </c>
      <c r="I277" s="4">
        <f t="shared" si="136"/>
        <v>6265</v>
      </c>
      <c r="J277" s="4">
        <f t="shared" si="136"/>
        <v>4913</v>
      </c>
      <c r="K277" s="4">
        <f t="shared" si="136"/>
        <v>4476</v>
      </c>
      <c r="L277" s="4">
        <f t="shared" si="136"/>
        <v>4390</v>
      </c>
      <c r="M277" s="4">
        <f t="shared" si="136"/>
        <v>4269</v>
      </c>
      <c r="N277" s="4">
        <f t="shared" si="136"/>
        <v>3662</v>
      </c>
      <c r="O277" s="4">
        <f t="shared" si="136"/>
        <v>3788</v>
      </c>
      <c r="P277" s="4">
        <f t="shared" si="136"/>
        <v>4011</v>
      </c>
      <c r="Q277" s="4">
        <f t="shared" si="136"/>
        <v>3771</v>
      </c>
      <c r="R277" s="4">
        <f t="shared" si="136"/>
        <v>4178</v>
      </c>
    </row>
    <row r="278" spans="2:18" x14ac:dyDescent="0.35">
      <c r="B278" s="2" t="s">
        <v>57</v>
      </c>
      <c r="C278" s="5"/>
      <c r="D278" s="5">
        <f>628+95-332-121+686-683</f>
        <v>273</v>
      </c>
      <c r="E278" s="5">
        <f>741-396-651-1213+178-68</f>
        <v>-1409</v>
      </c>
      <c r="F278" s="5">
        <f>734-402+83+3711-1473-1414</f>
        <v>1239</v>
      </c>
      <c r="G278" s="5">
        <f>-39-272+177+1240-504-540</f>
        <v>62</v>
      </c>
      <c r="H278" s="5">
        <f>-483-198-98-311+1390+586</f>
        <v>886</v>
      </c>
      <c r="I278" s="5">
        <f>595-1491-311+802-595-216</f>
        <v>-1216</v>
      </c>
      <c r="J278" s="5">
        <f>-671-39+2592-3860-434</f>
        <v>-2412</v>
      </c>
      <c r="K278" s="5">
        <f>117-411-132-400-247</f>
        <v>-1073</v>
      </c>
      <c r="L278" s="5">
        <f>565-127+526-247+4</f>
        <v>721</v>
      </c>
      <c r="M278" s="5">
        <f>458+1-120-206+165</f>
        <v>298</v>
      </c>
      <c r="N278" s="5">
        <f>534+24-153-69+81</f>
        <v>417</v>
      </c>
      <c r="O278" s="5">
        <f>330+148-87+2-31</f>
        <v>362</v>
      </c>
      <c r="P278" s="5">
        <f>179+118-28-177-53</f>
        <v>39</v>
      </c>
      <c r="Q278" s="5">
        <f>242-229+15+33-93</f>
        <v>-32</v>
      </c>
      <c r="R278" s="5">
        <f>120-204-302+356-106</f>
        <v>-136</v>
      </c>
    </row>
    <row r="279" spans="2:18" x14ac:dyDescent="0.35">
      <c r="B279" s="3" t="s">
        <v>58</v>
      </c>
      <c r="C279" s="4"/>
      <c r="D279" s="4">
        <f t="shared" ref="D279" si="137">SUM(D277:D278)</f>
        <v>1460</v>
      </c>
      <c r="E279" s="4">
        <f t="shared" ref="E279:R279" si="138">SUM(E277:E278)</f>
        <v>14095</v>
      </c>
      <c r="F279" s="4">
        <f t="shared" si="138"/>
        <v>-5132</v>
      </c>
      <c r="G279" s="4">
        <f t="shared" si="138"/>
        <v>11607</v>
      </c>
      <c r="H279" s="4">
        <f t="shared" si="138"/>
        <v>5493</v>
      </c>
      <c r="I279" s="4">
        <f t="shared" si="138"/>
        <v>5049</v>
      </c>
      <c r="J279" s="4">
        <f t="shared" si="138"/>
        <v>2501</v>
      </c>
      <c r="K279" s="4">
        <f t="shared" si="138"/>
        <v>3403</v>
      </c>
      <c r="L279" s="4">
        <f t="shared" si="138"/>
        <v>5111</v>
      </c>
      <c r="M279" s="4">
        <f t="shared" si="138"/>
        <v>4567</v>
      </c>
      <c r="N279" s="4">
        <f t="shared" si="138"/>
        <v>4079</v>
      </c>
      <c r="O279" s="4">
        <f t="shared" si="138"/>
        <v>4150</v>
      </c>
      <c r="P279" s="4">
        <f t="shared" si="138"/>
        <v>4050</v>
      </c>
      <c r="Q279" s="4">
        <f t="shared" si="138"/>
        <v>3739</v>
      </c>
      <c r="R279" s="4">
        <f t="shared" si="138"/>
        <v>4042</v>
      </c>
    </row>
    <row r="281" spans="2:18" x14ac:dyDescent="0.35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2:18" x14ac:dyDescent="0.35">
      <c r="B282" s="2" t="s">
        <v>59</v>
      </c>
      <c r="C282" s="5"/>
      <c r="D282" s="8" t="s">
        <v>24</v>
      </c>
      <c r="E282" s="8" t="s">
        <v>24</v>
      </c>
      <c r="F282" s="8" t="s">
        <v>24</v>
      </c>
      <c r="G282" s="8" t="s">
        <v>24</v>
      </c>
      <c r="H282" s="8" t="s">
        <v>24</v>
      </c>
      <c r="I282" s="8" t="s">
        <v>24</v>
      </c>
      <c r="J282" s="8" t="s">
        <v>24</v>
      </c>
      <c r="K282" s="8" t="s">
        <v>24</v>
      </c>
      <c r="L282" s="8" t="s">
        <v>24</v>
      </c>
      <c r="M282" s="5">
        <v>-470</v>
      </c>
      <c r="N282" s="5">
        <v>-899</v>
      </c>
      <c r="O282" s="5">
        <v>-1076</v>
      </c>
      <c r="P282" s="5">
        <v>-498</v>
      </c>
      <c r="Q282" s="5">
        <v>-1219</v>
      </c>
      <c r="R282" s="5">
        <v>-1346</v>
      </c>
    </row>
    <row r="283" spans="2:18" x14ac:dyDescent="0.35">
      <c r="B283" s="2" t="s">
        <v>60</v>
      </c>
      <c r="C283" s="5"/>
      <c r="D283" s="8" t="s">
        <v>24</v>
      </c>
      <c r="E283" s="8" t="s">
        <v>24</v>
      </c>
      <c r="F283" s="8" t="s">
        <v>24</v>
      </c>
      <c r="G283" s="8" t="s">
        <v>24</v>
      </c>
      <c r="H283" s="8" t="s">
        <v>24</v>
      </c>
      <c r="I283" s="8" t="s">
        <v>24</v>
      </c>
      <c r="J283" s="8" t="s">
        <v>24</v>
      </c>
      <c r="K283" s="8" t="s">
        <v>24</v>
      </c>
      <c r="L283" s="8" t="s">
        <v>24</v>
      </c>
      <c r="M283" s="5">
        <v>680</v>
      </c>
      <c r="N283" s="5">
        <v>1049</v>
      </c>
      <c r="O283" s="5">
        <v>787</v>
      </c>
      <c r="P283" s="5">
        <v>814</v>
      </c>
      <c r="Q283" s="5">
        <v>1087</v>
      </c>
      <c r="R283" s="5">
        <v>1508</v>
      </c>
    </row>
    <row r="284" spans="2:18" x14ac:dyDescent="0.35">
      <c r="B284" s="2" t="s">
        <v>61</v>
      </c>
      <c r="C284" s="5"/>
      <c r="D284" s="5">
        <v>-16682</v>
      </c>
      <c r="E284" s="5">
        <v>-16202</v>
      </c>
      <c r="F284" s="5">
        <v>-21148</v>
      </c>
      <c r="G284" s="5">
        <v>-24116</v>
      </c>
      <c r="H284" s="5">
        <v>-19377</v>
      </c>
      <c r="I284" s="5">
        <v>-12816</v>
      </c>
      <c r="J284" s="5">
        <v>-12304</v>
      </c>
      <c r="K284" s="5">
        <v>-5417</v>
      </c>
      <c r="L284" s="5">
        <v>-12250</v>
      </c>
      <c r="M284" s="5">
        <v>-15561</v>
      </c>
      <c r="N284" s="5">
        <v>-10335</v>
      </c>
      <c r="O284" s="5">
        <v>-7868</v>
      </c>
      <c r="P284" s="5">
        <v>-15199</v>
      </c>
      <c r="Q284" s="5">
        <v>-17377</v>
      </c>
      <c r="R284" s="5">
        <v>-21557</v>
      </c>
    </row>
    <row r="285" spans="2:18" x14ac:dyDescent="0.35">
      <c r="B285" s="2" t="s">
        <v>62</v>
      </c>
      <c r="C285" s="5"/>
      <c r="D285" s="5">
        <v>8049</v>
      </c>
      <c r="E285" s="5">
        <v>14068</v>
      </c>
      <c r="F285" s="5">
        <v>10153</v>
      </c>
      <c r="G285" s="5">
        <v>17872</v>
      </c>
      <c r="H285" s="5">
        <v>14232</v>
      </c>
      <c r="I285" s="5">
        <v>7662</v>
      </c>
      <c r="J285" s="5">
        <v>3627</v>
      </c>
      <c r="K285" s="5">
        <v>4260</v>
      </c>
      <c r="L285" s="5">
        <v>6874</v>
      </c>
      <c r="M285" s="5">
        <v>10356</v>
      </c>
      <c r="N285" s="5">
        <v>3584</v>
      </c>
      <c r="O285" s="5">
        <v>852</v>
      </c>
      <c r="P285" s="5">
        <v>7079</v>
      </c>
      <c r="Q285" s="5">
        <v>6563</v>
      </c>
      <c r="R285" s="5">
        <v>5745</v>
      </c>
    </row>
    <row r="286" spans="2:18" x14ac:dyDescent="0.35">
      <c r="B286" s="2" t="s">
        <v>63</v>
      </c>
      <c r="C286" s="5"/>
      <c r="D286" s="5">
        <v>8080</v>
      </c>
      <c r="E286" s="5">
        <v>7502</v>
      </c>
      <c r="F286" s="5">
        <v>4527</v>
      </c>
      <c r="G286" s="5">
        <v>4527</v>
      </c>
      <c r="H286" s="5">
        <v>4965</v>
      </c>
      <c r="I286" s="5">
        <v>5673</v>
      </c>
      <c r="J286" s="5">
        <v>5509</v>
      </c>
      <c r="K286" s="5">
        <v>2657</v>
      </c>
      <c r="L286" s="5">
        <v>4255</v>
      </c>
      <c r="M286" s="5">
        <v>3379</v>
      </c>
      <c r="N286" s="5">
        <v>2899</v>
      </c>
      <c r="O286" s="5">
        <v>3215</v>
      </c>
      <c r="P286" s="5">
        <v>5154</v>
      </c>
      <c r="Q286" s="5">
        <v>11903</v>
      </c>
      <c r="R286" s="5">
        <v>10724</v>
      </c>
    </row>
    <row r="287" spans="2:18" x14ac:dyDescent="0.35">
      <c r="B287" s="2" t="s">
        <v>64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-841</v>
      </c>
      <c r="N287" s="5">
        <v>-1026</v>
      </c>
      <c r="O287" s="5">
        <v>-578</v>
      </c>
      <c r="P287" s="5">
        <v>-514</v>
      </c>
      <c r="Q287" s="5">
        <v>-154</v>
      </c>
      <c r="R287" s="5">
        <v>-292</v>
      </c>
    </row>
    <row r="288" spans="2:18" x14ac:dyDescent="0.35">
      <c r="B288" s="2" t="s">
        <v>65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68</v>
      </c>
      <c r="O288" s="5">
        <v>147</v>
      </c>
      <c r="P288" s="5">
        <v>302</v>
      </c>
      <c r="Q288" s="5">
        <v>457</v>
      </c>
      <c r="R288" s="5">
        <v>372</v>
      </c>
    </row>
    <row r="289" spans="2:18" x14ac:dyDescent="0.35">
      <c r="B289" s="2" t="s">
        <v>66</v>
      </c>
      <c r="C289" s="5"/>
      <c r="D289" s="8" t="s">
        <v>24</v>
      </c>
      <c r="E289" s="8" t="s">
        <v>24</v>
      </c>
      <c r="F289" s="8" t="s">
        <v>24</v>
      </c>
      <c r="G289" s="8" t="s">
        <v>24</v>
      </c>
      <c r="H289" s="8" t="s">
        <v>24</v>
      </c>
      <c r="I289" s="8" t="s">
        <v>24</v>
      </c>
      <c r="J289" s="8" t="s">
        <v>24</v>
      </c>
      <c r="K289" s="8" t="s">
        <v>24</v>
      </c>
      <c r="L289" s="5">
        <v>-4501</v>
      </c>
      <c r="M289" s="5">
        <v>-3859</v>
      </c>
      <c r="N289" s="5">
        <v>-5452</v>
      </c>
      <c r="O289" s="5">
        <v>-5693</v>
      </c>
      <c r="P289" s="5">
        <v>-4439</v>
      </c>
      <c r="Q289" s="5">
        <v>-7020</v>
      </c>
      <c r="R289" s="5">
        <v>-6756</v>
      </c>
    </row>
    <row r="290" spans="2:18" x14ac:dyDescent="0.35">
      <c r="B290" s="2" t="s">
        <v>67</v>
      </c>
      <c r="C290" s="5"/>
      <c r="D290" s="5">
        <v>70903</v>
      </c>
      <c r="E290" s="5">
        <v>1366</v>
      </c>
      <c r="F290" s="5">
        <v>260</v>
      </c>
      <c r="G290" s="5">
        <v>3138</v>
      </c>
      <c r="H290" s="5">
        <v>2868</v>
      </c>
      <c r="I290" s="5">
        <v>2332</v>
      </c>
      <c r="J290" s="5">
        <v>0</v>
      </c>
      <c r="K290" s="5">
        <v>2592</v>
      </c>
      <c r="L290" s="5">
        <v>3197</v>
      </c>
      <c r="M290" s="5">
        <v>4285</v>
      </c>
      <c r="N290" s="5">
        <v>1339</v>
      </c>
      <c r="O290" s="5">
        <v>91</v>
      </c>
      <c r="P290" s="5">
        <v>1038</v>
      </c>
      <c r="Q290" s="5">
        <v>506</v>
      </c>
      <c r="R290" s="5">
        <v>376</v>
      </c>
    </row>
    <row r="291" spans="2:18" x14ac:dyDescent="0.35">
      <c r="B291" s="2" t="s">
        <v>68</v>
      </c>
      <c r="C291" s="5"/>
      <c r="D291" s="5">
        <v>-41972</v>
      </c>
      <c r="E291" s="5">
        <v>5570</v>
      </c>
      <c r="F291" s="5">
        <v>15062</v>
      </c>
      <c r="G291" s="5">
        <v>-17344</v>
      </c>
      <c r="H291" s="5">
        <v>-16998</v>
      </c>
      <c r="I291" s="5">
        <v>-11943</v>
      </c>
      <c r="J291" s="5">
        <v>-2479</v>
      </c>
      <c r="K291" s="5">
        <v>-5024</v>
      </c>
      <c r="L291" s="5">
        <v>-9344</v>
      </c>
      <c r="M291" s="5">
        <v>-8826</v>
      </c>
      <c r="N291" s="5">
        <v>-1063</v>
      </c>
      <c r="O291" s="5">
        <v>-3245</v>
      </c>
      <c r="P291" s="5">
        <v>4252</v>
      </c>
      <c r="Q291" s="5">
        <v>15353</v>
      </c>
      <c r="R291" s="5">
        <v>2896</v>
      </c>
    </row>
    <row r="292" spans="2:18" x14ac:dyDescent="0.35">
      <c r="B292" s="2" t="s">
        <v>69</v>
      </c>
      <c r="C292" s="5"/>
      <c r="D292" s="5">
        <v>-17268</v>
      </c>
      <c r="E292" s="5">
        <v>-10544</v>
      </c>
      <c r="F292" s="5">
        <v>-732</v>
      </c>
      <c r="G292" s="5">
        <v>-3551</v>
      </c>
      <c r="H292" s="5">
        <v>-6528</v>
      </c>
      <c r="I292" s="5">
        <v>-7444</v>
      </c>
      <c r="J292" s="5">
        <v>-9196</v>
      </c>
      <c r="K292" s="5">
        <v>-9884</v>
      </c>
      <c r="L292" s="5">
        <v>-4685</v>
      </c>
      <c r="M292" s="5">
        <v>-3274</v>
      </c>
      <c r="N292" s="5">
        <v>-4052</v>
      </c>
      <c r="O292" s="5">
        <v>-3709</v>
      </c>
      <c r="P292" s="5">
        <v>-4023</v>
      </c>
      <c r="Q292" s="5">
        <v>-4320</v>
      </c>
      <c r="R292" s="5">
        <v>-5120</v>
      </c>
    </row>
    <row r="293" spans="2:18" x14ac:dyDescent="0.35">
      <c r="B293" s="2" t="s">
        <v>70</v>
      </c>
      <c r="C293" s="5"/>
      <c r="D293" s="5">
        <v>5472</v>
      </c>
      <c r="E293" s="5">
        <v>7633</v>
      </c>
      <c r="F293" s="5">
        <v>6612</v>
      </c>
      <c r="G293" s="5">
        <v>8627</v>
      </c>
      <c r="H293" s="5">
        <v>5517</v>
      </c>
      <c r="I293" s="5">
        <v>1745</v>
      </c>
      <c r="J293" s="5">
        <v>2964</v>
      </c>
      <c r="K293" s="5">
        <v>5860</v>
      </c>
      <c r="L293" s="5">
        <v>5546</v>
      </c>
      <c r="M293" s="5">
        <v>6304</v>
      </c>
      <c r="N293" s="5">
        <v>5567</v>
      </c>
      <c r="O293" s="5">
        <v>3089</v>
      </c>
      <c r="P293" s="5">
        <v>2625</v>
      </c>
      <c r="Q293" s="5">
        <v>2681</v>
      </c>
      <c r="R293" s="5">
        <v>3438</v>
      </c>
    </row>
    <row r="294" spans="2:18" x14ac:dyDescent="0.35">
      <c r="B294" s="2" t="s">
        <v>71</v>
      </c>
      <c r="C294" s="5"/>
      <c r="D294" s="5">
        <f>-209+15</f>
        <v>-194</v>
      </c>
      <c r="E294" s="5">
        <v>319</v>
      </c>
      <c r="F294" s="5">
        <v>296</v>
      </c>
      <c r="G294" s="5">
        <v>161</v>
      </c>
      <c r="H294" s="5">
        <v>50</v>
      </c>
      <c r="I294" s="5">
        <v>516</v>
      </c>
      <c r="J294" s="5">
        <v>7444</v>
      </c>
      <c r="K294" s="5">
        <v>47</v>
      </c>
      <c r="L294" s="5">
        <v>1049</v>
      </c>
      <c r="M294" s="5">
        <v>-309</v>
      </c>
      <c r="N294" s="5">
        <v>0</v>
      </c>
      <c r="O294" s="5">
        <v>0</v>
      </c>
      <c r="P294" s="5">
        <v>-171</v>
      </c>
      <c r="Q294" s="5">
        <v>0</v>
      </c>
      <c r="R294" s="5">
        <v>-699</v>
      </c>
    </row>
    <row r="295" spans="2:18" x14ac:dyDescent="0.35">
      <c r="B295" s="2" t="s">
        <v>72</v>
      </c>
      <c r="C295" s="5"/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-147</v>
      </c>
      <c r="M295" s="5">
        <v>-628</v>
      </c>
      <c r="N295" s="5">
        <v>-187</v>
      </c>
      <c r="O295" s="5">
        <v>-181</v>
      </c>
      <c r="P295" s="5">
        <v>190</v>
      </c>
      <c r="Q295" s="5">
        <v>417</v>
      </c>
      <c r="R295" s="5">
        <v>56</v>
      </c>
    </row>
    <row r="296" spans="2:18" x14ac:dyDescent="0.35">
      <c r="B296" s="2" t="s">
        <v>12</v>
      </c>
      <c r="C296" s="5"/>
      <c r="D296" s="5">
        <f>1157+561+138</f>
        <v>1856</v>
      </c>
      <c r="E296" s="5">
        <f>471-62+797</f>
        <v>1206</v>
      </c>
      <c r="F296" s="5">
        <v>2098</v>
      </c>
      <c r="G296" s="5">
        <v>3119</v>
      </c>
      <c r="H296" s="5">
        <f>346+797</f>
        <v>1143</v>
      </c>
      <c r="I296" s="5">
        <f>-1698-43-539</f>
        <v>-2280</v>
      </c>
      <c r="J296" s="5">
        <f>51+911-70</f>
        <v>892</v>
      </c>
      <c r="K296" s="5">
        <f>72+1625</f>
        <v>1697</v>
      </c>
      <c r="L296" s="5">
        <v>3</v>
      </c>
      <c r="M296" s="5">
        <v>-306</v>
      </c>
      <c r="N296" s="5">
        <v>-219</v>
      </c>
      <c r="O296" s="5">
        <v>-340</v>
      </c>
      <c r="P296" s="5">
        <v>-379</v>
      </c>
      <c r="Q296" s="5">
        <v>-450</v>
      </c>
      <c r="R296" s="5">
        <v>-443</v>
      </c>
    </row>
    <row r="297" spans="2:18" x14ac:dyDescent="0.35">
      <c r="B297" s="3" t="s">
        <v>73</v>
      </c>
      <c r="C297" s="4"/>
      <c r="D297" s="4">
        <f t="shared" ref="D297" si="139">SUM(D282:D296)</f>
        <v>18244</v>
      </c>
      <c r="E297" s="4">
        <f t="shared" ref="E297:O297" si="140">SUM(E282:E296)</f>
        <v>10918</v>
      </c>
      <c r="F297" s="4">
        <f t="shared" si="140"/>
        <v>17128</v>
      </c>
      <c r="G297" s="4">
        <f t="shared" si="140"/>
        <v>-7567</v>
      </c>
      <c r="H297" s="4">
        <f t="shared" si="140"/>
        <v>-14128</v>
      </c>
      <c r="I297" s="4">
        <f t="shared" si="140"/>
        <v>-16555</v>
      </c>
      <c r="J297" s="4">
        <f t="shared" si="140"/>
        <v>-3543</v>
      </c>
      <c r="K297" s="4">
        <f t="shared" si="140"/>
        <v>-3212</v>
      </c>
      <c r="L297" s="4">
        <f t="shared" si="140"/>
        <v>-10003</v>
      </c>
      <c r="M297" s="4">
        <f t="shared" si="140"/>
        <v>-9070</v>
      </c>
      <c r="N297" s="4">
        <f t="shared" si="140"/>
        <v>-8727</v>
      </c>
      <c r="O297" s="4">
        <f t="shared" si="140"/>
        <v>-14509</v>
      </c>
      <c r="P297" s="4">
        <f>SUM(P282:P296)</f>
        <v>-3769</v>
      </c>
      <c r="Q297" s="4">
        <f t="shared" ref="Q297:R297" si="141">SUM(Q282:Q296)</f>
        <v>8427</v>
      </c>
      <c r="R297" s="4">
        <f t="shared" si="141"/>
        <v>-11098</v>
      </c>
    </row>
    <row r="299" spans="2:18" x14ac:dyDescent="0.35">
      <c r="B299" s="2" t="s">
        <v>74</v>
      </c>
      <c r="C299" s="5"/>
      <c r="D299" s="5">
        <v>-9248</v>
      </c>
      <c r="E299" s="5">
        <v>-22815</v>
      </c>
      <c r="F299" s="5">
        <v>-338</v>
      </c>
      <c r="G299" s="5">
        <v>-3629</v>
      </c>
      <c r="H299" s="5">
        <v>514</v>
      </c>
      <c r="I299" s="5">
        <v>2694</v>
      </c>
      <c r="J299" s="5">
        <v>1591</v>
      </c>
      <c r="K299" s="5">
        <v>-1494</v>
      </c>
      <c r="L299" s="5">
        <v>1028</v>
      </c>
      <c r="M299" s="5">
        <v>4564</v>
      </c>
      <c r="N299" s="5">
        <v>-1263</v>
      </c>
      <c r="O299" s="5">
        <v>-1426</v>
      </c>
      <c r="P299" s="5">
        <v>-4456</v>
      </c>
      <c r="Q299" s="5">
        <v>-3395</v>
      </c>
      <c r="R299" s="5">
        <v>-2136</v>
      </c>
    </row>
    <row r="300" spans="2:18" x14ac:dyDescent="0.35">
      <c r="B300" s="2" t="s">
        <v>75</v>
      </c>
      <c r="C300" s="5"/>
      <c r="D300" s="5">
        <v>3078</v>
      </c>
      <c r="E300" s="5">
        <v>6447</v>
      </c>
      <c r="F300" s="5">
        <v>10703</v>
      </c>
      <c r="G300" s="5">
        <v>6556</v>
      </c>
      <c r="H300" s="5">
        <v>6074</v>
      </c>
      <c r="I300" s="5">
        <v>6653</v>
      </c>
      <c r="J300" s="5">
        <v>5357</v>
      </c>
      <c r="K300" s="5">
        <v>4851</v>
      </c>
      <c r="L300" s="5">
        <v>8247</v>
      </c>
      <c r="M300" s="5">
        <v>12508</v>
      </c>
      <c r="N300" s="5">
        <v>14172</v>
      </c>
      <c r="O300" s="5">
        <v>12867</v>
      </c>
      <c r="P300" s="5">
        <v>14547</v>
      </c>
      <c r="Q300" s="5">
        <v>16262</v>
      </c>
      <c r="R300" s="5">
        <v>4511</v>
      </c>
    </row>
    <row r="301" spans="2:18" x14ac:dyDescent="0.35">
      <c r="B301" s="2" t="s">
        <v>76</v>
      </c>
      <c r="C301" s="5"/>
      <c r="D301" s="5">
        <v>70230</v>
      </c>
      <c r="E301" s="5">
        <v>44724</v>
      </c>
      <c r="F301" s="5">
        <v>30679</v>
      </c>
      <c r="G301" s="5">
        <v>39002</v>
      </c>
      <c r="H301" s="5">
        <v>44754</v>
      </c>
      <c r="I301" s="5">
        <v>39401</v>
      </c>
      <c r="J301" s="5">
        <v>27330</v>
      </c>
      <c r="K301" s="5">
        <v>27192</v>
      </c>
      <c r="L301" s="5">
        <v>30665</v>
      </c>
      <c r="M301" s="5">
        <v>14155</v>
      </c>
      <c r="N301" s="5">
        <v>17969</v>
      </c>
      <c r="O301" s="5">
        <v>18401</v>
      </c>
      <c r="P301" s="5">
        <v>6915</v>
      </c>
      <c r="Q301" s="5">
        <v>3660</v>
      </c>
      <c r="R301" s="5">
        <v>2997</v>
      </c>
    </row>
    <row r="302" spans="2:18" x14ac:dyDescent="0.35">
      <c r="B302" s="2" t="s">
        <v>77</v>
      </c>
      <c r="C302" s="5"/>
      <c r="D302" s="5">
        <v>-82134</v>
      </c>
      <c r="E302" s="5">
        <v>-59627</v>
      </c>
      <c r="F302" s="5">
        <v>-61493</v>
      </c>
      <c r="G302" s="5">
        <v>-49530</v>
      </c>
      <c r="H302" s="5">
        <v>-40473</v>
      </c>
      <c r="I302" s="5">
        <v>-39909</v>
      </c>
      <c r="J302" s="5">
        <v>-31892</v>
      </c>
      <c r="K302" s="5">
        <v>-30426</v>
      </c>
      <c r="L302" s="5">
        <v>-31350</v>
      </c>
      <c r="M302" s="5">
        <v>-26412</v>
      </c>
      <c r="N302" s="5">
        <v>-27908</v>
      </c>
      <c r="O302" s="5">
        <v>-17940</v>
      </c>
      <c r="P302" s="5">
        <v>-17224</v>
      </c>
      <c r="Q302" s="5">
        <v>-16107</v>
      </c>
      <c r="R302" s="5">
        <v>-6068</v>
      </c>
    </row>
    <row r="303" spans="2:18" x14ac:dyDescent="0.35">
      <c r="B303" s="2" t="s">
        <v>78</v>
      </c>
      <c r="C303" s="5"/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-391</v>
      </c>
    </row>
    <row r="304" spans="2:18" x14ac:dyDescent="0.35">
      <c r="B304" s="2" t="s">
        <v>79</v>
      </c>
      <c r="C304" s="5"/>
      <c r="D304" s="5">
        <v>0</v>
      </c>
      <c r="E304" s="5">
        <v>0</v>
      </c>
      <c r="F304" s="5">
        <v>1247</v>
      </c>
      <c r="G304" s="5">
        <v>0</v>
      </c>
      <c r="H304" s="5">
        <v>0</v>
      </c>
      <c r="I304" s="5">
        <v>0</v>
      </c>
      <c r="J304" s="5">
        <v>1270</v>
      </c>
      <c r="K304" s="5">
        <v>0</v>
      </c>
      <c r="L304" s="5">
        <v>-16</v>
      </c>
      <c r="M304" s="5">
        <v>-341</v>
      </c>
      <c r="N304" s="5">
        <v>-753</v>
      </c>
      <c r="O304" s="5">
        <v>-939</v>
      </c>
      <c r="P304" s="5">
        <v>-1039</v>
      </c>
      <c r="Q304" s="5">
        <v>-106</v>
      </c>
      <c r="R304" s="5">
        <v>-1994</v>
      </c>
    </row>
    <row r="305" spans="2:19" x14ac:dyDescent="0.35">
      <c r="B305" s="2" t="s">
        <v>80</v>
      </c>
      <c r="C305" s="5"/>
      <c r="D305" s="5">
        <v>0</v>
      </c>
      <c r="E305" s="5">
        <v>5000</v>
      </c>
      <c r="F305" s="5">
        <v>8750</v>
      </c>
      <c r="G305" s="5">
        <v>0</v>
      </c>
      <c r="H305" s="5">
        <v>0</v>
      </c>
      <c r="I305" s="5">
        <v>0</v>
      </c>
      <c r="J305" s="5">
        <v>-5925</v>
      </c>
      <c r="K305" s="5">
        <v>0</v>
      </c>
      <c r="L305" s="5">
        <v>-559</v>
      </c>
      <c r="M305" s="5">
        <v>-696</v>
      </c>
      <c r="N305" s="5">
        <v>0</v>
      </c>
      <c r="O305" s="5">
        <v>0</v>
      </c>
      <c r="P305" s="5">
        <v>0</v>
      </c>
      <c r="Q305" s="5">
        <v>0</v>
      </c>
      <c r="R305" s="5">
        <v>2324</v>
      </c>
    </row>
    <row r="306" spans="2:19" x14ac:dyDescent="0.35">
      <c r="B306" s="2" t="s">
        <v>81</v>
      </c>
      <c r="C306" s="5"/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-2710</v>
      </c>
    </row>
    <row r="307" spans="2:19" x14ac:dyDescent="0.35">
      <c r="B307" s="2" t="s">
        <v>82</v>
      </c>
      <c r="C307" s="5"/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-108</v>
      </c>
      <c r="N307" s="5">
        <v>-184</v>
      </c>
      <c r="O307" s="5">
        <v>-242</v>
      </c>
      <c r="P307" s="5">
        <v>-273</v>
      </c>
      <c r="Q307" s="5">
        <v>-289</v>
      </c>
      <c r="R307" s="5">
        <v>-324</v>
      </c>
    </row>
    <row r="308" spans="2:19" x14ac:dyDescent="0.35">
      <c r="B308" s="2" t="s">
        <v>83</v>
      </c>
      <c r="C308" s="5"/>
      <c r="D308" s="5">
        <v>-179</v>
      </c>
      <c r="E308" s="5">
        <v>-113</v>
      </c>
      <c r="F308" s="5">
        <v>-1592</v>
      </c>
      <c r="G308" s="5">
        <v>-1253</v>
      </c>
      <c r="H308" s="5">
        <v>-819</v>
      </c>
      <c r="I308" s="5">
        <v>-802</v>
      </c>
      <c r="J308" s="5">
        <v>-810</v>
      </c>
      <c r="K308" s="5">
        <v>-268</v>
      </c>
      <c r="L308" s="5">
        <v>-2571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-57</v>
      </c>
    </row>
    <row r="309" spans="2:19" x14ac:dyDescent="0.35">
      <c r="B309" s="2" t="s">
        <v>12</v>
      </c>
      <c r="C309" s="5"/>
      <c r="D309" s="5">
        <v>675</v>
      </c>
      <c r="E309" s="5">
        <v>-1784</v>
      </c>
      <c r="F309" s="5">
        <v>1064</v>
      </c>
      <c r="G309" s="5">
        <v>869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</row>
    <row r="310" spans="2:19" x14ac:dyDescent="0.35">
      <c r="B310" s="3" t="s">
        <v>84</v>
      </c>
      <c r="C310" s="4"/>
      <c r="D310" s="4">
        <f t="shared" ref="D310:R310" si="142">SUM(D299:D309)</f>
        <v>-17578</v>
      </c>
      <c r="E310" s="4">
        <f t="shared" si="142"/>
        <v>-28168</v>
      </c>
      <c r="F310" s="4">
        <f t="shared" si="142"/>
        <v>-10980</v>
      </c>
      <c r="G310" s="4">
        <f t="shared" si="142"/>
        <v>-7985</v>
      </c>
      <c r="H310" s="4">
        <f t="shared" si="142"/>
        <v>10050</v>
      </c>
      <c r="I310" s="4">
        <f t="shared" si="142"/>
        <v>8037</v>
      </c>
      <c r="J310" s="4">
        <f t="shared" si="142"/>
        <v>-3079</v>
      </c>
      <c r="K310" s="4">
        <f t="shared" si="142"/>
        <v>-145</v>
      </c>
      <c r="L310" s="4">
        <f t="shared" si="142"/>
        <v>5444</v>
      </c>
      <c r="M310" s="4">
        <f t="shared" si="142"/>
        <v>3670</v>
      </c>
      <c r="N310" s="4">
        <f t="shared" si="142"/>
        <v>2033</v>
      </c>
      <c r="O310" s="4">
        <f t="shared" si="142"/>
        <v>10721</v>
      </c>
      <c r="P310" s="4">
        <f t="shared" si="142"/>
        <v>-1530</v>
      </c>
      <c r="Q310" s="4">
        <f t="shared" si="142"/>
        <v>25</v>
      </c>
      <c r="R310" s="4">
        <f t="shared" si="142"/>
        <v>-3848</v>
      </c>
    </row>
    <row r="312" spans="2:19" x14ac:dyDescent="0.35">
      <c r="B312" s="2" t="s">
        <v>86</v>
      </c>
      <c r="D312" s="5">
        <v>92</v>
      </c>
      <c r="E312" s="5">
        <v>629</v>
      </c>
      <c r="F312" s="5">
        <v>-602</v>
      </c>
      <c r="G312" s="5">
        <v>102</v>
      </c>
      <c r="H312" s="5">
        <v>49</v>
      </c>
      <c r="I312" s="5">
        <v>-58</v>
      </c>
      <c r="J312" s="5">
        <v>45</v>
      </c>
      <c r="K312" s="5">
        <v>-1</v>
      </c>
      <c r="L312" s="5">
        <v>-4</v>
      </c>
      <c r="M312" s="5">
        <v>1</v>
      </c>
      <c r="N312" s="5">
        <v>3</v>
      </c>
      <c r="O312" s="5">
        <v>-5</v>
      </c>
      <c r="P312" s="5">
        <v>3</v>
      </c>
      <c r="Q312" s="5">
        <v>3</v>
      </c>
      <c r="R312" s="5">
        <v>0</v>
      </c>
    </row>
    <row r="313" spans="2:19" x14ac:dyDescent="0.35">
      <c r="B313" s="13" t="s">
        <v>85</v>
      </c>
      <c r="D313" s="6">
        <f>+D310+D297+D279+D312</f>
        <v>2218</v>
      </c>
      <c r="E313" s="6">
        <f t="shared" ref="E313:R313" si="143">+E310+E297+E279+E312</f>
        <v>-2526</v>
      </c>
      <c r="F313" s="6">
        <f t="shared" si="143"/>
        <v>414</v>
      </c>
      <c r="G313" s="6">
        <f t="shared" si="143"/>
        <v>-3843</v>
      </c>
      <c r="H313" s="6">
        <f t="shared" si="143"/>
        <v>1464</v>
      </c>
      <c r="I313" s="6">
        <f t="shared" si="143"/>
        <v>-3527</v>
      </c>
      <c r="J313" s="6">
        <f t="shared" si="143"/>
        <v>-4076</v>
      </c>
      <c r="K313" s="6">
        <f t="shared" si="143"/>
        <v>45</v>
      </c>
      <c r="L313" s="6">
        <f t="shared" si="143"/>
        <v>548</v>
      </c>
      <c r="M313" s="6">
        <f t="shared" si="143"/>
        <v>-832</v>
      </c>
      <c r="N313" s="6">
        <f t="shared" si="143"/>
        <v>-2612</v>
      </c>
      <c r="O313" s="6">
        <f t="shared" si="143"/>
        <v>357</v>
      </c>
      <c r="P313" s="6">
        <f t="shared" si="143"/>
        <v>-1246</v>
      </c>
      <c r="Q313" s="6">
        <f t="shared" si="143"/>
        <v>12194</v>
      </c>
      <c r="R313" s="6">
        <f t="shared" si="143"/>
        <v>-10904</v>
      </c>
    </row>
    <row r="316" spans="2:19" x14ac:dyDescent="0.35">
      <c r="B316" s="53" t="s">
        <v>30</v>
      </c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</row>
    <row r="317" spans="2:19" x14ac:dyDescent="0.35">
      <c r="B317" s="2" t="s">
        <v>87</v>
      </c>
      <c r="C317" s="5"/>
      <c r="D317" s="5">
        <f>+E317</f>
        <v>1504</v>
      </c>
      <c r="E317" s="5">
        <v>1504</v>
      </c>
      <c r="F317" s="5">
        <v>1840</v>
      </c>
      <c r="G317" s="5">
        <v>1714</v>
      </c>
      <c r="H317" s="5">
        <v>2475</v>
      </c>
      <c r="I317" s="5">
        <v>1073</v>
      </c>
      <c r="J317" s="5">
        <v>1315</v>
      </c>
      <c r="K317" s="5">
        <v>1348</v>
      </c>
      <c r="L317" s="5">
        <v>2148</v>
      </c>
      <c r="M317" s="5">
        <v>1547</v>
      </c>
      <c r="N317" s="5">
        <v>844</v>
      </c>
      <c r="O317" s="5">
        <v>810</v>
      </c>
      <c r="P317" s="5">
        <v>619</v>
      </c>
      <c r="Q317" s="5">
        <v>724</v>
      </c>
      <c r="R317" s="5">
        <v>502</v>
      </c>
    </row>
    <row r="318" spans="2:19" x14ac:dyDescent="0.35">
      <c r="B318" s="2" t="s">
        <v>88</v>
      </c>
      <c r="C318" s="5"/>
      <c r="D318" s="5">
        <f>17677-D317</f>
        <v>16173</v>
      </c>
      <c r="E318" s="5">
        <v>13647</v>
      </c>
      <c r="F318" s="5">
        <v>12948</v>
      </c>
      <c r="G318" s="5">
        <v>9956</v>
      </c>
      <c r="H318" s="5">
        <v>10560</v>
      </c>
      <c r="I318" s="5">
        <v>6440</v>
      </c>
      <c r="J318" s="5">
        <v>4216</v>
      </c>
      <c r="K318" s="5">
        <v>4228</v>
      </c>
      <c r="L318" s="5">
        <v>4232</v>
      </c>
      <c r="M318" s="5">
        <v>4387</v>
      </c>
      <c r="N318" s="5">
        <v>3408</v>
      </c>
      <c r="O318" s="5">
        <v>3727</v>
      </c>
      <c r="P318" s="5">
        <v>2936</v>
      </c>
      <c r="Q318" s="5">
        <v>14897</v>
      </c>
      <c r="R318" s="5">
        <v>4560</v>
      </c>
    </row>
    <row r="319" spans="2:19" x14ac:dyDescent="0.35">
      <c r="B319" s="3" t="s">
        <v>89</v>
      </c>
      <c r="C319" s="4"/>
      <c r="D319" s="4">
        <f t="shared" ref="D319:P319" si="144">SUM(D317:D318)</f>
        <v>17677</v>
      </c>
      <c r="E319" s="4">
        <f t="shared" si="144"/>
        <v>15151</v>
      </c>
      <c r="F319" s="4">
        <f t="shared" si="144"/>
        <v>14788</v>
      </c>
      <c r="G319" s="4">
        <f t="shared" si="144"/>
        <v>11670</v>
      </c>
      <c r="H319" s="4">
        <f t="shared" si="144"/>
        <v>13035</v>
      </c>
      <c r="I319" s="4">
        <f t="shared" si="144"/>
        <v>7513</v>
      </c>
      <c r="J319" s="4">
        <f t="shared" si="144"/>
        <v>5531</v>
      </c>
      <c r="K319" s="4">
        <f t="shared" si="144"/>
        <v>5576</v>
      </c>
      <c r="L319" s="4">
        <f t="shared" si="144"/>
        <v>6380</v>
      </c>
      <c r="M319" s="4">
        <f t="shared" si="144"/>
        <v>5934</v>
      </c>
      <c r="N319" s="4">
        <f t="shared" si="144"/>
        <v>4252</v>
      </c>
      <c r="O319" s="4">
        <f t="shared" si="144"/>
        <v>4537</v>
      </c>
      <c r="P319" s="4">
        <f t="shared" si="144"/>
        <v>3555</v>
      </c>
      <c r="Q319" s="4">
        <f>SUM(Q317:Q318)</f>
        <v>15621</v>
      </c>
      <c r="R319" s="4">
        <f>SUM(R317:R318)</f>
        <v>5062</v>
      </c>
    </row>
    <row r="320" spans="2:19" x14ac:dyDescent="0.35">
      <c r="B320" s="2" t="s">
        <v>90</v>
      </c>
      <c r="C320" s="8"/>
      <c r="D320" s="8" t="s">
        <v>24</v>
      </c>
      <c r="E320" s="8" t="s">
        <v>24</v>
      </c>
      <c r="F320" s="8" t="s">
        <v>24</v>
      </c>
      <c r="G320" s="8" t="s">
        <v>24</v>
      </c>
      <c r="H320" s="8" t="s">
        <v>24</v>
      </c>
      <c r="I320" s="8" t="s">
        <v>24</v>
      </c>
      <c r="J320" s="8" t="s">
        <v>24</v>
      </c>
      <c r="K320" s="8" t="s">
        <v>24</v>
      </c>
      <c r="L320" s="8" t="s">
        <v>24</v>
      </c>
      <c r="M320" s="8" t="s">
        <v>24</v>
      </c>
      <c r="N320" s="5">
        <v>518</v>
      </c>
      <c r="O320" s="5">
        <v>773</v>
      </c>
      <c r="P320" s="5">
        <v>616</v>
      </c>
      <c r="Q320" s="5">
        <v>1071</v>
      </c>
      <c r="R320" s="5">
        <v>1102</v>
      </c>
    </row>
    <row r="321" spans="2:18" x14ac:dyDescent="0.35">
      <c r="B321" s="2" t="s">
        <v>91</v>
      </c>
      <c r="C321" s="5"/>
      <c r="D321" s="5">
        <v>16740</v>
      </c>
      <c r="E321" s="5">
        <f>6237+1207</f>
        <v>7444</v>
      </c>
      <c r="F321" s="5">
        <f>739+12158</f>
        <v>12897</v>
      </c>
      <c r="G321" s="5">
        <f>240+14846</f>
        <v>15086</v>
      </c>
      <c r="H321" s="5">
        <f>15135+622</f>
        <v>15757</v>
      </c>
      <c r="I321" s="5">
        <v>14178</v>
      </c>
      <c r="J321" s="5">
        <v>17083</v>
      </c>
      <c r="K321" s="5">
        <v>16137</v>
      </c>
      <c r="L321" s="5">
        <v>17157</v>
      </c>
      <c r="M321" s="5">
        <v>18926</v>
      </c>
      <c r="N321" s="5">
        <v>22303</v>
      </c>
      <c r="O321" s="5">
        <v>25303</v>
      </c>
      <c r="P321" s="5">
        <v>30284</v>
      </c>
      <c r="Q321" s="5">
        <v>29830</v>
      </c>
      <c r="R321" s="5">
        <v>33587</v>
      </c>
    </row>
    <row r="322" spans="2:18" x14ac:dyDescent="0.35">
      <c r="B322" s="2" t="s">
        <v>92</v>
      </c>
      <c r="C322" s="5"/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839</v>
      </c>
      <c r="N322" s="5">
        <v>1899</v>
      </c>
      <c r="O322" s="5">
        <v>2362</v>
      </c>
      <c r="P322" s="5">
        <v>1568</v>
      </c>
      <c r="Q322" s="5">
        <v>1253</v>
      </c>
      <c r="R322" s="5">
        <v>1170</v>
      </c>
    </row>
    <row r="323" spans="2:18" x14ac:dyDescent="0.35">
      <c r="B323" s="2" t="s">
        <v>93</v>
      </c>
      <c r="C323" s="5"/>
      <c r="D323" s="5">
        <v>20559</v>
      </c>
      <c r="E323" s="5">
        <v>7919</v>
      </c>
      <c r="F323" s="5">
        <v>20625</v>
      </c>
      <c r="G323" s="5">
        <v>11411</v>
      </c>
      <c r="H323" s="5">
        <v>8557</v>
      </c>
      <c r="I323" s="5">
        <v>2576</v>
      </c>
      <c r="J323" s="5">
        <v>35</v>
      </c>
      <c r="K323" s="5">
        <v>2003</v>
      </c>
      <c r="L323" s="5">
        <v>105</v>
      </c>
      <c r="M323" s="5">
        <v>0</v>
      </c>
      <c r="N323" s="5">
        <v>108</v>
      </c>
      <c r="O323" s="5">
        <v>314</v>
      </c>
      <c r="P323" s="5">
        <v>158</v>
      </c>
      <c r="Q323" s="5">
        <v>406</v>
      </c>
      <c r="R323" s="5">
        <v>549</v>
      </c>
    </row>
    <row r="324" spans="2:18" x14ac:dyDescent="0.35">
      <c r="B324" s="2" t="s">
        <v>94</v>
      </c>
      <c r="C324" s="5"/>
      <c r="D324" s="5">
        <f>87769+39745</f>
        <v>127514</v>
      </c>
      <c r="E324" s="5">
        <f>98295-E325</f>
        <v>101728</v>
      </c>
      <c r="F324" s="5">
        <f>75256-F325</f>
        <v>77701</v>
      </c>
      <c r="G324" s="5">
        <v>102413</v>
      </c>
      <c r="H324" s="5">
        <v>114755</v>
      </c>
      <c r="I324" s="5">
        <v>99055</v>
      </c>
      <c r="J324" s="5">
        <v>100328</v>
      </c>
      <c r="K324" s="5">
        <v>99948</v>
      </c>
      <c r="L324" s="5">
        <v>111600</v>
      </c>
      <c r="M324" s="5">
        <v>118944</v>
      </c>
      <c r="N324" s="5">
        <v>122893</v>
      </c>
      <c r="O324" s="5">
        <v>129926</v>
      </c>
      <c r="P324" s="5">
        <v>128231</v>
      </c>
      <c r="Q324" s="5">
        <v>118534</v>
      </c>
      <c r="R324" s="5">
        <v>122268</v>
      </c>
    </row>
    <row r="325" spans="2:18" x14ac:dyDescent="0.35">
      <c r="B325" s="2" t="s">
        <v>95</v>
      </c>
      <c r="C325" s="5"/>
      <c r="D325" s="5">
        <v>-2755</v>
      </c>
      <c r="E325" s="5">
        <v>-3433</v>
      </c>
      <c r="F325" s="5">
        <v>-2445</v>
      </c>
      <c r="G325" s="5">
        <v>-1873</v>
      </c>
      <c r="H325" s="5">
        <v>-1503</v>
      </c>
      <c r="I325" s="5">
        <v>-1170</v>
      </c>
      <c r="J325" s="5">
        <v>-1208</v>
      </c>
      <c r="K325" s="5">
        <v>-977</v>
      </c>
      <c r="L325" s="5">
        <v>-1054</v>
      </c>
      <c r="M325" s="5">
        <v>-1144</v>
      </c>
      <c r="N325" s="5">
        <v>-1276</v>
      </c>
      <c r="O325" s="5">
        <v>-1242</v>
      </c>
      <c r="P325" s="5">
        <v>-1263</v>
      </c>
      <c r="Q325" s="5">
        <v>-3283</v>
      </c>
      <c r="R325" s="5">
        <v>-3267</v>
      </c>
    </row>
    <row r="326" spans="2:18" x14ac:dyDescent="0.35">
      <c r="B326" s="3" t="s">
        <v>333</v>
      </c>
      <c r="C326" s="4"/>
      <c r="D326" s="4">
        <f t="shared" ref="D326" si="145">SUM(D319:D325)</f>
        <v>179735</v>
      </c>
      <c r="E326" s="4">
        <f t="shared" ref="E326:P326" si="146">SUM(E319:E325)</f>
        <v>128809</v>
      </c>
      <c r="F326" s="4">
        <f t="shared" si="146"/>
        <v>123566</v>
      </c>
      <c r="G326" s="4">
        <f t="shared" si="146"/>
        <v>138707</v>
      </c>
      <c r="H326" s="4">
        <f t="shared" si="146"/>
        <v>150601</v>
      </c>
      <c r="I326" s="4">
        <f t="shared" si="146"/>
        <v>122152</v>
      </c>
      <c r="J326" s="4">
        <f t="shared" si="146"/>
        <v>121769</v>
      </c>
      <c r="K326" s="4">
        <f t="shared" si="146"/>
        <v>122687</v>
      </c>
      <c r="L326" s="4">
        <f t="shared" si="146"/>
        <v>134188</v>
      </c>
      <c r="M326" s="4">
        <f t="shared" si="146"/>
        <v>143499</v>
      </c>
      <c r="N326" s="4">
        <f t="shared" si="146"/>
        <v>150697</v>
      </c>
      <c r="O326" s="4">
        <f t="shared" si="146"/>
        <v>161973</v>
      </c>
      <c r="P326" s="4">
        <f t="shared" si="146"/>
        <v>163149</v>
      </c>
      <c r="Q326" s="4">
        <f>SUM(Q319:Q325)</f>
        <v>163432</v>
      </c>
      <c r="R326" s="4">
        <f t="shared" ref="R326" si="147">SUM(R319:R325)</f>
        <v>160471</v>
      </c>
    </row>
    <row r="327" spans="2:18" x14ac:dyDescent="0.35">
      <c r="B327" s="2" t="s">
        <v>96</v>
      </c>
      <c r="C327" s="5"/>
      <c r="D327" s="5">
        <v>32348</v>
      </c>
      <c r="E327" s="5">
        <v>26390</v>
      </c>
      <c r="F327" s="5">
        <v>15995</v>
      </c>
      <c r="G327" s="5">
        <v>9128</v>
      </c>
      <c r="H327" s="5">
        <v>9275</v>
      </c>
      <c r="I327" s="5">
        <v>13550</v>
      </c>
      <c r="J327" s="5">
        <v>17680</v>
      </c>
      <c r="K327" s="5">
        <v>19510</v>
      </c>
      <c r="L327" s="5">
        <v>16271</v>
      </c>
      <c r="M327" s="5">
        <v>11470</v>
      </c>
      <c r="N327" s="5">
        <v>8741</v>
      </c>
      <c r="O327" s="5">
        <v>8417</v>
      </c>
      <c r="P327" s="5">
        <v>8864</v>
      </c>
      <c r="Q327" s="5">
        <v>9639</v>
      </c>
      <c r="R327" s="5">
        <v>10862</v>
      </c>
    </row>
    <row r="328" spans="2:18" x14ac:dyDescent="0.35">
      <c r="B328" s="2" t="s">
        <v>130</v>
      </c>
      <c r="C328" s="5"/>
      <c r="D328" s="5">
        <f>1868+2030</f>
        <v>3898</v>
      </c>
      <c r="E328" s="5">
        <v>4507</v>
      </c>
      <c r="F328" s="5">
        <v>2720</v>
      </c>
      <c r="G328" s="5">
        <v>2181</v>
      </c>
      <c r="H328" s="5">
        <v>1853</v>
      </c>
      <c r="I328" s="5">
        <v>1609</v>
      </c>
      <c r="J328" s="5">
        <v>1613</v>
      </c>
      <c r="K328" s="5">
        <v>1695</v>
      </c>
      <c r="L328" s="5">
        <v>1801</v>
      </c>
      <c r="M328" s="5">
        <v>1905</v>
      </c>
      <c r="N328" s="5">
        <v>2047</v>
      </c>
      <c r="O328" s="5">
        <v>2326</v>
      </c>
      <c r="P328" s="5">
        <v>2558</v>
      </c>
      <c r="Q328" s="5">
        <v>2679</v>
      </c>
      <c r="R328" s="5">
        <v>2724</v>
      </c>
    </row>
    <row r="329" spans="2:18" x14ac:dyDescent="0.35">
      <c r="B329" s="2" t="s">
        <v>97</v>
      </c>
      <c r="C329" s="5"/>
      <c r="D329" s="5">
        <f>4703+28255</f>
        <v>32958</v>
      </c>
      <c r="E329" s="5">
        <f>26922+2848</f>
        <v>29770</v>
      </c>
      <c r="F329" s="5">
        <f>3554+19887+6584</f>
        <v>30025</v>
      </c>
      <c r="G329" s="5">
        <f>3738+17564+690</f>
        <v>21992</v>
      </c>
      <c r="H329" s="5">
        <f>2519+18741+1070</f>
        <v>22330</v>
      </c>
      <c r="I329" s="5">
        <f>952+11908+32176</f>
        <v>45036</v>
      </c>
      <c r="J329" s="5">
        <f>516+9589</f>
        <v>10105</v>
      </c>
      <c r="K329" s="5">
        <f>7105+634</f>
        <v>7739</v>
      </c>
      <c r="L329" s="5">
        <v>6321</v>
      </c>
      <c r="M329" s="5">
        <v>6854</v>
      </c>
      <c r="N329" s="5">
        <v>5663</v>
      </c>
      <c r="O329" s="5">
        <v>6153</v>
      </c>
      <c r="P329" s="5">
        <v>6073</v>
      </c>
      <c r="Q329" s="5">
        <v>6415</v>
      </c>
      <c r="R329" s="5">
        <v>8057</v>
      </c>
    </row>
    <row r="330" spans="2:18" x14ac:dyDescent="0.35">
      <c r="B330" s="3" t="s">
        <v>98</v>
      </c>
      <c r="C330" s="4"/>
      <c r="D330" s="4">
        <f t="shared" ref="D330:Q330" si="148">SUM(D326:D329)</f>
        <v>248939</v>
      </c>
      <c r="E330" s="4">
        <f t="shared" si="148"/>
        <v>189476</v>
      </c>
      <c r="F330" s="4">
        <f t="shared" si="148"/>
        <v>172306</v>
      </c>
      <c r="G330" s="4">
        <f t="shared" si="148"/>
        <v>172008</v>
      </c>
      <c r="H330" s="4">
        <f t="shared" si="148"/>
        <v>184059</v>
      </c>
      <c r="I330" s="4">
        <f t="shared" si="148"/>
        <v>182347</v>
      </c>
      <c r="J330" s="4">
        <f t="shared" si="148"/>
        <v>151167</v>
      </c>
      <c r="K330" s="4">
        <f t="shared" si="148"/>
        <v>151631</v>
      </c>
      <c r="L330" s="4">
        <f t="shared" si="148"/>
        <v>158581</v>
      </c>
      <c r="M330" s="4">
        <f t="shared" si="148"/>
        <v>163728</v>
      </c>
      <c r="N330" s="4">
        <f t="shared" si="148"/>
        <v>167148</v>
      </c>
      <c r="O330" s="4">
        <f t="shared" si="148"/>
        <v>178869</v>
      </c>
      <c r="P330" s="4">
        <f t="shared" si="148"/>
        <v>180644</v>
      </c>
      <c r="Q330" s="4">
        <f t="shared" si="148"/>
        <v>182165</v>
      </c>
      <c r="R330" s="4">
        <f>SUM(R326:R329)</f>
        <v>182114</v>
      </c>
    </row>
    <row r="332" spans="2:18" x14ac:dyDescent="0.35">
      <c r="B332" s="2" t="s">
        <v>99</v>
      </c>
      <c r="C332" s="5"/>
      <c r="D332" s="5">
        <f>+E332</f>
        <v>1496</v>
      </c>
      <c r="E332" s="5">
        <v>1496</v>
      </c>
      <c r="F332" s="5">
        <v>1755</v>
      </c>
      <c r="G332" s="5">
        <v>2131</v>
      </c>
      <c r="H332" s="5">
        <v>2029</v>
      </c>
      <c r="I332" s="5">
        <v>1977</v>
      </c>
      <c r="J332" s="5">
        <v>60</v>
      </c>
      <c r="K332" s="5">
        <v>64</v>
      </c>
      <c r="L332" s="5">
        <v>89</v>
      </c>
      <c r="M332" s="5">
        <v>84</v>
      </c>
      <c r="N332" s="5">
        <v>108</v>
      </c>
      <c r="O332" s="5">
        <v>142</v>
      </c>
      <c r="P332" s="5">
        <v>119</v>
      </c>
      <c r="Q332" s="5">
        <v>128</v>
      </c>
      <c r="R332" s="5">
        <v>150</v>
      </c>
    </row>
    <row r="333" spans="2:18" x14ac:dyDescent="0.35">
      <c r="B333" s="2" t="s">
        <v>100</v>
      </c>
      <c r="C333" s="5"/>
      <c r="D333" s="5">
        <f>15281-D332</f>
        <v>13785</v>
      </c>
      <c r="E333" s="5">
        <v>18311</v>
      </c>
      <c r="F333" s="5">
        <v>30001</v>
      </c>
      <c r="G333" s="5">
        <v>36917</v>
      </c>
      <c r="H333" s="5">
        <v>43021</v>
      </c>
      <c r="I333" s="5">
        <v>45938</v>
      </c>
      <c r="J333" s="5">
        <v>53290</v>
      </c>
      <c r="K333" s="5">
        <v>58139</v>
      </c>
      <c r="L333" s="5">
        <v>66389</v>
      </c>
      <c r="M333" s="5">
        <v>78938</v>
      </c>
      <c r="N333" s="5">
        <v>93148</v>
      </c>
      <c r="O333" s="5">
        <v>106036</v>
      </c>
      <c r="P333" s="5">
        <v>120633</v>
      </c>
      <c r="Q333" s="5">
        <v>136908</v>
      </c>
      <c r="R333" s="5">
        <v>141408</v>
      </c>
    </row>
    <row r="334" spans="2:18" x14ac:dyDescent="0.35">
      <c r="B334" s="3" t="s">
        <v>101</v>
      </c>
      <c r="C334" s="4"/>
      <c r="D334" s="4">
        <f t="shared" ref="D334:P334" si="149">SUM(D332:D333)</f>
        <v>15281</v>
      </c>
      <c r="E334" s="4">
        <f t="shared" si="149"/>
        <v>19807</v>
      </c>
      <c r="F334" s="4">
        <f t="shared" si="149"/>
        <v>31756</v>
      </c>
      <c r="G334" s="4">
        <f t="shared" si="149"/>
        <v>39048</v>
      </c>
      <c r="H334" s="4">
        <f t="shared" si="149"/>
        <v>45050</v>
      </c>
      <c r="I334" s="4">
        <f t="shared" si="149"/>
        <v>47915</v>
      </c>
      <c r="J334" s="4">
        <f t="shared" si="149"/>
        <v>53350</v>
      </c>
      <c r="K334" s="4">
        <f t="shared" si="149"/>
        <v>58203</v>
      </c>
      <c r="L334" s="4">
        <f t="shared" si="149"/>
        <v>66478</v>
      </c>
      <c r="M334" s="4">
        <f t="shared" si="149"/>
        <v>79022</v>
      </c>
      <c r="N334" s="4">
        <f t="shared" si="149"/>
        <v>93256</v>
      </c>
      <c r="O334" s="4">
        <f t="shared" si="149"/>
        <v>106178</v>
      </c>
      <c r="P334" s="4">
        <f t="shared" si="149"/>
        <v>120752</v>
      </c>
      <c r="Q334" s="4">
        <f>SUM(Q332:Q333)</f>
        <v>137036</v>
      </c>
      <c r="R334" s="4">
        <f>SUM(R332:R333)</f>
        <v>141558</v>
      </c>
    </row>
    <row r="335" spans="2:18" x14ac:dyDescent="0.35">
      <c r="B335" s="2" t="s">
        <v>102</v>
      </c>
      <c r="C335" s="5"/>
      <c r="D335" s="5">
        <f>+E335</f>
        <v>10386</v>
      </c>
      <c r="E335" s="5">
        <v>10386</v>
      </c>
      <c r="F335" s="5">
        <v>10292</v>
      </c>
      <c r="G335" s="5">
        <v>7508</v>
      </c>
      <c r="H335" s="5">
        <v>7680</v>
      </c>
      <c r="I335" s="5">
        <v>7461</v>
      </c>
      <c r="J335" s="5">
        <v>8545</v>
      </c>
      <c r="K335" s="5">
        <v>7062</v>
      </c>
      <c r="L335" s="5">
        <v>8101</v>
      </c>
      <c r="M335" s="5">
        <v>12673</v>
      </c>
      <c r="N335" s="5">
        <v>11413</v>
      </c>
      <c r="O335" s="5">
        <v>9987</v>
      </c>
      <c r="P335" s="5">
        <v>5531</v>
      </c>
      <c r="Q335" s="5">
        <v>2136</v>
      </c>
      <c r="R335" s="5">
        <v>0</v>
      </c>
    </row>
    <row r="336" spans="2:18" x14ac:dyDescent="0.35">
      <c r="B336" s="2" t="s">
        <v>103</v>
      </c>
      <c r="C336" s="5"/>
      <c r="D336" s="5">
        <f>193148-D335</f>
        <v>182762</v>
      </c>
      <c r="E336" s="5">
        <v>115935</v>
      </c>
      <c r="F336" s="5">
        <v>88021</v>
      </c>
      <c r="G336" s="5">
        <v>86612</v>
      </c>
      <c r="H336" s="5">
        <v>92885</v>
      </c>
      <c r="I336" s="5">
        <v>74561</v>
      </c>
      <c r="J336" s="5">
        <v>69465</v>
      </c>
      <c r="K336" s="5">
        <v>66380</v>
      </c>
      <c r="L336" s="5">
        <v>66234</v>
      </c>
      <c r="M336" s="5">
        <v>54128</v>
      </c>
      <c r="N336" s="5">
        <v>44226</v>
      </c>
      <c r="O336" s="5">
        <v>44193</v>
      </c>
      <c r="P336" s="5">
        <v>34027</v>
      </c>
      <c r="Q336" s="5">
        <v>22006</v>
      </c>
      <c r="R336" s="5">
        <v>17029</v>
      </c>
    </row>
    <row r="337" spans="2:19" x14ac:dyDescent="0.35">
      <c r="B337" s="2" t="s">
        <v>104</v>
      </c>
      <c r="D337" s="5">
        <v>2253</v>
      </c>
      <c r="E337" s="5">
        <v>1517</v>
      </c>
      <c r="F337" s="5">
        <v>1637</v>
      </c>
      <c r="G337" s="5">
        <v>1829</v>
      </c>
      <c r="H337" s="5">
        <v>1587</v>
      </c>
      <c r="I337" s="5">
        <v>932</v>
      </c>
      <c r="J337" s="5">
        <v>888</v>
      </c>
      <c r="K337" s="5">
        <v>477</v>
      </c>
      <c r="L337" s="5">
        <v>350</v>
      </c>
      <c r="M337" s="5">
        <v>351</v>
      </c>
      <c r="N337" s="5">
        <v>375</v>
      </c>
      <c r="O337" s="5">
        <v>523</v>
      </c>
      <c r="P337" s="5">
        <v>641</v>
      </c>
      <c r="Q337" s="5">
        <v>412</v>
      </c>
      <c r="R337" s="5">
        <v>210</v>
      </c>
    </row>
    <row r="338" spans="2:19" x14ac:dyDescent="0.35">
      <c r="B338" s="2" t="s">
        <v>105</v>
      </c>
      <c r="C338" s="5"/>
      <c r="D338" s="5">
        <v>4921</v>
      </c>
      <c r="E338" s="5">
        <v>4356</v>
      </c>
      <c r="F338" s="5">
        <v>3192</v>
      </c>
      <c r="G338" s="5">
        <v>2854</v>
      </c>
      <c r="H338" s="5">
        <v>2576</v>
      </c>
      <c r="I338" s="5">
        <v>2296</v>
      </c>
      <c r="J338" s="5">
        <v>2314</v>
      </c>
      <c r="K338" s="5">
        <v>2375</v>
      </c>
      <c r="L338" s="5">
        <v>2434</v>
      </c>
      <c r="M338" s="5">
        <v>2500</v>
      </c>
      <c r="N338" s="5">
        <v>2604</v>
      </c>
      <c r="O338" s="5">
        <v>3044</v>
      </c>
      <c r="P338" s="5">
        <v>3305</v>
      </c>
      <c r="Q338" s="5">
        <v>3438</v>
      </c>
      <c r="R338" s="5">
        <v>3514</v>
      </c>
    </row>
    <row r="339" spans="2:19" x14ac:dyDescent="0.35">
      <c r="B339" s="2" t="s">
        <v>106</v>
      </c>
      <c r="C339" s="5"/>
      <c r="D339" s="5">
        <f>3089+14682</f>
        <v>17771</v>
      </c>
      <c r="E339" s="5">
        <f>2895+12726</f>
        <v>15621</v>
      </c>
      <c r="F339" s="5">
        <f>1215+10456+4898</f>
        <v>16569</v>
      </c>
      <c r="G339" s="5">
        <f>862+12126+680</f>
        <v>13668</v>
      </c>
      <c r="H339" s="5">
        <f>14664+337</f>
        <v>15001</v>
      </c>
      <c r="I339" s="5">
        <f>22699+6585</f>
        <v>29284</v>
      </c>
      <c r="J339" s="5">
        <v>2397</v>
      </c>
      <c r="K339" s="5">
        <v>1735</v>
      </c>
      <c r="L339" s="5">
        <v>1545</v>
      </c>
      <c r="M339" s="5">
        <v>1737</v>
      </c>
      <c r="N339" s="5">
        <v>1780</v>
      </c>
      <c r="O339" s="5">
        <v>1676</v>
      </c>
      <c r="P339" s="5">
        <v>1972</v>
      </c>
      <c r="Q339" s="5">
        <v>2434</v>
      </c>
      <c r="R339" s="5">
        <v>2753</v>
      </c>
    </row>
    <row r="340" spans="2:19" x14ac:dyDescent="0.35">
      <c r="B340" s="3" t="s">
        <v>107</v>
      </c>
      <c r="C340" s="4"/>
      <c r="D340" s="4">
        <f t="shared" ref="D340:F340" si="150">SUM(D334:D339)</f>
        <v>233374</v>
      </c>
      <c r="E340" s="4">
        <f t="shared" si="150"/>
        <v>167622</v>
      </c>
      <c r="F340" s="4">
        <f t="shared" si="150"/>
        <v>151467</v>
      </c>
      <c r="G340" s="4">
        <f>SUM(G334:G339)</f>
        <v>151519</v>
      </c>
      <c r="H340" s="4">
        <f t="shared" ref="H340:R340" si="151">SUM(H334:H339)</f>
        <v>164779</v>
      </c>
      <c r="I340" s="4">
        <f t="shared" si="151"/>
        <v>162449</v>
      </c>
      <c r="J340" s="4">
        <f t="shared" si="151"/>
        <v>136959</v>
      </c>
      <c r="K340" s="4">
        <f t="shared" si="151"/>
        <v>136232</v>
      </c>
      <c r="L340" s="4">
        <f t="shared" si="151"/>
        <v>145142</v>
      </c>
      <c r="M340" s="4">
        <f t="shared" si="151"/>
        <v>150411</v>
      </c>
      <c r="N340" s="4">
        <f t="shared" si="151"/>
        <v>153654</v>
      </c>
      <c r="O340" s="4">
        <f t="shared" si="151"/>
        <v>165601</v>
      </c>
      <c r="P340" s="4">
        <f t="shared" si="151"/>
        <v>166228</v>
      </c>
      <c r="Q340" s="4">
        <f t="shared" si="151"/>
        <v>167462</v>
      </c>
      <c r="R340" s="4">
        <f t="shared" si="151"/>
        <v>165064</v>
      </c>
    </row>
    <row r="341" spans="2:19" x14ac:dyDescent="0.35">
      <c r="B341" s="2" t="s">
        <v>108</v>
      </c>
      <c r="C341" s="5"/>
      <c r="D341" s="5">
        <v>8912</v>
      </c>
      <c r="E341" s="5">
        <v>9670</v>
      </c>
      <c r="F341" s="5">
        <v>13829</v>
      </c>
      <c r="G341" s="5">
        <v>19668</v>
      </c>
      <c r="H341" s="5">
        <v>19668</v>
      </c>
      <c r="I341" s="5">
        <v>19668</v>
      </c>
      <c r="J341" s="5">
        <v>20939</v>
      </c>
      <c r="K341" s="5">
        <v>21038</v>
      </c>
      <c r="L341" s="5">
        <v>21100</v>
      </c>
      <c r="M341" s="5">
        <v>21166</v>
      </c>
      <c r="N341" s="5">
        <v>21245</v>
      </c>
      <c r="O341" s="5">
        <v>21345</v>
      </c>
      <c r="P341" s="5">
        <v>21438</v>
      </c>
      <c r="Q341" s="5">
        <v>21544</v>
      </c>
      <c r="R341" s="5">
        <v>21671</v>
      </c>
    </row>
    <row r="342" spans="2:19" x14ac:dyDescent="0.35">
      <c r="B342" s="2" t="s">
        <v>109</v>
      </c>
      <c r="C342" s="5"/>
      <c r="D342" s="5">
        <v>1052</v>
      </c>
      <c r="E342" s="5">
        <f>5000+1287</f>
        <v>6287</v>
      </c>
      <c r="F342" s="5">
        <f>10893+1287</f>
        <v>12180</v>
      </c>
      <c r="G342" s="5">
        <f>5685+1287</f>
        <v>6972</v>
      </c>
      <c r="H342" s="5">
        <f>5685+1255</f>
        <v>6940</v>
      </c>
      <c r="I342" s="5">
        <f>5685+1255</f>
        <v>6940</v>
      </c>
      <c r="J342" s="5">
        <v>1255</v>
      </c>
      <c r="K342" s="5">
        <v>1255</v>
      </c>
      <c r="L342" s="5">
        <v>696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2324</v>
      </c>
    </row>
    <row r="343" spans="2:19" x14ac:dyDescent="0.35">
      <c r="B343" s="2" t="s">
        <v>110</v>
      </c>
      <c r="C343" s="5"/>
      <c r="D343" s="5">
        <v>4649</v>
      </c>
      <c r="E343" s="5">
        <v>6286</v>
      </c>
      <c r="F343" s="5">
        <v>-5630</v>
      </c>
      <c r="G343" s="5">
        <v>-6410</v>
      </c>
      <c r="H343" s="5">
        <v>-7415</v>
      </c>
      <c r="I343" s="5">
        <v>-7021</v>
      </c>
      <c r="J343" s="5">
        <v>-7710</v>
      </c>
      <c r="K343" s="5">
        <v>-6828</v>
      </c>
      <c r="L343" s="5">
        <v>-8110</v>
      </c>
      <c r="M343" s="5">
        <v>-7151</v>
      </c>
      <c r="N343" s="5">
        <v>-6406</v>
      </c>
      <c r="O343" s="5">
        <v>-5489</v>
      </c>
      <c r="P343" s="5">
        <v>-4057</v>
      </c>
      <c r="Q343" s="5">
        <v>-4278</v>
      </c>
      <c r="R343" s="5">
        <v>-1599</v>
      </c>
    </row>
    <row r="344" spans="2:19" x14ac:dyDescent="0.35">
      <c r="B344" s="2" t="s">
        <v>111</v>
      </c>
      <c r="C344" s="5"/>
      <c r="D344" s="5">
        <v>952</v>
      </c>
      <c r="E344" s="5">
        <v>-389</v>
      </c>
      <c r="F344" s="5">
        <v>460</v>
      </c>
      <c r="G344" s="5">
        <v>259</v>
      </c>
      <c r="H344" s="5">
        <v>87</v>
      </c>
      <c r="I344" s="5">
        <v>311</v>
      </c>
      <c r="J344" s="5">
        <v>-276</v>
      </c>
      <c r="K344" s="5">
        <v>-66</v>
      </c>
      <c r="L344" s="5">
        <v>-231</v>
      </c>
      <c r="M344" s="5">
        <v>-341</v>
      </c>
      <c r="N344" s="5">
        <v>-235</v>
      </c>
      <c r="O344" s="5">
        <v>-539</v>
      </c>
      <c r="P344" s="5">
        <v>123</v>
      </c>
      <c r="Q344" s="5">
        <v>631</v>
      </c>
      <c r="R344" s="5">
        <v>-158</v>
      </c>
    </row>
    <row r="345" spans="2:19" x14ac:dyDescent="0.35">
      <c r="B345" s="2" t="s">
        <v>112</v>
      </c>
      <c r="C345" s="5"/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-16</v>
      </c>
      <c r="M345" s="5">
        <v>-357</v>
      </c>
      <c r="N345" s="5">
        <v>-1110</v>
      </c>
      <c r="O345" s="5">
        <v>-2049</v>
      </c>
      <c r="P345" s="5">
        <v>-3088</v>
      </c>
      <c r="Q345" s="5">
        <v>-3194</v>
      </c>
      <c r="R345" s="5">
        <v>-5188</v>
      </c>
    </row>
    <row r="346" spans="2:19" x14ac:dyDescent="0.35">
      <c r="B346" s="3" t="s">
        <v>113</v>
      </c>
      <c r="C346" s="4"/>
      <c r="D346" s="4">
        <f t="shared" ref="D346:F346" si="152">SUM(D340:D345)</f>
        <v>248939</v>
      </c>
      <c r="E346" s="4">
        <f t="shared" si="152"/>
        <v>189476</v>
      </c>
      <c r="F346" s="4">
        <f t="shared" si="152"/>
        <v>172306</v>
      </c>
      <c r="G346" s="4">
        <f>SUM(G340:G345)</f>
        <v>172008</v>
      </c>
      <c r="H346" s="4">
        <f t="shared" ref="H346:R346" si="153">SUM(H340:H345)</f>
        <v>184059</v>
      </c>
      <c r="I346" s="4">
        <f t="shared" si="153"/>
        <v>182347</v>
      </c>
      <c r="J346" s="4">
        <f t="shared" si="153"/>
        <v>151167</v>
      </c>
      <c r="K346" s="4">
        <f t="shared" si="153"/>
        <v>151631</v>
      </c>
      <c r="L346" s="4">
        <f t="shared" si="153"/>
        <v>158581</v>
      </c>
      <c r="M346" s="4">
        <f t="shared" si="153"/>
        <v>163728</v>
      </c>
      <c r="N346" s="4">
        <f t="shared" si="153"/>
        <v>167148</v>
      </c>
      <c r="O346" s="4">
        <f t="shared" si="153"/>
        <v>178869</v>
      </c>
      <c r="P346" s="4">
        <f t="shared" si="153"/>
        <v>180644</v>
      </c>
      <c r="Q346" s="4">
        <f t="shared" si="153"/>
        <v>182165</v>
      </c>
      <c r="R346" s="4">
        <f t="shared" si="153"/>
        <v>182114</v>
      </c>
    </row>
    <row r="347" spans="2:19" x14ac:dyDescent="0.35">
      <c r="B347" s="14" t="s">
        <v>38</v>
      </c>
      <c r="D347" s="11" t="b">
        <f t="shared" ref="D347:Q347" si="154">ABS(D346-D330)&lt;1</f>
        <v>1</v>
      </c>
      <c r="E347" s="11" t="b">
        <f t="shared" si="154"/>
        <v>1</v>
      </c>
      <c r="F347" s="11" t="b">
        <f t="shared" si="154"/>
        <v>1</v>
      </c>
      <c r="G347" s="11" t="b">
        <f t="shared" si="154"/>
        <v>1</v>
      </c>
      <c r="H347" s="11" t="b">
        <f t="shared" si="154"/>
        <v>1</v>
      </c>
      <c r="I347" s="11" t="b">
        <f t="shared" si="154"/>
        <v>1</v>
      </c>
      <c r="J347" s="11" t="b">
        <f t="shared" si="154"/>
        <v>1</v>
      </c>
      <c r="K347" s="11" t="b">
        <f t="shared" si="154"/>
        <v>1</v>
      </c>
      <c r="L347" s="11" t="b">
        <f t="shared" si="154"/>
        <v>1</v>
      </c>
      <c r="M347" s="11" t="b">
        <f t="shared" si="154"/>
        <v>1</v>
      </c>
      <c r="N347" s="11" t="b">
        <f t="shared" si="154"/>
        <v>1</v>
      </c>
      <c r="O347" s="11" t="b">
        <f t="shared" si="154"/>
        <v>1</v>
      </c>
      <c r="P347" s="11" t="b">
        <f t="shared" si="154"/>
        <v>1</v>
      </c>
      <c r="Q347" s="11" t="b">
        <f t="shared" si="154"/>
        <v>1</v>
      </c>
      <c r="R347" s="11" t="b">
        <f>ABS(R346-R330)&lt;1</f>
        <v>1</v>
      </c>
    </row>
    <row r="350" spans="2:19" x14ac:dyDescent="0.35">
      <c r="B350" s="53" t="s">
        <v>150</v>
      </c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</row>
    <row r="351" spans="2:19" x14ac:dyDescent="0.35">
      <c r="B351" t="s">
        <v>114</v>
      </c>
      <c r="C351" s="6"/>
      <c r="D351" s="6">
        <f>SUM(D341:D345)</f>
        <v>15565</v>
      </c>
      <c r="E351" s="6">
        <f>SUM(E341:E345)</f>
        <v>21854</v>
      </c>
      <c r="F351" s="6">
        <f t="shared" ref="F351:R351" si="155">SUM(F341:F345)</f>
        <v>20839</v>
      </c>
      <c r="G351" s="6">
        <f t="shared" si="155"/>
        <v>20489</v>
      </c>
      <c r="H351" s="6">
        <f t="shared" si="155"/>
        <v>19280</v>
      </c>
      <c r="I351" s="6">
        <f t="shared" si="155"/>
        <v>19898</v>
      </c>
      <c r="J351" s="6">
        <f t="shared" si="155"/>
        <v>14208</v>
      </c>
      <c r="K351" s="6">
        <f t="shared" si="155"/>
        <v>15399</v>
      </c>
      <c r="L351" s="6">
        <f t="shared" si="155"/>
        <v>13439</v>
      </c>
      <c r="M351" s="6">
        <f t="shared" si="155"/>
        <v>13317</v>
      </c>
      <c r="N351" s="6">
        <f t="shared" si="155"/>
        <v>13494</v>
      </c>
      <c r="O351" s="6">
        <f t="shared" si="155"/>
        <v>13268</v>
      </c>
      <c r="P351" s="6">
        <f t="shared" si="155"/>
        <v>14416</v>
      </c>
      <c r="Q351" s="6">
        <f t="shared" si="155"/>
        <v>14703</v>
      </c>
      <c r="R351" s="6">
        <f t="shared" si="155"/>
        <v>17050</v>
      </c>
    </row>
    <row r="352" spans="2:19" x14ac:dyDescent="0.35">
      <c r="B352" s="2" t="s">
        <v>115</v>
      </c>
      <c r="C352" s="5"/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1188</v>
      </c>
      <c r="R352" s="5">
        <v>1183</v>
      </c>
    </row>
    <row r="353" spans="2:19" x14ac:dyDescent="0.35">
      <c r="B353" s="2" t="s">
        <v>109</v>
      </c>
      <c r="C353" s="6"/>
      <c r="D353" s="6">
        <f>-D342</f>
        <v>-1052</v>
      </c>
      <c r="E353" s="6">
        <f t="shared" ref="E353:R353" si="156">-E342</f>
        <v>-6287</v>
      </c>
      <c r="F353" s="6">
        <f t="shared" si="156"/>
        <v>-12180</v>
      </c>
      <c r="G353" s="6">
        <f t="shared" si="156"/>
        <v>-6972</v>
      </c>
      <c r="H353" s="6">
        <f t="shared" si="156"/>
        <v>-6940</v>
      </c>
      <c r="I353" s="6">
        <f t="shared" si="156"/>
        <v>-6940</v>
      </c>
      <c r="J353" s="6">
        <f t="shared" si="156"/>
        <v>-1255</v>
      </c>
      <c r="K353" s="6">
        <f t="shared" si="156"/>
        <v>-1255</v>
      </c>
      <c r="L353" s="6">
        <f t="shared" si="156"/>
        <v>-696</v>
      </c>
      <c r="M353" s="6">
        <f t="shared" si="156"/>
        <v>0</v>
      </c>
      <c r="N353" s="6">
        <f t="shared" si="156"/>
        <v>0</v>
      </c>
      <c r="O353" s="6">
        <f t="shared" si="156"/>
        <v>0</v>
      </c>
      <c r="P353" s="6">
        <f t="shared" si="156"/>
        <v>0</v>
      </c>
      <c r="Q353" s="6">
        <f t="shared" si="156"/>
        <v>0</v>
      </c>
      <c r="R353" s="6">
        <f t="shared" si="156"/>
        <v>-2324</v>
      </c>
    </row>
    <row r="354" spans="2:19" x14ac:dyDescent="0.35">
      <c r="B354" s="2" t="s">
        <v>116</v>
      </c>
      <c r="C354" s="5"/>
      <c r="D354" s="5">
        <v>-1496</v>
      </c>
      <c r="E354" s="5">
        <v>-1357</v>
      </c>
      <c r="F354" s="5">
        <v>-534</v>
      </c>
      <c r="G354" s="5">
        <v>-532</v>
      </c>
      <c r="H354" s="5">
        <v>-493</v>
      </c>
      <c r="I354" s="5">
        <v>-494</v>
      </c>
      <c r="J354" s="5">
        <v>-27</v>
      </c>
      <c r="K354" s="5">
        <v>-27</v>
      </c>
      <c r="L354" s="5">
        <v>-27</v>
      </c>
      <c r="M354" s="5">
        <v>-272</v>
      </c>
      <c r="N354" s="5">
        <v>-283</v>
      </c>
      <c r="O354" s="5">
        <v>-285</v>
      </c>
      <c r="P354" s="5">
        <v>-450</v>
      </c>
      <c r="Q354" s="5">
        <v>-382</v>
      </c>
      <c r="R354" s="5">
        <v>-941</v>
      </c>
    </row>
    <row r="355" spans="2:19" x14ac:dyDescent="0.35">
      <c r="B355" s="2" t="s">
        <v>117</v>
      </c>
      <c r="C355" s="5"/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-1445</v>
      </c>
      <c r="J355" s="5">
        <v>-1639</v>
      </c>
      <c r="K355" s="5">
        <v>-1310</v>
      </c>
      <c r="L355" s="5">
        <v>-980</v>
      </c>
      <c r="M355" s="5">
        <v>-410</v>
      </c>
      <c r="N355" s="5">
        <v>-224</v>
      </c>
      <c r="O355" s="5">
        <v>-143</v>
      </c>
      <c r="P355" s="5">
        <v>-25</v>
      </c>
      <c r="Q355" s="5">
        <v>-20</v>
      </c>
      <c r="R355" s="5">
        <v>-2</v>
      </c>
    </row>
    <row r="356" spans="2:19" x14ac:dyDescent="0.35">
      <c r="B356" s="2" t="s">
        <v>118</v>
      </c>
      <c r="C356" s="5"/>
      <c r="D356" s="115">
        <v>-400</v>
      </c>
      <c r="E356" s="115">
        <v>-400</v>
      </c>
      <c r="F356" s="5">
        <v>-447</v>
      </c>
      <c r="G356" s="5">
        <v>-309</v>
      </c>
      <c r="H356" s="5">
        <v>-262</v>
      </c>
      <c r="I356" s="5">
        <v>-270</v>
      </c>
      <c r="J356" s="5">
        <v>79</v>
      </c>
      <c r="K356" s="5">
        <v>-219</v>
      </c>
      <c r="L356" s="5">
        <v>183</v>
      </c>
      <c r="M356" s="5">
        <v>343</v>
      </c>
      <c r="N356" s="5">
        <v>250</v>
      </c>
      <c r="O356" s="5">
        <v>557</v>
      </c>
      <c r="P356" s="5">
        <v>-104</v>
      </c>
      <c r="Q356" s="5">
        <v>-611</v>
      </c>
      <c r="R356" s="5">
        <v>177</v>
      </c>
    </row>
    <row r="357" spans="2:19" x14ac:dyDescent="0.35">
      <c r="B357" s="3" t="s">
        <v>119</v>
      </c>
      <c r="C357" s="4"/>
      <c r="D357" s="4">
        <f t="shared" ref="D357:Q357" si="157">SUM(D351:D356)</f>
        <v>12617</v>
      </c>
      <c r="E357" s="4">
        <f t="shared" si="157"/>
        <v>13810</v>
      </c>
      <c r="F357" s="4">
        <f t="shared" si="157"/>
        <v>7678</v>
      </c>
      <c r="G357" s="4">
        <f t="shared" si="157"/>
        <v>12676</v>
      </c>
      <c r="H357" s="4">
        <f t="shared" si="157"/>
        <v>11585</v>
      </c>
      <c r="I357" s="4">
        <f t="shared" si="157"/>
        <v>10749</v>
      </c>
      <c r="J357" s="4">
        <f t="shared" si="157"/>
        <v>11366</v>
      </c>
      <c r="K357" s="4">
        <f t="shared" si="157"/>
        <v>12588</v>
      </c>
      <c r="L357" s="4">
        <f t="shared" si="157"/>
        <v>11919</v>
      </c>
      <c r="M357" s="4">
        <f t="shared" si="157"/>
        <v>12978</v>
      </c>
      <c r="N357" s="4">
        <f t="shared" si="157"/>
        <v>13237</v>
      </c>
      <c r="O357" s="4">
        <f t="shared" si="157"/>
        <v>13397</v>
      </c>
      <c r="P357" s="4">
        <f t="shared" si="157"/>
        <v>13837</v>
      </c>
      <c r="Q357" s="4">
        <f t="shared" si="157"/>
        <v>14878</v>
      </c>
      <c r="R357" s="4">
        <f>SUM(R351:R356)</f>
        <v>15143</v>
      </c>
    </row>
    <row r="358" spans="2:19" x14ac:dyDescent="0.35">
      <c r="B358" s="2" t="s">
        <v>109</v>
      </c>
      <c r="C358" s="6"/>
      <c r="D358" s="6">
        <f t="shared" ref="D358:Q358" si="158">-D353</f>
        <v>1052</v>
      </c>
      <c r="E358" s="6">
        <f t="shared" si="158"/>
        <v>6287</v>
      </c>
      <c r="F358" s="6">
        <f t="shared" si="158"/>
        <v>12180</v>
      </c>
      <c r="G358" s="6">
        <f t="shared" si="158"/>
        <v>6972</v>
      </c>
      <c r="H358" s="6">
        <f t="shared" si="158"/>
        <v>6940</v>
      </c>
      <c r="I358" s="6">
        <f t="shared" si="158"/>
        <v>6940</v>
      </c>
      <c r="J358" s="6">
        <f t="shared" si="158"/>
        <v>1255</v>
      </c>
      <c r="K358" s="6">
        <f t="shared" si="158"/>
        <v>1255</v>
      </c>
      <c r="L358" s="6">
        <f t="shared" si="158"/>
        <v>696</v>
      </c>
      <c r="M358" s="6">
        <f t="shared" si="158"/>
        <v>0</v>
      </c>
      <c r="N358" s="6">
        <f t="shared" si="158"/>
        <v>0</v>
      </c>
      <c r="O358" s="6">
        <f t="shared" si="158"/>
        <v>0</v>
      </c>
      <c r="P358" s="6">
        <f t="shared" si="158"/>
        <v>0</v>
      </c>
      <c r="Q358" s="6">
        <f t="shared" si="158"/>
        <v>0</v>
      </c>
      <c r="R358" s="6">
        <f>-R353</f>
        <v>2324</v>
      </c>
    </row>
    <row r="359" spans="2:19" x14ac:dyDescent="0.35">
      <c r="B359" s="2" t="s">
        <v>120</v>
      </c>
      <c r="C359" s="5"/>
      <c r="D359" s="5"/>
      <c r="E359" s="5"/>
      <c r="F359" s="5">
        <v>2540</v>
      </c>
      <c r="G359" s="5">
        <v>2541</v>
      </c>
      <c r="H359" s="5">
        <v>2542</v>
      </c>
      <c r="I359" s="5">
        <v>2543</v>
      </c>
      <c r="J359" s="5">
        <v>2544</v>
      </c>
      <c r="K359" s="5">
        <v>2546</v>
      </c>
      <c r="L359" s="5">
        <v>2520</v>
      </c>
      <c r="M359" s="5">
        <v>2489</v>
      </c>
      <c r="N359" s="5">
        <v>2491</v>
      </c>
      <c r="O359" s="5">
        <v>2493</v>
      </c>
      <c r="P359" s="5">
        <v>2496</v>
      </c>
      <c r="Q359" s="5">
        <v>2499</v>
      </c>
      <c r="R359" s="5">
        <v>0</v>
      </c>
    </row>
    <row r="360" spans="2:19" x14ac:dyDescent="0.35">
      <c r="B360" s="2" t="s">
        <v>121</v>
      </c>
      <c r="C360" s="5"/>
      <c r="D360" s="5"/>
      <c r="E360" s="5"/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-58</v>
      </c>
      <c r="M360" s="5">
        <f>-47-273</f>
        <v>-320</v>
      </c>
      <c r="N360" s="5">
        <f>-56-44</f>
        <v>-100</v>
      </c>
      <c r="O360" s="5">
        <v>-59</v>
      </c>
      <c r="P360" s="5">
        <v>-62</v>
      </c>
      <c r="Q360" s="5">
        <v>-88</v>
      </c>
      <c r="R360" s="5">
        <v>-64</v>
      </c>
    </row>
    <row r="361" spans="2:19" x14ac:dyDescent="0.35">
      <c r="B361" s="3" t="s">
        <v>122</v>
      </c>
      <c r="C361" s="4"/>
      <c r="D361" s="4">
        <f t="shared" ref="D361:P361" si="159">SUM(D357:D360)</f>
        <v>13669</v>
      </c>
      <c r="E361" s="4">
        <f t="shared" si="159"/>
        <v>20097</v>
      </c>
      <c r="F361" s="4">
        <f t="shared" si="159"/>
        <v>22398</v>
      </c>
      <c r="G361" s="4">
        <f t="shared" si="159"/>
        <v>22189</v>
      </c>
      <c r="H361" s="4">
        <f t="shared" si="159"/>
        <v>21067</v>
      </c>
      <c r="I361" s="4">
        <f t="shared" si="159"/>
        <v>20232</v>
      </c>
      <c r="J361" s="4">
        <f t="shared" si="159"/>
        <v>15165</v>
      </c>
      <c r="K361" s="4">
        <f t="shared" si="159"/>
        <v>16389</v>
      </c>
      <c r="L361" s="4">
        <f t="shared" si="159"/>
        <v>15077</v>
      </c>
      <c r="M361" s="4">
        <f t="shared" si="159"/>
        <v>15147</v>
      </c>
      <c r="N361" s="4">
        <f t="shared" si="159"/>
        <v>15628</v>
      </c>
      <c r="O361" s="4">
        <f t="shared" si="159"/>
        <v>15831</v>
      </c>
      <c r="P361" s="4">
        <f t="shared" si="159"/>
        <v>16271</v>
      </c>
      <c r="Q361" s="4">
        <f>SUM(Q357:Q360)</f>
        <v>17289</v>
      </c>
      <c r="R361" s="4">
        <f>SUM(R357:R360)</f>
        <v>17403</v>
      </c>
    </row>
    <row r="362" spans="2:19" x14ac:dyDescent="0.35">
      <c r="B362" s="2" t="s">
        <v>123</v>
      </c>
      <c r="C362" s="5"/>
      <c r="D362" s="5"/>
      <c r="E362" s="5"/>
      <c r="F362" s="114" t="s">
        <v>24</v>
      </c>
      <c r="G362" s="114" t="s">
        <v>24</v>
      </c>
      <c r="H362" s="5">
        <v>235</v>
      </c>
      <c r="I362" s="5">
        <v>251</v>
      </c>
      <c r="J362" s="5">
        <v>271</v>
      </c>
      <c r="K362" s="5">
        <v>237</v>
      </c>
      <c r="L362" s="5">
        <v>932</v>
      </c>
      <c r="M362" s="5">
        <v>1174</v>
      </c>
      <c r="N362" s="5">
        <v>1113</v>
      </c>
      <c r="O362" s="5">
        <v>1031</v>
      </c>
      <c r="P362" s="5">
        <v>1033</v>
      </c>
      <c r="Q362" s="5">
        <v>829</v>
      </c>
      <c r="R362" s="5">
        <v>623</v>
      </c>
    </row>
    <row r="363" spans="2:19" x14ac:dyDescent="0.35">
      <c r="B363" s="2" t="s">
        <v>124</v>
      </c>
      <c r="C363" s="5"/>
      <c r="D363" s="5"/>
      <c r="E363" s="5"/>
      <c r="F363" s="114" t="s">
        <v>24</v>
      </c>
      <c r="G363" s="114" t="s">
        <v>24</v>
      </c>
      <c r="H363" s="5">
        <f>1505-143</f>
        <v>1362</v>
      </c>
      <c r="I363" s="5">
        <f>1378-192</f>
        <v>1186</v>
      </c>
      <c r="J363" s="5">
        <f>1208-239</f>
        <v>969</v>
      </c>
      <c r="K363" s="5">
        <f>1054-386</f>
        <v>668</v>
      </c>
      <c r="L363" s="5">
        <f>1054-58</f>
        <v>996</v>
      </c>
      <c r="M363" s="5">
        <v>1098</v>
      </c>
      <c r="N363" s="5">
        <v>1233</v>
      </c>
      <c r="O363" s="5">
        <v>1184</v>
      </c>
      <c r="P363" s="5">
        <v>1202</v>
      </c>
      <c r="Q363" s="5">
        <v>1660</v>
      </c>
      <c r="R363" s="5">
        <v>1698</v>
      </c>
    </row>
    <row r="364" spans="2:19" x14ac:dyDescent="0.35">
      <c r="B364" s="3" t="s">
        <v>125</v>
      </c>
      <c r="C364" s="4"/>
      <c r="D364" s="4">
        <f t="shared" ref="D364:Q364" si="160">SUM(D361:D363)</f>
        <v>13669</v>
      </c>
      <c r="E364" s="4">
        <f t="shared" si="160"/>
        <v>20097</v>
      </c>
      <c r="F364" s="4">
        <f t="shared" si="160"/>
        <v>22398</v>
      </c>
      <c r="G364" s="4">
        <f t="shared" si="160"/>
        <v>22189</v>
      </c>
      <c r="H364" s="4">
        <f t="shared" si="160"/>
        <v>22664</v>
      </c>
      <c r="I364" s="4">
        <f t="shared" si="160"/>
        <v>21669</v>
      </c>
      <c r="J364" s="4">
        <f t="shared" si="160"/>
        <v>16405</v>
      </c>
      <c r="K364" s="4">
        <f t="shared" si="160"/>
        <v>17294</v>
      </c>
      <c r="L364" s="4">
        <f t="shared" si="160"/>
        <v>17005</v>
      </c>
      <c r="M364" s="4">
        <f t="shared" si="160"/>
        <v>17419</v>
      </c>
      <c r="N364" s="4">
        <f t="shared" si="160"/>
        <v>17974</v>
      </c>
      <c r="O364" s="4">
        <f t="shared" si="160"/>
        <v>18046</v>
      </c>
      <c r="P364" s="4">
        <f t="shared" si="160"/>
        <v>18506</v>
      </c>
      <c r="Q364" s="4">
        <f t="shared" si="160"/>
        <v>19778</v>
      </c>
      <c r="R364" s="4">
        <f>SUM(R361:R363)</f>
        <v>19724</v>
      </c>
    </row>
    <row r="365" spans="2:19" x14ac:dyDescent="0.35">
      <c r="B365" s="2"/>
    </row>
    <row r="366" spans="2:19" x14ac:dyDescent="0.35">
      <c r="B366" s="15" t="s">
        <v>126</v>
      </c>
    </row>
    <row r="367" spans="2:19" x14ac:dyDescent="0.35">
      <c r="B367" s="2" t="s">
        <v>127</v>
      </c>
      <c r="D367" s="6">
        <f t="shared" ref="D367" si="161">+D319</f>
        <v>17677</v>
      </c>
      <c r="E367" s="6">
        <f t="shared" ref="E367" si="162">+E319</f>
        <v>15151</v>
      </c>
      <c r="F367" s="6">
        <f t="shared" ref="F367:Q367" si="163">+F319</f>
        <v>14788</v>
      </c>
      <c r="G367" s="6">
        <f t="shared" si="163"/>
        <v>11670</v>
      </c>
      <c r="H367" s="6">
        <f t="shared" si="163"/>
        <v>13035</v>
      </c>
      <c r="I367" s="6">
        <f t="shared" si="163"/>
        <v>7513</v>
      </c>
      <c r="J367" s="6">
        <f t="shared" si="163"/>
        <v>5531</v>
      </c>
      <c r="K367" s="6">
        <f t="shared" si="163"/>
        <v>5576</v>
      </c>
      <c r="L367" s="6">
        <f t="shared" si="163"/>
        <v>6380</v>
      </c>
      <c r="M367" s="6">
        <f t="shared" si="163"/>
        <v>5934</v>
      </c>
      <c r="N367" s="6">
        <f t="shared" si="163"/>
        <v>4252</v>
      </c>
      <c r="O367" s="6">
        <f t="shared" si="163"/>
        <v>4537</v>
      </c>
      <c r="P367" s="6">
        <f t="shared" si="163"/>
        <v>3555</v>
      </c>
      <c r="Q367" s="6">
        <f t="shared" si="163"/>
        <v>15621</v>
      </c>
      <c r="R367" s="6">
        <f>+R319</f>
        <v>5062</v>
      </c>
      <c r="S367" s="20"/>
    </row>
    <row r="368" spans="2:19" x14ac:dyDescent="0.35">
      <c r="B368" s="2" t="s">
        <v>128</v>
      </c>
      <c r="D368" s="6">
        <f t="shared" ref="D368" si="164">SUM(D320:D322)</f>
        <v>16740</v>
      </c>
      <c r="E368" s="6">
        <f t="shared" ref="E368" si="165">SUM(E320:E322)</f>
        <v>7444</v>
      </c>
      <c r="F368" s="6">
        <f t="shared" ref="F368:L368" si="166">SUM(F320:F322)</f>
        <v>12897</v>
      </c>
      <c r="G368" s="6">
        <f t="shared" si="166"/>
        <v>15086</v>
      </c>
      <c r="H368" s="6">
        <f t="shared" si="166"/>
        <v>15757</v>
      </c>
      <c r="I368" s="6">
        <f t="shared" si="166"/>
        <v>14178</v>
      </c>
      <c r="J368" s="6">
        <f t="shared" si="166"/>
        <v>17083</v>
      </c>
      <c r="K368" s="6">
        <f t="shared" si="166"/>
        <v>16137</v>
      </c>
      <c r="L368" s="6">
        <f t="shared" si="166"/>
        <v>17157</v>
      </c>
      <c r="M368" s="6">
        <f>SUM(M320:M322)</f>
        <v>19765</v>
      </c>
      <c r="N368" s="6">
        <f t="shared" ref="N368:R368" si="167">SUM(N320:N322)</f>
        <v>24720</v>
      </c>
      <c r="O368" s="6">
        <f t="shared" si="167"/>
        <v>28438</v>
      </c>
      <c r="P368" s="6">
        <f t="shared" si="167"/>
        <v>32468</v>
      </c>
      <c r="Q368" s="6">
        <f t="shared" si="167"/>
        <v>32154</v>
      </c>
      <c r="R368" s="6">
        <f t="shared" si="167"/>
        <v>35859</v>
      </c>
      <c r="S368" s="20"/>
    </row>
    <row r="369" spans="2:19" x14ac:dyDescent="0.35">
      <c r="B369" s="2" t="s">
        <v>93</v>
      </c>
      <c r="D369" s="6">
        <f t="shared" ref="D369" si="168">+D323</f>
        <v>20559</v>
      </c>
      <c r="E369" s="6">
        <f t="shared" ref="E369" si="169">+E323</f>
        <v>7919</v>
      </c>
      <c r="F369" s="6">
        <f t="shared" ref="F369:Q369" si="170">+F323</f>
        <v>20625</v>
      </c>
      <c r="G369" s="6">
        <f t="shared" si="170"/>
        <v>11411</v>
      </c>
      <c r="H369" s="6">
        <f t="shared" si="170"/>
        <v>8557</v>
      </c>
      <c r="I369" s="6">
        <f t="shared" si="170"/>
        <v>2576</v>
      </c>
      <c r="J369" s="6">
        <f t="shared" si="170"/>
        <v>35</v>
      </c>
      <c r="K369" s="6">
        <f t="shared" si="170"/>
        <v>2003</v>
      </c>
      <c r="L369" s="6">
        <f t="shared" si="170"/>
        <v>105</v>
      </c>
      <c r="M369" s="6">
        <f t="shared" si="170"/>
        <v>0</v>
      </c>
      <c r="N369" s="6">
        <f t="shared" si="170"/>
        <v>108</v>
      </c>
      <c r="O369" s="6">
        <f t="shared" si="170"/>
        <v>314</v>
      </c>
      <c r="P369" s="6">
        <f t="shared" si="170"/>
        <v>158</v>
      </c>
      <c r="Q369" s="6">
        <f t="shared" si="170"/>
        <v>406</v>
      </c>
      <c r="R369" s="6">
        <f>+R323</f>
        <v>549</v>
      </c>
      <c r="S369" s="20"/>
    </row>
    <row r="370" spans="2:19" x14ac:dyDescent="0.35">
      <c r="B370" s="2" t="s">
        <v>132</v>
      </c>
      <c r="D370" s="6">
        <f t="shared" ref="D370" si="171">(D$324+D$325)*((D377-D373)/SUM(D$377:D$379,-D$373))</f>
        <v>49143.79304509877</v>
      </c>
      <c r="E370" s="6">
        <f t="shared" ref="E370" si="172">(E$324+E$325)*((E377-E373)/SUM(E$377:E$379,-E$373))</f>
        <v>49597.885483763857</v>
      </c>
      <c r="F370" s="6">
        <f t="shared" ref="F370:Q370" si="173">(F$324+F$325)*((F377-F373)/SUM(F$377:F$379,-F$373))</f>
        <v>43154.938770138513</v>
      </c>
      <c r="G370" s="6">
        <f t="shared" si="173"/>
        <v>66779.792973135802</v>
      </c>
      <c r="H370" s="6">
        <f t="shared" si="173"/>
        <v>81674.210884689397</v>
      </c>
      <c r="I370" s="6">
        <f t="shared" si="173"/>
        <v>83977.161125566156</v>
      </c>
      <c r="J370" s="6">
        <f t="shared" si="173"/>
        <v>91007.653707414836</v>
      </c>
      <c r="K370" s="6">
        <f t="shared" si="173"/>
        <v>89637.687930234359</v>
      </c>
      <c r="L370" s="6">
        <f t="shared" si="173"/>
        <v>98241.689383776044</v>
      </c>
      <c r="M370" s="6">
        <f t="shared" si="173"/>
        <v>106168.50653535796</v>
      </c>
      <c r="N370" s="6">
        <f t="shared" si="173"/>
        <v>107005.65187542282</v>
      </c>
      <c r="O370" s="6">
        <f t="shared" si="173"/>
        <v>108815.96909169979</v>
      </c>
      <c r="P370" s="6">
        <f t="shared" si="173"/>
        <v>104918.84493763035</v>
      </c>
      <c r="Q370" s="6">
        <f t="shared" si="173"/>
        <v>94416.875344376342</v>
      </c>
      <c r="R370" s="6">
        <f>(R$324+R$325)*((R377-R373)/SUM(R$377:R$379,-R$373))</f>
        <v>93114.15818632576</v>
      </c>
      <c r="S370" s="20"/>
    </row>
    <row r="371" spans="2:19" x14ac:dyDescent="0.35">
      <c r="B371" s="2" t="s">
        <v>133</v>
      </c>
      <c r="D371" s="6">
        <f t="shared" ref="D371" si="174">(D$324+D$325)*((D378)/SUM(D$377:D$379,-D$373))</f>
        <v>75615.206954901238</v>
      </c>
      <c r="E371" s="6">
        <f t="shared" ref="E371" si="175">(E$324+E$325)*((E378)/SUM(E$377:E$379,-E$373))</f>
        <v>48697.114516236135</v>
      </c>
      <c r="F371" s="6">
        <f t="shared" ref="F371:Q371" si="176">(F$324+F$325)*((F378)/SUM(F$377:F$379,-F$373))</f>
        <v>32101.061229861483</v>
      </c>
      <c r="G371" s="6">
        <f t="shared" si="176"/>
        <v>33760.207026864206</v>
      </c>
      <c r="H371" s="6">
        <f t="shared" si="176"/>
        <v>31577.789115310603</v>
      </c>
      <c r="I371" s="6">
        <f t="shared" si="176"/>
        <v>13907.838874433844</v>
      </c>
      <c r="J371" s="6">
        <f t="shared" si="176"/>
        <v>8112.34629258517</v>
      </c>
      <c r="K371" s="6">
        <f t="shared" si="176"/>
        <v>7543.9647691236751</v>
      </c>
      <c r="L371" s="6">
        <f t="shared" si="176"/>
        <v>9657.5738127180048</v>
      </c>
      <c r="M371" s="6">
        <f t="shared" si="176"/>
        <v>8409.2964500244907</v>
      </c>
      <c r="N371" s="6">
        <f t="shared" si="176"/>
        <v>11892.225501741375</v>
      </c>
      <c r="O371" s="6">
        <f t="shared" si="176"/>
        <v>15201.077317345924</v>
      </c>
      <c r="P371" s="6">
        <f t="shared" si="176"/>
        <v>16266.572793452171</v>
      </c>
      <c r="Q371" s="6">
        <f t="shared" si="176"/>
        <v>14773.50488153454</v>
      </c>
      <c r="R371" s="6">
        <f>(R$324+R$325)*((R378)/SUM(R$377:R$379,-R$373))</f>
        <v>17909.154779572978</v>
      </c>
      <c r="S371" s="20"/>
    </row>
    <row r="372" spans="2:19" x14ac:dyDescent="0.35">
      <c r="B372" s="2" t="s">
        <v>134</v>
      </c>
      <c r="D372" s="6">
        <f t="shared" ref="D372" si="177">(D$324+D$325)*((D379)/SUM(D$377:D$379,-D$373))</f>
        <v>0</v>
      </c>
      <c r="E372" s="6">
        <f t="shared" ref="E372" si="178">(E$324+E$325)*((E379)/SUM(E$377:E$379,-E$373))</f>
        <v>0</v>
      </c>
      <c r="F372" s="6">
        <f t="shared" ref="F372:Q372" si="179">(F$324+F$325)*((F379)/SUM(F$377:F$379,-F$373))</f>
        <v>0</v>
      </c>
      <c r="G372" s="6">
        <f t="shared" si="179"/>
        <v>0</v>
      </c>
      <c r="H372" s="6">
        <f t="shared" si="179"/>
        <v>0</v>
      </c>
      <c r="I372" s="6">
        <f t="shared" si="179"/>
        <v>0</v>
      </c>
      <c r="J372" s="6">
        <f t="shared" si="179"/>
        <v>0</v>
      </c>
      <c r="K372" s="6">
        <f t="shared" si="179"/>
        <v>1789.3473006419674</v>
      </c>
      <c r="L372" s="6">
        <f t="shared" si="179"/>
        <v>2646.7368035059476</v>
      </c>
      <c r="M372" s="6">
        <f t="shared" si="179"/>
        <v>3222.1970146175463</v>
      </c>
      <c r="N372" s="6">
        <f t="shared" si="179"/>
        <v>2719.12262283581</v>
      </c>
      <c r="O372" s="6">
        <f t="shared" si="179"/>
        <v>4666.9535909542747</v>
      </c>
      <c r="P372" s="6">
        <f t="shared" si="179"/>
        <v>5782.5822689174838</v>
      </c>
      <c r="Q372" s="6">
        <f t="shared" si="179"/>
        <v>6060.6197740891248</v>
      </c>
      <c r="R372" s="6">
        <f>(R$324+R$325)*((R379)/SUM(R$377:R$379,-R$373))</f>
        <v>7977.6870341012582</v>
      </c>
      <c r="S372" s="20"/>
    </row>
    <row r="373" spans="2:19" x14ac:dyDescent="0.35">
      <c r="B373" s="2" t="s">
        <v>11</v>
      </c>
      <c r="D373" s="6">
        <f t="shared" ref="D373" si="180">+D327</f>
        <v>32348</v>
      </c>
      <c r="E373" s="6">
        <f t="shared" ref="E373" si="181">+E327</f>
        <v>26390</v>
      </c>
      <c r="F373" s="6">
        <f t="shared" ref="F373:Q373" si="182">+F327</f>
        <v>15995</v>
      </c>
      <c r="G373" s="6">
        <f t="shared" si="182"/>
        <v>9128</v>
      </c>
      <c r="H373" s="6">
        <f t="shared" si="182"/>
        <v>9275</v>
      </c>
      <c r="I373" s="6">
        <f t="shared" si="182"/>
        <v>13550</v>
      </c>
      <c r="J373" s="6">
        <f t="shared" si="182"/>
        <v>17680</v>
      </c>
      <c r="K373" s="6">
        <f t="shared" si="182"/>
        <v>19510</v>
      </c>
      <c r="L373" s="6">
        <f t="shared" si="182"/>
        <v>16271</v>
      </c>
      <c r="M373" s="6">
        <f t="shared" si="182"/>
        <v>11470</v>
      </c>
      <c r="N373" s="6">
        <f t="shared" si="182"/>
        <v>8741</v>
      </c>
      <c r="O373" s="6">
        <f t="shared" si="182"/>
        <v>8417</v>
      </c>
      <c r="P373" s="6">
        <f t="shared" si="182"/>
        <v>8864</v>
      </c>
      <c r="Q373" s="6">
        <f t="shared" si="182"/>
        <v>9639</v>
      </c>
      <c r="R373" s="6">
        <f>+R327</f>
        <v>10862</v>
      </c>
      <c r="S373" s="20"/>
    </row>
    <row r="374" spans="2:19" x14ac:dyDescent="0.35">
      <c r="B374" s="2" t="s">
        <v>12</v>
      </c>
      <c r="D374" s="6">
        <f t="shared" ref="D374:Q374" si="183">(D330-SUM(D367:D373))*0.5</f>
        <v>18428</v>
      </c>
      <c r="E374" s="6">
        <f t="shared" si="183"/>
        <v>17138.5</v>
      </c>
      <c r="F374" s="6">
        <f t="shared" si="183"/>
        <v>16372.5</v>
      </c>
      <c r="G374" s="6">
        <f t="shared" si="183"/>
        <v>12086.5</v>
      </c>
      <c r="H374" s="6">
        <f t="shared" si="183"/>
        <v>12091.5</v>
      </c>
      <c r="I374" s="6">
        <f t="shared" si="183"/>
        <v>23322.5</v>
      </c>
      <c r="J374" s="6">
        <f t="shared" si="183"/>
        <v>5859</v>
      </c>
      <c r="K374" s="6">
        <f t="shared" si="183"/>
        <v>4717</v>
      </c>
      <c r="L374" s="6">
        <f t="shared" si="183"/>
        <v>4061</v>
      </c>
      <c r="M374" s="6">
        <f t="shared" si="183"/>
        <v>4379.4999999999854</v>
      </c>
      <c r="N374" s="6">
        <f t="shared" si="183"/>
        <v>3855.0000000000146</v>
      </c>
      <c r="O374" s="6">
        <f t="shared" si="183"/>
        <v>4239.5</v>
      </c>
      <c r="P374" s="6">
        <f t="shared" si="183"/>
        <v>4315.4999999999854</v>
      </c>
      <c r="Q374" s="6">
        <f t="shared" si="183"/>
        <v>4546.9999999999854</v>
      </c>
      <c r="R374" s="6">
        <f>(R330-SUM(R367:R373))*0.5</f>
        <v>5390.5000000000146</v>
      </c>
      <c r="S374" s="20"/>
    </row>
    <row r="375" spans="2:19" x14ac:dyDescent="0.35">
      <c r="B375" s="2" t="s">
        <v>140</v>
      </c>
      <c r="D375" s="5">
        <v>172300</v>
      </c>
      <c r="E375" s="5">
        <v>152000</v>
      </c>
      <c r="F375" s="5">
        <v>107100</v>
      </c>
      <c r="G375" s="5">
        <v>49788</v>
      </c>
      <c r="H375" s="5">
        <v>48860</v>
      </c>
      <c r="I375" s="5">
        <v>1592</v>
      </c>
      <c r="J375" s="5">
        <f>899+40</f>
        <v>939</v>
      </c>
      <c r="K375" s="5">
        <f>2801+362</f>
        <v>3163</v>
      </c>
      <c r="L375" s="5">
        <v>3527</v>
      </c>
      <c r="M375" s="5">
        <v>3574</v>
      </c>
      <c r="N375" s="5">
        <v>2791</v>
      </c>
      <c r="O375" s="5">
        <v>2334</v>
      </c>
      <c r="P375" s="5">
        <v>1837</v>
      </c>
      <c r="Q375" s="5">
        <v>1754</v>
      </c>
      <c r="R375" s="5">
        <v>2416</v>
      </c>
      <c r="S375" s="20"/>
    </row>
    <row r="376" spans="2:19" x14ac:dyDescent="0.35">
      <c r="B376" s="3" t="s">
        <v>129</v>
      </c>
      <c r="C376" s="4"/>
      <c r="D376" s="4">
        <f t="shared" ref="D376" si="184">SUM(D367:D375)</f>
        <v>402811</v>
      </c>
      <c r="E376" s="4">
        <f t="shared" ref="E376" si="185">SUM(E367:E375)</f>
        <v>324337.5</v>
      </c>
      <c r="F376" s="4">
        <f>SUM(F367:F375)</f>
        <v>263033.5</v>
      </c>
      <c r="G376" s="4">
        <f t="shared" ref="G376:R376" si="186">SUM(G367:G375)</f>
        <v>209709.5</v>
      </c>
      <c r="H376" s="4">
        <f t="shared" si="186"/>
        <v>220827.5</v>
      </c>
      <c r="I376" s="4">
        <f t="shared" si="186"/>
        <v>160616.5</v>
      </c>
      <c r="J376" s="4">
        <f t="shared" si="186"/>
        <v>146247</v>
      </c>
      <c r="K376" s="4">
        <f t="shared" si="186"/>
        <v>150077</v>
      </c>
      <c r="L376" s="4">
        <f t="shared" si="186"/>
        <v>158047</v>
      </c>
      <c r="M376" s="4">
        <f t="shared" si="186"/>
        <v>162922.5</v>
      </c>
      <c r="N376" s="4">
        <f t="shared" si="186"/>
        <v>166084</v>
      </c>
      <c r="O376" s="4">
        <f t="shared" si="186"/>
        <v>176963.5</v>
      </c>
      <c r="P376" s="4">
        <f t="shared" si="186"/>
        <v>178165.5</v>
      </c>
      <c r="Q376" s="4">
        <f t="shared" si="186"/>
        <v>179372</v>
      </c>
      <c r="R376" s="4">
        <f t="shared" si="186"/>
        <v>179139.5</v>
      </c>
      <c r="S376" s="20"/>
    </row>
    <row r="377" spans="2:19" x14ac:dyDescent="0.35">
      <c r="B377" s="2" t="s">
        <v>135</v>
      </c>
      <c r="D377" s="5">
        <v>85191</v>
      </c>
      <c r="E377" s="5">
        <v>71981</v>
      </c>
      <c r="F377" s="5">
        <v>68282</v>
      </c>
      <c r="G377" s="5">
        <v>81893</v>
      </c>
      <c r="H377" s="5">
        <v>96971</v>
      </c>
      <c r="I377" s="5">
        <f>128411-25835</f>
        <v>102576</v>
      </c>
      <c r="J377" s="5">
        <v>109312</v>
      </c>
      <c r="K377" s="5">
        <v>113188</v>
      </c>
      <c r="L377" s="5">
        <v>115636</v>
      </c>
      <c r="M377" s="5">
        <v>116347</v>
      </c>
      <c r="N377" s="5">
        <v>114089</v>
      </c>
      <c r="O377" s="5">
        <v>117304</v>
      </c>
      <c r="P377" s="5">
        <v>113863</v>
      </c>
      <c r="Q377" s="5">
        <v>104794</v>
      </c>
      <c r="R377" s="5">
        <v>103653</v>
      </c>
    </row>
    <row r="378" spans="2:19" x14ac:dyDescent="0.35">
      <c r="B378" s="2" t="s">
        <v>136</v>
      </c>
      <c r="D378" s="5">
        <v>81307</v>
      </c>
      <c r="E378" s="5">
        <v>44763</v>
      </c>
      <c r="F378" s="5">
        <v>38894</v>
      </c>
      <c r="G378" s="5">
        <v>36786</v>
      </c>
      <c r="H378" s="5">
        <v>33906</v>
      </c>
      <c r="I378" s="5">
        <v>14744</v>
      </c>
      <c r="J378" s="5">
        <v>8168</v>
      </c>
      <c r="K378" s="5">
        <v>7884</v>
      </c>
      <c r="L378" s="5">
        <v>9768</v>
      </c>
      <c r="M378" s="5">
        <v>8307</v>
      </c>
      <c r="N378" s="5">
        <v>11708</v>
      </c>
      <c r="O378" s="5">
        <v>15211</v>
      </c>
      <c r="P378" s="5">
        <v>16279</v>
      </c>
      <c r="Q378" s="5">
        <v>14889</v>
      </c>
      <c r="R378" s="5">
        <v>17847</v>
      </c>
    </row>
    <row r="379" spans="2:19" x14ac:dyDescent="0.35">
      <c r="B379" s="2" t="s">
        <v>137</v>
      </c>
      <c r="K379" s="5">
        <v>1870</v>
      </c>
      <c r="L379" s="5">
        <v>2677</v>
      </c>
      <c r="M379" s="5">
        <v>3183</v>
      </c>
      <c r="N379" s="5">
        <v>2677</v>
      </c>
      <c r="O379" s="5">
        <v>4670</v>
      </c>
      <c r="P379" s="5">
        <v>5787</v>
      </c>
      <c r="Q379" s="5">
        <v>6108</v>
      </c>
      <c r="R379" s="5">
        <v>7950</v>
      </c>
    </row>
    <row r="380" spans="2:19" s="18" customFormat="1" x14ac:dyDescent="0.35">
      <c r="B380" s="36" t="s">
        <v>243</v>
      </c>
      <c r="D380" s="19">
        <f t="shared" ref="D380:Q380" si="187">SUM(D320:D324,D318,D327)</f>
        <v>213334</v>
      </c>
      <c r="E380" s="19">
        <f t="shared" si="187"/>
        <v>157128</v>
      </c>
      <c r="F380" s="19">
        <f t="shared" si="187"/>
        <v>140166</v>
      </c>
      <c r="G380" s="19">
        <f t="shared" si="187"/>
        <v>147994</v>
      </c>
      <c r="H380" s="19">
        <f t="shared" si="187"/>
        <v>158904</v>
      </c>
      <c r="I380" s="19">
        <f t="shared" si="187"/>
        <v>135799</v>
      </c>
      <c r="J380" s="19">
        <f t="shared" si="187"/>
        <v>139342</v>
      </c>
      <c r="K380" s="19">
        <f t="shared" si="187"/>
        <v>141826</v>
      </c>
      <c r="L380" s="19">
        <f t="shared" si="187"/>
        <v>149365</v>
      </c>
      <c r="M380" s="19">
        <f t="shared" si="187"/>
        <v>154566</v>
      </c>
      <c r="N380" s="19">
        <f t="shared" si="187"/>
        <v>159870</v>
      </c>
      <c r="O380" s="19">
        <f t="shared" si="187"/>
        <v>170822</v>
      </c>
      <c r="P380" s="19">
        <f t="shared" si="187"/>
        <v>172657</v>
      </c>
      <c r="Q380" s="19">
        <f t="shared" si="187"/>
        <v>175630</v>
      </c>
      <c r="R380" s="19">
        <f>SUM(R320:R324,R318,R327)</f>
        <v>174098</v>
      </c>
    </row>
    <row r="382" spans="2:19" x14ac:dyDescent="0.35">
      <c r="B382" s="2" t="s">
        <v>127</v>
      </c>
      <c r="D382" s="17">
        <v>0</v>
      </c>
      <c r="E382" s="17">
        <v>0</v>
      </c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</row>
    <row r="383" spans="2:19" x14ac:dyDescent="0.35">
      <c r="B383" s="2" t="s">
        <v>128</v>
      </c>
      <c r="D383" s="17">
        <v>0.4</v>
      </c>
      <c r="E383" s="17">
        <v>0.4</v>
      </c>
      <c r="F383" s="17">
        <v>0.4</v>
      </c>
      <c r="G383" s="17">
        <v>0.4</v>
      </c>
      <c r="H383" s="17">
        <v>0.4</v>
      </c>
      <c r="I383" s="17">
        <v>0.4</v>
      </c>
      <c r="J383" s="17">
        <v>0.4</v>
      </c>
      <c r="K383" s="17">
        <v>0.4</v>
      </c>
      <c r="L383" s="17">
        <v>0.4</v>
      </c>
      <c r="M383" s="17">
        <v>0.4</v>
      </c>
      <c r="N383" s="17">
        <v>0.4</v>
      </c>
      <c r="O383" s="17">
        <v>0.4</v>
      </c>
      <c r="P383" s="17">
        <v>0.4</v>
      </c>
      <c r="Q383" s="17">
        <v>0.4</v>
      </c>
      <c r="R383" s="17">
        <v>0.4</v>
      </c>
    </row>
    <row r="384" spans="2:19" x14ac:dyDescent="0.35">
      <c r="B384" s="2" t="s">
        <v>93</v>
      </c>
      <c r="D384" s="17">
        <v>2</v>
      </c>
      <c r="E384" s="17">
        <v>2</v>
      </c>
      <c r="F384" s="17">
        <v>2</v>
      </c>
      <c r="G384" s="17">
        <v>2</v>
      </c>
      <c r="H384" s="17">
        <v>2</v>
      </c>
      <c r="I384" s="17">
        <v>2</v>
      </c>
      <c r="J384" s="17">
        <v>2</v>
      </c>
      <c r="K384" s="17">
        <v>2</v>
      </c>
      <c r="L384" s="17">
        <v>2</v>
      </c>
      <c r="M384" s="17">
        <v>2</v>
      </c>
      <c r="N384" s="17">
        <v>2</v>
      </c>
      <c r="O384" s="17">
        <v>2</v>
      </c>
      <c r="P384" s="17">
        <v>2</v>
      </c>
      <c r="Q384" s="17">
        <v>2</v>
      </c>
      <c r="R384" s="17">
        <v>2</v>
      </c>
    </row>
    <row r="385" spans="2:19" x14ac:dyDescent="0.35">
      <c r="B385" s="2" t="s">
        <v>132</v>
      </c>
      <c r="D385" s="17">
        <v>1</v>
      </c>
      <c r="E385" s="17">
        <v>1</v>
      </c>
      <c r="F385" s="17">
        <v>1</v>
      </c>
      <c r="G385" s="17">
        <v>1</v>
      </c>
      <c r="H385" s="17">
        <v>1</v>
      </c>
      <c r="I385" s="17">
        <v>1</v>
      </c>
      <c r="J385" s="17">
        <v>1</v>
      </c>
      <c r="K385" s="17">
        <v>1</v>
      </c>
      <c r="L385" s="17">
        <v>1</v>
      </c>
      <c r="M385" s="17">
        <v>1</v>
      </c>
      <c r="N385" s="17">
        <v>1</v>
      </c>
      <c r="O385" s="17">
        <v>1</v>
      </c>
      <c r="P385" s="17">
        <v>1</v>
      </c>
      <c r="Q385" s="17">
        <v>1</v>
      </c>
      <c r="R385" s="17">
        <v>1</v>
      </c>
    </row>
    <row r="386" spans="2:19" x14ac:dyDescent="0.35">
      <c r="B386" s="2" t="s">
        <v>133</v>
      </c>
      <c r="D386" s="17">
        <v>0.5</v>
      </c>
      <c r="E386" s="17">
        <v>0.5</v>
      </c>
      <c r="F386" s="17">
        <v>0.5</v>
      </c>
      <c r="G386" s="17">
        <v>0.5</v>
      </c>
      <c r="H386" s="17">
        <v>0.5</v>
      </c>
      <c r="I386" s="17">
        <v>0.5</v>
      </c>
      <c r="J386" s="17">
        <v>0.5</v>
      </c>
      <c r="K386" s="17">
        <v>0.5</v>
      </c>
      <c r="L386" s="17">
        <v>0.5</v>
      </c>
      <c r="M386" s="17">
        <v>0.5</v>
      </c>
      <c r="N386" s="17">
        <v>0.5</v>
      </c>
      <c r="O386" s="17">
        <v>0.5</v>
      </c>
      <c r="P386" s="17">
        <v>0.5</v>
      </c>
      <c r="Q386" s="17">
        <v>0.5</v>
      </c>
      <c r="R386" s="17">
        <v>0.5</v>
      </c>
    </row>
    <row r="387" spans="2:19" x14ac:dyDescent="0.35">
      <c r="B387" s="2" t="s">
        <v>134</v>
      </c>
      <c r="D387" s="17">
        <v>1</v>
      </c>
      <c r="E387" s="17">
        <v>1</v>
      </c>
      <c r="F387" s="17">
        <v>1</v>
      </c>
      <c r="G387" s="17">
        <v>1</v>
      </c>
      <c r="H387" s="17">
        <v>1</v>
      </c>
      <c r="I387" s="17">
        <v>1</v>
      </c>
      <c r="J387" s="17">
        <v>1</v>
      </c>
      <c r="K387" s="17">
        <v>1</v>
      </c>
      <c r="L387" s="17">
        <v>1</v>
      </c>
      <c r="M387" s="17">
        <v>1</v>
      </c>
      <c r="N387" s="17">
        <v>1</v>
      </c>
      <c r="O387" s="17">
        <v>1</v>
      </c>
      <c r="P387" s="17">
        <v>1</v>
      </c>
      <c r="Q387" s="17">
        <v>1</v>
      </c>
      <c r="R387" s="17">
        <v>1</v>
      </c>
    </row>
    <row r="388" spans="2:19" x14ac:dyDescent="0.35">
      <c r="B388" s="2" t="s">
        <v>11</v>
      </c>
      <c r="D388" s="17">
        <v>1</v>
      </c>
      <c r="E388" s="17">
        <v>1</v>
      </c>
      <c r="F388" s="17">
        <v>1</v>
      </c>
      <c r="G388" s="17">
        <v>1</v>
      </c>
      <c r="H388" s="17">
        <v>1</v>
      </c>
      <c r="I388" s="17">
        <v>1</v>
      </c>
      <c r="J388" s="17">
        <v>1</v>
      </c>
      <c r="K388" s="17">
        <v>1</v>
      </c>
      <c r="L388" s="17">
        <v>1</v>
      </c>
      <c r="M388" s="17">
        <v>1</v>
      </c>
      <c r="N388" s="17">
        <v>1</v>
      </c>
      <c r="O388" s="17">
        <v>1</v>
      </c>
      <c r="P388" s="17">
        <v>1</v>
      </c>
      <c r="Q388" s="17">
        <v>1</v>
      </c>
      <c r="R388" s="17">
        <v>1</v>
      </c>
    </row>
    <row r="389" spans="2:19" x14ac:dyDescent="0.35">
      <c r="B389" s="2" t="s">
        <v>12</v>
      </c>
      <c r="D389" s="17">
        <v>1</v>
      </c>
      <c r="E389" s="17">
        <v>1</v>
      </c>
      <c r="F389" s="17">
        <v>1</v>
      </c>
      <c r="G389" s="17">
        <v>1</v>
      </c>
      <c r="H389" s="17">
        <v>1</v>
      </c>
      <c r="I389" s="17">
        <v>1</v>
      </c>
      <c r="J389" s="17">
        <v>1</v>
      </c>
      <c r="K389" s="17">
        <v>1</v>
      </c>
      <c r="L389" s="17">
        <v>1</v>
      </c>
      <c r="M389" s="17">
        <v>1</v>
      </c>
      <c r="N389" s="17">
        <v>1</v>
      </c>
      <c r="O389" s="17">
        <v>1</v>
      </c>
      <c r="P389" s="17">
        <v>1</v>
      </c>
      <c r="Q389" s="17">
        <v>1</v>
      </c>
      <c r="R389" s="17">
        <v>1</v>
      </c>
    </row>
    <row r="390" spans="2:19" x14ac:dyDescent="0.35">
      <c r="B390" s="2" t="s">
        <v>140</v>
      </c>
      <c r="D390" s="17">
        <v>0.9</v>
      </c>
      <c r="E390" s="17">
        <v>0.9</v>
      </c>
      <c r="F390" s="17">
        <v>0.9</v>
      </c>
      <c r="G390" s="17">
        <v>0.9</v>
      </c>
      <c r="H390" s="17">
        <v>0.9</v>
      </c>
      <c r="I390" s="17">
        <v>0.9</v>
      </c>
      <c r="J390" s="17">
        <v>0.9</v>
      </c>
      <c r="K390" s="17">
        <v>0.9</v>
      </c>
      <c r="L390" s="17">
        <v>0.9</v>
      </c>
      <c r="M390" s="17">
        <v>0.9</v>
      </c>
      <c r="N390" s="17">
        <v>0.9</v>
      </c>
      <c r="O390" s="17">
        <v>0.9</v>
      </c>
      <c r="P390" s="17">
        <v>0.9</v>
      </c>
      <c r="Q390" s="17">
        <v>0.9</v>
      </c>
      <c r="R390" s="17">
        <v>0.9</v>
      </c>
    </row>
    <row r="391" spans="2:19" x14ac:dyDescent="0.35">
      <c r="B391" s="3" t="s">
        <v>131</v>
      </c>
      <c r="C391" s="4"/>
      <c r="D391" s="16">
        <f t="shared" ref="D391:E391" si="188">SUMPRODUCT(D382:D390,D367:D375)/D376</f>
        <v>0.84558613474445676</v>
      </c>
      <c r="E391" s="16">
        <f t="shared" si="188"/>
        <v>0.84199496740858493</v>
      </c>
      <c r="F391" s="16">
        <f>SUMPRODUCT(F382:F390,F367:F375)/F376</f>
        <v>0.89103391539507049</v>
      </c>
      <c r="G391" s="16">
        <f t="shared" ref="G391:R391" si="189">SUMPRODUCT(G382:G390,G367:G375)/G376</f>
        <v>0.85136818544971926</v>
      </c>
      <c r="H391" s="16">
        <f t="shared" si="189"/>
        <v>0.84328448876315087</v>
      </c>
      <c r="I391" s="16">
        <f t="shared" si="189"/>
        <v>0.87201240571661731</v>
      </c>
      <c r="J391" s="16">
        <f t="shared" si="189"/>
        <v>0.86395705111015897</v>
      </c>
      <c r="K391" s="16">
        <f t="shared" si="189"/>
        <v>0.88443610690137853</v>
      </c>
      <c r="L391" s="16">
        <f t="shared" si="189"/>
        <v>0.86237836272527146</v>
      </c>
      <c r="M391" s="16">
        <f t="shared" si="189"/>
        <v>0.862787225674709</v>
      </c>
      <c r="N391" s="16">
        <f t="shared" si="189"/>
        <v>0.84826224831488461</v>
      </c>
      <c r="O391" s="16">
        <f t="shared" si="189"/>
        <v>0.83544776940627308</v>
      </c>
      <c r="P391" s="16">
        <f t="shared" si="189"/>
        <v>0.8249111842824447</v>
      </c>
      <c r="Q391" s="16">
        <f t="shared" si="189"/>
        <v>0.76546198715090841</v>
      </c>
      <c r="R391" s="16">
        <f t="shared" si="189"/>
        <v>0.80336789267701136</v>
      </c>
    </row>
    <row r="392" spans="2:19" x14ac:dyDescent="0.35">
      <c r="B392" s="18" t="s">
        <v>138</v>
      </c>
      <c r="C392" s="19"/>
      <c r="D392" s="20"/>
      <c r="E392" s="20"/>
      <c r="F392" s="20"/>
      <c r="G392" s="20"/>
      <c r="H392" s="20"/>
      <c r="I392" s="20"/>
      <c r="J392" s="20"/>
      <c r="K392" s="20">
        <f t="shared" ref="K392:R392" si="190">+K395/K376</f>
        <v>0.89496058689872537</v>
      </c>
      <c r="L392" s="20">
        <f t="shared" si="190"/>
        <v>0.8627433611520624</v>
      </c>
      <c r="M392" s="20">
        <f t="shared" si="190"/>
        <v>0.85033681658457239</v>
      </c>
      <c r="N392" s="20">
        <f t="shared" si="190"/>
        <v>0.83652248259916673</v>
      </c>
      <c r="O392" s="20">
        <f t="shared" si="190"/>
        <v>0.82819903539430451</v>
      </c>
      <c r="P392" s="20">
        <f t="shared" si="190"/>
        <v>0.81425416256233674</v>
      </c>
      <c r="Q392" s="20">
        <f t="shared" si="190"/>
        <v>0.77931338224472047</v>
      </c>
      <c r="R392" s="20">
        <f t="shared" si="190"/>
        <v>0.81723461324833435</v>
      </c>
    </row>
    <row r="394" spans="2:19" x14ac:dyDescent="0.35">
      <c r="B394" s="2" t="s">
        <v>142</v>
      </c>
      <c r="F394" s="5">
        <v>158314</v>
      </c>
      <c r="G394" s="5">
        <v>147964</v>
      </c>
      <c r="H394" s="5">
        <v>154319</v>
      </c>
      <c r="I394" s="5">
        <v>154038</v>
      </c>
      <c r="J394" s="5">
        <v>128575</v>
      </c>
      <c r="K394" s="5">
        <v>130590</v>
      </c>
    </row>
    <row r="395" spans="2:19" x14ac:dyDescent="0.35">
      <c r="B395" s="2" t="s">
        <v>141</v>
      </c>
      <c r="F395" s="5"/>
      <c r="G395" s="5"/>
      <c r="H395" s="5"/>
      <c r="I395" s="5"/>
      <c r="J395" s="5"/>
      <c r="K395" s="5">
        <v>134313</v>
      </c>
      <c r="L395" s="5">
        <v>136354</v>
      </c>
      <c r="M395" s="5">
        <v>138539</v>
      </c>
      <c r="N395" s="5">
        <v>138933</v>
      </c>
      <c r="O395" s="5">
        <v>146561</v>
      </c>
      <c r="P395" s="5">
        <v>145072</v>
      </c>
      <c r="Q395" s="5">
        <v>139787</v>
      </c>
      <c r="R395" s="5">
        <v>146399</v>
      </c>
      <c r="S395" s="22"/>
    </row>
    <row r="396" spans="2:19" x14ac:dyDescent="0.35">
      <c r="B396" s="2" t="s">
        <v>144</v>
      </c>
      <c r="D396" s="6">
        <f t="shared" ref="D396:Q396" si="191">+D391*D376</f>
        <v>340611.39652254939</v>
      </c>
      <c r="E396" s="6">
        <f t="shared" si="191"/>
        <v>273090.54274188192</v>
      </c>
      <c r="F396" s="6">
        <f t="shared" si="191"/>
        <v>234371.76938506926</v>
      </c>
      <c r="G396" s="6">
        <f t="shared" si="191"/>
        <v>178539.99648656789</v>
      </c>
      <c r="H396" s="6">
        <f t="shared" si="191"/>
        <v>186220.40544234469</v>
      </c>
      <c r="I396" s="6">
        <f t="shared" si="191"/>
        <v>140059.58056278306</v>
      </c>
      <c r="J396" s="6">
        <f t="shared" si="191"/>
        <v>126351.12685370742</v>
      </c>
      <c r="K396" s="6">
        <f t="shared" si="191"/>
        <v>132733.51761543818</v>
      </c>
      <c r="L396" s="6">
        <f t="shared" si="191"/>
        <v>136296.31309364099</v>
      </c>
      <c r="M396" s="6">
        <f t="shared" si="191"/>
        <v>140567.45177498777</v>
      </c>
      <c r="N396" s="6">
        <f t="shared" si="191"/>
        <v>140882.78724912929</v>
      </c>
      <c r="O396" s="6">
        <f t="shared" si="191"/>
        <v>147843.76134132702</v>
      </c>
      <c r="P396" s="6">
        <f t="shared" si="191"/>
        <v>146970.71360327391</v>
      </c>
      <c r="Q396" s="6">
        <f t="shared" si="191"/>
        <v>137302.44755923274</v>
      </c>
      <c r="R396" s="6">
        <f>+R391*R376</f>
        <v>143914.92261021349</v>
      </c>
      <c r="S396" s="22"/>
    </row>
    <row r="397" spans="2:19" x14ac:dyDescent="0.35">
      <c r="B397" t="s">
        <v>139</v>
      </c>
      <c r="F397" s="23">
        <f t="shared" ref="F397:I397" si="192">+F396/F394-1</f>
        <v>0.48042352151464351</v>
      </c>
      <c r="G397" s="23">
        <f t="shared" si="192"/>
        <v>0.20664483581525173</v>
      </c>
      <c r="H397" s="23">
        <f t="shared" si="192"/>
        <v>0.20672376986854957</v>
      </c>
      <c r="I397" s="23">
        <f t="shared" si="192"/>
        <v>-9.0746565374887678E-2</v>
      </c>
      <c r="J397" s="23">
        <f>+J396/J394-1</f>
        <v>-1.7296310684756566E-2</v>
      </c>
      <c r="K397" s="12">
        <f t="shared" ref="K397:Q397" si="193">+K396/K395-1</f>
        <v>-1.1759713390080084E-2</v>
      </c>
      <c r="L397" s="12">
        <f t="shared" si="193"/>
        <v>-4.2306721004892189E-4</v>
      </c>
      <c r="M397" s="12">
        <f t="shared" si="193"/>
        <v>1.4641738246903513E-2</v>
      </c>
      <c r="N397" s="12">
        <f t="shared" si="193"/>
        <v>1.4034010991839985E-2</v>
      </c>
      <c r="O397" s="12">
        <f t="shared" si="193"/>
        <v>8.7524057650194553E-3</v>
      </c>
      <c r="P397" s="12">
        <f t="shared" si="193"/>
        <v>1.3088077666771669E-2</v>
      </c>
      <c r="Q397" s="12">
        <f t="shared" si="193"/>
        <v>-1.7773844783615544E-2</v>
      </c>
      <c r="R397" s="12">
        <f>+R396/R395-1</f>
        <v>-1.6967857634181294E-2</v>
      </c>
    </row>
    <row r="399" spans="2:19" x14ac:dyDescent="0.35">
      <c r="B399" s="18" t="s">
        <v>143</v>
      </c>
      <c r="C399" s="18"/>
      <c r="D399" s="24">
        <f t="shared" ref="D399:I399" si="194">+D357/D396</f>
        <v>3.7042213292956337E-2</v>
      </c>
      <c r="E399" s="24">
        <f t="shared" si="194"/>
        <v>5.0569308850262361E-2</v>
      </c>
      <c r="F399" s="24">
        <f t="shared" si="194"/>
        <v>3.2759918227972085E-2</v>
      </c>
      <c r="G399" s="24">
        <f t="shared" si="194"/>
        <v>7.0998097061986079E-2</v>
      </c>
      <c r="H399" s="24">
        <f t="shared" si="194"/>
        <v>6.2211227456417537E-2</v>
      </c>
      <c r="I399" s="24">
        <f t="shared" si="194"/>
        <v>7.6745910253398608E-2</v>
      </c>
      <c r="J399" s="24">
        <f>+J357/J396</f>
        <v>8.9955667852173946E-2</v>
      </c>
      <c r="K399" s="25">
        <f t="shared" ref="K399:R399" si="195">+K357/K395</f>
        <v>9.3721382144691875E-2</v>
      </c>
      <c r="L399" s="25">
        <f t="shared" si="195"/>
        <v>8.741217712718366E-2</v>
      </c>
      <c r="M399" s="25">
        <f t="shared" si="195"/>
        <v>9.3677592591255895E-2</v>
      </c>
      <c r="N399" s="25">
        <f t="shared" si="195"/>
        <v>9.52761402978414E-2</v>
      </c>
      <c r="O399" s="25">
        <f t="shared" si="195"/>
        <v>9.1409037875014504E-2</v>
      </c>
      <c r="P399" s="25">
        <f t="shared" si="195"/>
        <v>9.5380224991728241E-2</v>
      </c>
      <c r="Q399" s="25">
        <f t="shared" si="195"/>
        <v>0.10643335932525914</v>
      </c>
      <c r="R399" s="25">
        <f t="shared" si="195"/>
        <v>0.10343649888318909</v>
      </c>
      <c r="S399" s="26">
        <v>9.2999999999999999E-2</v>
      </c>
    </row>
    <row r="400" spans="2:19" x14ac:dyDescent="0.35">
      <c r="B400" t="s">
        <v>145</v>
      </c>
      <c r="D400" s="26">
        <v>4.4999999999999998E-2</v>
      </c>
      <c r="E400" s="26">
        <v>4.4999999999999998E-2</v>
      </c>
      <c r="F400" s="26">
        <v>4.4999999999999998E-2</v>
      </c>
      <c r="G400" s="26">
        <v>4.4999999999999998E-2</v>
      </c>
      <c r="H400" s="26">
        <v>4.4999999999999998E-2</v>
      </c>
      <c r="I400" s="26">
        <v>4.4999999999999998E-2</v>
      </c>
      <c r="J400" s="26">
        <v>4.4999999999999998E-2</v>
      </c>
      <c r="K400" s="26">
        <v>4.4999999999999998E-2</v>
      </c>
      <c r="L400" s="26">
        <v>4.4999999999999998E-2</v>
      </c>
      <c r="M400" s="26">
        <v>4.4999999999999998E-2</v>
      </c>
      <c r="N400" s="26">
        <v>4.4999999999999998E-2</v>
      </c>
      <c r="O400" s="26">
        <v>4.4999999999999998E-2</v>
      </c>
      <c r="P400" s="26">
        <v>4.4999999999999998E-2</v>
      </c>
      <c r="Q400" s="26">
        <v>4.4999999999999998E-2</v>
      </c>
      <c r="R400" s="26">
        <v>4.4999999999999998E-2</v>
      </c>
      <c r="S400" s="26">
        <v>4.4999999999999998E-2</v>
      </c>
    </row>
    <row r="401" spans="2:19" x14ac:dyDescent="0.35">
      <c r="B401" t="s">
        <v>149</v>
      </c>
      <c r="D401" s="26">
        <v>3.5000000000000003E-2</v>
      </c>
      <c r="E401" s="26">
        <v>3.5000000000000003E-2</v>
      </c>
      <c r="F401" s="26">
        <v>3.5000000000000003E-2</v>
      </c>
      <c r="G401" s="26">
        <v>3.5000000000000003E-2</v>
      </c>
      <c r="H401" s="26">
        <v>3.5000000000000003E-2</v>
      </c>
      <c r="I401" s="26">
        <v>3.5000000000000003E-2</v>
      </c>
      <c r="J401" s="26">
        <v>3.5000000000000003E-2</v>
      </c>
      <c r="K401" s="26">
        <v>3.5000000000000003E-2</v>
      </c>
      <c r="L401" s="26">
        <v>3.5000000000000003E-2</v>
      </c>
      <c r="M401" s="26">
        <v>3.5000000000000003E-2</v>
      </c>
      <c r="N401" s="26">
        <v>3.5000000000000003E-2</v>
      </c>
      <c r="O401" s="26">
        <v>3.5000000000000003E-2</v>
      </c>
      <c r="P401" s="26">
        <v>3.5000000000000003E-2</v>
      </c>
      <c r="Q401" s="26">
        <v>3.5000000000000003E-2</v>
      </c>
      <c r="R401" s="26">
        <v>3.5000000000000003E-2</v>
      </c>
      <c r="S401" s="26">
        <v>2.5000000000000001E-2</v>
      </c>
    </row>
    <row r="402" spans="2:19" x14ac:dyDescent="0.35">
      <c r="B402" s="3" t="s">
        <v>146</v>
      </c>
      <c r="C402" s="3"/>
      <c r="D402" s="28">
        <f t="shared" ref="D402:J402" si="196">SUM(D400:D401)</f>
        <v>0.08</v>
      </c>
      <c r="E402" s="28">
        <f t="shared" si="196"/>
        <v>0.08</v>
      </c>
      <c r="F402" s="28">
        <f t="shared" si="196"/>
        <v>0.08</v>
      </c>
      <c r="G402" s="28">
        <f t="shared" si="196"/>
        <v>0.08</v>
      </c>
      <c r="H402" s="28">
        <f t="shared" si="196"/>
        <v>0.08</v>
      </c>
      <c r="I402" s="28">
        <f t="shared" si="196"/>
        <v>0.08</v>
      </c>
      <c r="J402" s="28">
        <f t="shared" si="196"/>
        <v>0.08</v>
      </c>
      <c r="K402" s="28">
        <f>SUM(K400:K401)</f>
        <v>0.08</v>
      </c>
      <c r="L402" s="28">
        <f t="shared" ref="L402:R402" si="197">SUM(L400:L401)</f>
        <v>0.08</v>
      </c>
      <c r="M402" s="28">
        <f t="shared" si="197"/>
        <v>0.08</v>
      </c>
      <c r="N402" s="28">
        <f t="shared" si="197"/>
        <v>0.08</v>
      </c>
      <c r="O402" s="28">
        <f t="shared" si="197"/>
        <v>0.08</v>
      </c>
      <c r="P402" s="28">
        <f t="shared" si="197"/>
        <v>0.08</v>
      </c>
      <c r="Q402" s="28">
        <f t="shared" si="197"/>
        <v>0.08</v>
      </c>
      <c r="R402" s="28">
        <f t="shared" si="197"/>
        <v>0.08</v>
      </c>
      <c r="S402" s="28">
        <f t="shared" ref="S402" si="198">SUM(S400:S401)</f>
        <v>7.0000000000000007E-2</v>
      </c>
    </row>
    <row r="403" spans="2:19" x14ac:dyDescent="0.35">
      <c r="B403" t="s">
        <v>147</v>
      </c>
      <c r="D403" s="27">
        <f t="shared" ref="D403:J403" si="199">+D399-D402</f>
        <v>-4.2957786707043664E-2</v>
      </c>
      <c r="E403" s="27">
        <f t="shared" si="199"/>
        <v>-2.9430691149737641E-2</v>
      </c>
      <c r="F403" s="27">
        <f t="shared" si="199"/>
        <v>-4.7240081772027917E-2</v>
      </c>
      <c r="G403" s="27">
        <f t="shared" si="199"/>
        <v>-9.0019029380139226E-3</v>
      </c>
      <c r="H403" s="27">
        <f t="shared" si="199"/>
        <v>-1.7788772543582465E-2</v>
      </c>
      <c r="I403" s="27">
        <f t="shared" si="199"/>
        <v>-3.2540897466013935E-3</v>
      </c>
      <c r="J403" s="27">
        <f t="shared" si="199"/>
        <v>9.9556678521739439E-3</v>
      </c>
      <c r="K403" s="27">
        <f>+K399-K402</f>
        <v>1.3721382144691874E-2</v>
      </c>
      <c r="L403" s="27">
        <f t="shared" ref="L403:R403" si="200">+L399-L402</f>
        <v>7.4121771271836584E-3</v>
      </c>
      <c r="M403" s="27">
        <f t="shared" si="200"/>
        <v>1.3677592591255894E-2</v>
      </c>
      <c r="N403" s="27">
        <f t="shared" si="200"/>
        <v>1.5276140297841398E-2</v>
      </c>
      <c r="O403" s="27">
        <f t="shared" si="200"/>
        <v>1.1409037875014502E-2</v>
      </c>
      <c r="P403" s="27">
        <f t="shared" si="200"/>
        <v>1.5380224991728239E-2</v>
      </c>
      <c r="Q403" s="27">
        <f t="shared" si="200"/>
        <v>2.6433359325259143E-2</v>
      </c>
      <c r="R403" s="27">
        <f t="shared" si="200"/>
        <v>2.3436498883189091E-2</v>
      </c>
      <c r="S403" s="27">
        <f t="shared" ref="S403" si="201">+S399-S402</f>
        <v>2.2999999999999993E-2</v>
      </c>
    </row>
    <row r="404" spans="2:19" x14ac:dyDescent="0.35">
      <c r="B404" t="s">
        <v>148</v>
      </c>
      <c r="D404" s="6">
        <f t="shared" ref="D404:J404" si="202">+D403*D395</f>
        <v>0</v>
      </c>
      <c r="E404" s="6">
        <f t="shared" si="202"/>
        <v>0</v>
      </c>
      <c r="F404" s="6">
        <f t="shared" si="202"/>
        <v>0</v>
      </c>
      <c r="G404" s="6">
        <f t="shared" si="202"/>
        <v>0</v>
      </c>
      <c r="H404" s="6">
        <f t="shared" si="202"/>
        <v>0</v>
      </c>
      <c r="I404" s="6">
        <f t="shared" si="202"/>
        <v>0</v>
      </c>
      <c r="J404" s="6">
        <f t="shared" si="202"/>
        <v>0</v>
      </c>
      <c r="K404" s="6">
        <f>+K403*K395</f>
        <v>1842.9599999999996</v>
      </c>
      <c r="L404" s="6">
        <f t="shared" ref="L404:R404" si="203">+L403*L395</f>
        <v>1010.6800000000005</v>
      </c>
      <c r="M404" s="6">
        <f t="shared" si="203"/>
        <v>1894.8800000000003</v>
      </c>
      <c r="N404" s="6">
        <f t="shared" si="203"/>
        <v>2122.3599999999988</v>
      </c>
      <c r="O404" s="6">
        <f t="shared" si="203"/>
        <v>1672.1200000000003</v>
      </c>
      <c r="P404" s="6">
        <f t="shared" si="203"/>
        <v>2231.2399999999993</v>
      </c>
      <c r="Q404" s="6">
        <f t="shared" si="203"/>
        <v>3695.04</v>
      </c>
      <c r="R404" s="6">
        <f t="shared" si="203"/>
        <v>3431.08</v>
      </c>
      <c r="S404" s="6">
        <f t="shared" ref="S404" si="204">+S403*S395</f>
        <v>0</v>
      </c>
    </row>
  </sheetData>
  <conditionalFormatting sqref="G12:R12">
    <cfRule type="cellIs" dxfId="3" priority="4" operator="equal">
      <formula>FALSE</formula>
    </cfRule>
  </conditionalFormatting>
  <conditionalFormatting sqref="D347:R347">
    <cfRule type="cellIs" dxfId="2" priority="3" operator="equal">
      <formula>FALSE</formula>
    </cfRule>
  </conditionalFormatting>
  <conditionalFormatting sqref="G20:R20">
    <cfRule type="cellIs" dxfId="1" priority="2" operator="equal">
      <formula>FALSE</formula>
    </cfRule>
  </conditionalFormatting>
  <conditionalFormatting sqref="F128:R128">
    <cfRule type="cellIs" dxfId="0" priority="1" operator="equal">
      <formula>FALSE</formula>
    </cfRule>
  </conditionalFormatting>
  <pageMargins left="0.7" right="0.7" top="0.75" bottom="0.75" header="0.3" footer="0.3"/>
  <pageSetup orientation="portrait" horizontalDpi="4294967293" r:id="rId1"/>
  <ignoredErrors>
    <ignoredError sqref="L60:R60 G138:R139 L171:R171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3A8CC-192D-49C0-B717-F68BC4DB232C}">
  <dimension ref="B6:M26"/>
  <sheetViews>
    <sheetView showGridLines="0" zoomScale="85" zoomScaleNormal="85" workbookViewId="0">
      <selection activeCell="C34" sqref="C34"/>
    </sheetView>
  </sheetViews>
  <sheetFormatPr defaultRowHeight="14.5" x14ac:dyDescent="0.35"/>
  <cols>
    <col min="2" max="2" width="31.81640625" bestFit="1" customWidth="1"/>
    <col min="5" max="5" width="3.54296875" customWidth="1"/>
    <col min="8" max="8" width="3.54296875" customWidth="1"/>
    <col min="11" max="11" width="3.54296875" customWidth="1"/>
  </cols>
  <sheetData>
    <row r="6" spans="2:13" x14ac:dyDescent="0.35">
      <c r="C6" s="48" t="s">
        <v>237</v>
      </c>
      <c r="D6" s="48"/>
      <c r="F6" s="48" t="s">
        <v>238</v>
      </c>
      <c r="G6" s="48"/>
      <c r="I6" s="48" t="s">
        <v>236</v>
      </c>
      <c r="J6" s="48"/>
      <c r="L6" s="48" t="s">
        <v>240</v>
      </c>
      <c r="M6" s="48"/>
    </row>
    <row r="7" spans="2:13" x14ac:dyDescent="0.35">
      <c r="C7" s="46" t="s">
        <v>232</v>
      </c>
      <c r="D7" s="46" t="s">
        <v>233</v>
      </c>
      <c r="F7" s="46" t="s">
        <v>232</v>
      </c>
      <c r="G7" s="46" t="s">
        <v>233</v>
      </c>
      <c r="I7" s="46" t="s">
        <v>232</v>
      </c>
      <c r="J7" s="46" t="s">
        <v>233</v>
      </c>
      <c r="L7" s="46" t="s">
        <v>232</v>
      </c>
      <c r="M7" s="46" t="s">
        <v>233</v>
      </c>
    </row>
    <row r="8" spans="2:13" x14ac:dyDescent="0.35">
      <c r="B8" s="18" t="s">
        <v>225</v>
      </c>
      <c r="C8" s="18"/>
      <c r="D8" s="47">
        <v>1000</v>
      </c>
      <c r="F8" s="18"/>
      <c r="G8" s="47">
        <v>1000</v>
      </c>
      <c r="I8" s="18"/>
      <c r="J8" s="47">
        <v>1000</v>
      </c>
      <c r="L8" s="18"/>
      <c r="M8" s="47">
        <v>1000</v>
      </c>
    </row>
    <row r="9" spans="2:13" x14ac:dyDescent="0.35">
      <c r="B9" t="s">
        <v>226</v>
      </c>
      <c r="C9" s="26">
        <v>9.5000000000000001E-2</v>
      </c>
      <c r="D9" s="6">
        <f>+C9*D$8</f>
        <v>95</v>
      </c>
      <c r="F9" s="26">
        <v>9.5000000000000001E-2</v>
      </c>
      <c r="G9" s="6">
        <f>+F9*G$8</f>
        <v>95</v>
      </c>
      <c r="I9" s="26">
        <v>9.5000000000000001E-2</v>
      </c>
      <c r="J9" s="6">
        <f>+I9*J$8</f>
        <v>95</v>
      </c>
      <c r="L9" s="26">
        <v>9.5000000000000001E-2</v>
      </c>
      <c r="M9" s="6">
        <f>+L9*M$8</f>
        <v>95</v>
      </c>
    </row>
    <row r="10" spans="2:13" x14ac:dyDescent="0.35">
      <c r="B10" t="s">
        <v>227</v>
      </c>
      <c r="C10" s="26">
        <f>1-C9</f>
        <v>0.90500000000000003</v>
      </c>
      <c r="D10" s="6">
        <f>+C10*D$8</f>
        <v>905</v>
      </c>
      <c r="F10" s="26">
        <f>1-F9</f>
        <v>0.90500000000000003</v>
      </c>
      <c r="G10" s="6">
        <f>+F10*G$8</f>
        <v>905</v>
      </c>
      <c r="I10" s="26">
        <f>1-I9</f>
        <v>0.90500000000000003</v>
      </c>
      <c r="J10" s="6">
        <f>+I10*J$8</f>
        <v>905</v>
      </c>
      <c r="L10" s="26">
        <f>1-L9</f>
        <v>0.90500000000000003</v>
      </c>
      <c r="M10" s="6">
        <f>+L10*M$8</f>
        <v>905</v>
      </c>
    </row>
    <row r="11" spans="2:13" x14ac:dyDescent="0.35">
      <c r="D11" s="6"/>
      <c r="G11" s="6"/>
      <c r="J11" s="6"/>
      <c r="M11" s="6"/>
    </row>
    <row r="12" spans="2:13" x14ac:dyDescent="0.35">
      <c r="B12" t="s">
        <v>229</v>
      </c>
      <c r="C12" s="26">
        <v>0.06</v>
      </c>
      <c r="D12" s="6">
        <f>+C12*D$8</f>
        <v>60</v>
      </c>
      <c r="F12" s="26">
        <v>0.06</v>
      </c>
      <c r="G12" s="6">
        <f>+F12*G$8</f>
        <v>60</v>
      </c>
      <c r="I12" s="26">
        <v>0.06</v>
      </c>
      <c r="J12" s="6">
        <f>+I12*J$8</f>
        <v>60</v>
      </c>
      <c r="L12" s="26">
        <v>0.06</v>
      </c>
      <c r="M12" s="6">
        <f>+L12*M$8</f>
        <v>60</v>
      </c>
    </row>
    <row r="13" spans="2:13" x14ac:dyDescent="0.35">
      <c r="B13" t="s">
        <v>228</v>
      </c>
      <c r="C13" s="26">
        <v>0.02</v>
      </c>
      <c r="D13" s="6">
        <f>-D10*C13</f>
        <v>-18.100000000000001</v>
      </c>
      <c r="F13" s="26">
        <v>0.02</v>
      </c>
      <c r="G13" s="6">
        <f>-G10*F13</f>
        <v>-18.100000000000001</v>
      </c>
      <c r="I13" s="26">
        <v>3.04E-2</v>
      </c>
      <c r="J13" s="6">
        <f>-J10*I13</f>
        <v>-27.512</v>
      </c>
      <c r="L13" s="26">
        <v>3.04E-2</v>
      </c>
      <c r="M13" s="6">
        <f>-M10*L13</f>
        <v>-27.512</v>
      </c>
    </row>
    <row r="14" spans="2:13" x14ac:dyDescent="0.35">
      <c r="B14" s="3" t="s">
        <v>230</v>
      </c>
      <c r="C14" s="45">
        <f>+D14/D8</f>
        <v>4.19E-2</v>
      </c>
      <c r="D14" s="4">
        <f>SUM(D12:D13)</f>
        <v>41.9</v>
      </c>
      <c r="F14" s="45">
        <f>+G14/G8</f>
        <v>4.19E-2</v>
      </c>
      <c r="G14" s="4">
        <f>SUM(G12:G13)</f>
        <v>41.9</v>
      </c>
      <c r="I14" s="45">
        <f>+J14/J8</f>
        <v>3.2488000000000003E-2</v>
      </c>
      <c r="J14" s="4">
        <f>SUM(J12:J13)</f>
        <v>32.488</v>
      </c>
      <c r="L14" s="45">
        <f>+M14/M8</f>
        <v>3.2488000000000003E-2</v>
      </c>
      <c r="M14" s="4">
        <f>SUM(M12:M13)</f>
        <v>32.488</v>
      </c>
    </row>
    <row r="15" spans="2:13" x14ac:dyDescent="0.35">
      <c r="D15" s="6"/>
      <c r="G15" s="6"/>
      <c r="J15" s="6"/>
      <c r="M15" s="6"/>
    </row>
    <row r="16" spans="2:13" x14ac:dyDescent="0.35">
      <c r="B16" t="s">
        <v>231</v>
      </c>
      <c r="C16" s="26">
        <v>0.02</v>
      </c>
      <c r="D16" s="6">
        <f>-+D8*C16</f>
        <v>-20</v>
      </c>
      <c r="F16" s="26">
        <v>0.04</v>
      </c>
      <c r="G16" s="6">
        <f>-+G8*F16</f>
        <v>-40</v>
      </c>
      <c r="I16" s="26">
        <v>0.02</v>
      </c>
      <c r="J16" s="6">
        <f>-+J8*I16</f>
        <v>-20</v>
      </c>
      <c r="L16" s="26">
        <v>0.04</v>
      </c>
      <c r="M16" s="6">
        <f>-+M8*L16</f>
        <v>-40</v>
      </c>
    </row>
    <row r="17" spans="2:13" x14ac:dyDescent="0.35">
      <c r="B17" t="s">
        <v>173</v>
      </c>
      <c r="C17" s="26">
        <v>0.4</v>
      </c>
      <c r="D17" s="6">
        <f>+C17*-D16</f>
        <v>8</v>
      </c>
      <c r="F17" s="26">
        <v>0.4</v>
      </c>
      <c r="G17" s="6">
        <f>+F17*-G16</f>
        <v>16</v>
      </c>
      <c r="I17" s="26">
        <v>0.4</v>
      </c>
      <c r="J17" s="6">
        <f>+I17*-J16</f>
        <v>8</v>
      </c>
      <c r="L17" s="26">
        <v>0.4</v>
      </c>
      <c r="M17" s="6">
        <f>+L17*-M16</f>
        <v>16</v>
      </c>
    </row>
    <row r="18" spans="2:13" x14ac:dyDescent="0.35">
      <c r="B18" s="3" t="s">
        <v>242</v>
      </c>
      <c r="C18" s="49">
        <f>-D18/D8</f>
        <v>1.2E-2</v>
      </c>
      <c r="D18" s="4">
        <f>SUM(D16:D17)</f>
        <v>-12</v>
      </c>
      <c r="F18" s="49">
        <f>-G18/G8</f>
        <v>2.4E-2</v>
      </c>
      <c r="G18" s="4">
        <f>SUM(G16:G17)</f>
        <v>-24</v>
      </c>
      <c r="I18" s="49">
        <f>-J18/J8</f>
        <v>1.2E-2</v>
      </c>
      <c r="J18" s="4">
        <f>SUM(J16:J17)</f>
        <v>-12</v>
      </c>
      <c r="L18" s="49">
        <f>-M18/M8</f>
        <v>2.4E-2</v>
      </c>
      <c r="M18" s="4">
        <f>SUM(M16:M17)</f>
        <v>-24</v>
      </c>
    </row>
    <row r="20" spans="2:13" x14ac:dyDescent="0.35">
      <c r="B20" t="s">
        <v>239</v>
      </c>
      <c r="C20" s="26">
        <v>0.375</v>
      </c>
      <c r="D20" s="6">
        <f>-C20*D14</f>
        <v>-15.712499999999999</v>
      </c>
      <c r="F20" s="40">
        <f>-G20/G14</f>
        <v>0.375</v>
      </c>
      <c r="G20" s="6">
        <f>+$D$20</f>
        <v>-15.712499999999999</v>
      </c>
      <c r="I20" s="40">
        <f>-J20/J14</f>
        <v>0.48364011327259293</v>
      </c>
      <c r="J20" s="6">
        <f>+$D$20</f>
        <v>-15.712499999999999</v>
      </c>
      <c r="L20" s="40">
        <f>-M20/M14</f>
        <v>0.48364011327259293</v>
      </c>
      <c r="M20" s="6">
        <f>+$D$20</f>
        <v>-15.712499999999999</v>
      </c>
    </row>
    <row r="21" spans="2:13" x14ac:dyDescent="0.35">
      <c r="B21" s="3" t="s">
        <v>27</v>
      </c>
      <c r="C21" s="45"/>
      <c r="D21" s="4">
        <f>+D14+D18+D20</f>
        <v>14.1875</v>
      </c>
      <c r="F21" s="45"/>
      <c r="G21" s="4">
        <f>+G14+G18+G20</f>
        <v>2.1875</v>
      </c>
      <c r="I21" s="45"/>
      <c r="J21" s="4">
        <f>+J14+J18+J20</f>
        <v>4.775500000000001</v>
      </c>
      <c r="L21" s="45"/>
      <c r="M21" s="4">
        <f>+M14+M18+M20</f>
        <v>-7.224499999999999</v>
      </c>
    </row>
    <row r="22" spans="2:13" x14ac:dyDescent="0.35">
      <c r="B22" t="s">
        <v>234</v>
      </c>
      <c r="C22" s="26">
        <v>0.21</v>
      </c>
      <c r="D22" s="6">
        <f>+D21*-C22</f>
        <v>-2.9793750000000001</v>
      </c>
      <c r="F22" s="26">
        <v>0.21</v>
      </c>
      <c r="G22" s="6">
        <f>+G21*-F22</f>
        <v>-0.45937499999999998</v>
      </c>
      <c r="I22" s="26">
        <v>0.21</v>
      </c>
      <c r="J22" s="6">
        <f>+J21*-I22</f>
        <v>-1.0028550000000003</v>
      </c>
      <c r="L22" s="26">
        <v>0.21</v>
      </c>
      <c r="M22" s="6">
        <f>+M21*-L22</f>
        <v>1.5171449999999997</v>
      </c>
    </row>
    <row r="23" spans="2:13" x14ac:dyDescent="0.35">
      <c r="B23" s="3" t="s">
        <v>47</v>
      </c>
      <c r="C23" s="45"/>
      <c r="D23" s="4">
        <f>SUM(D21:D22)</f>
        <v>11.208124999999999</v>
      </c>
      <c r="F23" s="45"/>
      <c r="G23" s="4">
        <f>SUM(G21:G22)</f>
        <v>1.7281249999999999</v>
      </c>
      <c r="I23" s="45"/>
      <c r="J23" s="4">
        <f>SUM(J21:J22)</f>
        <v>3.7726450000000007</v>
      </c>
      <c r="L23" s="45"/>
      <c r="M23" s="4">
        <f>SUM(M21:M22)</f>
        <v>-5.7073549999999997</v>
      </c>
    </row>
    <row r="25" spans="2:13" x14ac:dyDescent="0.35">
      <c r="B25" s="18" t="s">
        <v>235</v>
      </c>
      <c r="D25" s="22">
        <f>+D23/D9</f>
        <v>0.11798026315789473</v>
      </c>
      <c r="E25" s="22"/>
      <c r="F25" s="22"/>
      <c r="G25" s="22">
        <f>+G23/G9</f>
        <v>1.8190789473684209E-2</v>
      </c>
      <c r="H25" s="22"/>
      <c r="I25" s="22"/>
      <c r="J25" s="22">
        <f>+J23/J9</f>
        <v>3.9712052631578953E-2</v>
      </c>
      <c r="K25" s="22"/>
      <c r="L25" s="22"/>
      <c r="M25" s="22">
        <f>+M23/M9</f>
        <v>-6.0077421052631579E-2</v>
      </c>
    </row>
    <row r="26" spans="2:13" x14ac:dyDescent="0.35">
      <c r="B26" s="10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Valuation</vt:lpstr>
      <vt:lpstr>Model</vt:lpstr>
      <vt:lpstr>Historical Detailed</vt:lpstr>
      <vt:lpstr>ROE Illustration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First Man</dc:creator>
  <cp:lastModifiedBy>First Man</cp:lastModifiedBy>
  <cp:lastPrinted>2022-12-07T00:49:24Z</cp:lastPrinted>
  <dcterms:created xsi:type="dcterms:W3CDTF">2022-11-01T17:01:31Z</dcterms:created>
  <dcterms:modified xsi:type="dcterms:W3CDTF">2022-12-09T16:08:47Z</dcterms:modified>
</cp:coreProperties>
</file>