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KMX/"/>
    </mc:Choice>
  </mc:AlternateContent>
  <xr:revisionPtr revIDLastSave="0" documentId="8_{C1D3D72D-BB6E-4662-861D-E916FDFB4C39}" xr6:coauthVersionLast="46" xr6:coauthVersionMax="46" xr10:uidLastSave="{00000000-0000-0000-0000-000000000000}"/>
  <bookViews>
    <workbookView xWindow="-28920" yWindow="-120" windowWidth="29040" windowHeight="15840" tabRatio="799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Macro" sheetId="248" r:id="rId4"/>
  </sheets>
  <definedNames>
    <definedName name="_xlnm._FilterDatabase" localSheetId="0" hidden="1">DCF!$B$89</definedName>
    <definedName name="_xlnm._FilterDatabase" localSheetId="3" hidden="1">Macro!#REF!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 iterateCount="1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AD482" i="43" l="1"/>
  <c r="AD481" i="43"/>
  <c r="AD480" i="43"/>
  <c r="AD479" i="43"/>
  <c r="AD478" i="43"/>
  <c r="Y186" i="248"/>
  <c r="X186" i="248"/>
  <c r="C76" i="22"/>
  <c r="AB251" i="43"/>
  <c r="AA251" i="43"/>
  <c r="Z251" i="43"/>
  <c r="Y251" i="43"/>
  <c r="X251" i="43"/>
  <c r="W251" i="43"/>
  <c r="V251" i="43"/>
  <c r="U251" i="43"/>
  <c r="T251" i="43"/>
  <c r="S251" i="43"/>
  <c r="R251" i="43"/>
  <c r="Q251" i="43"/>
  <c r="P251" i="43"/>
  <c r="O251" i="43"/>
  <c r="N251" i="43"/>
  <c r="M251" i="43"/>
  <c r="L251" i="43"/>
  <c r="AH263" i="43"/>
  <c r="AI263" i="43" s="1"/>
  <c r="AJ263" i="43" s="1"/>
  <c r="AK263" i="43" s="1"/>
  <c r="AL263" i="43" s="1"/>
  <c r="AM263" i="43" s="1"/>
  <c r="AG263" i="43"/>
  <c r="M16" i="22"/>
  <c r="L16" i="22"/>
  <c r="K16" i="22"/>
  <c r="J16" i="22"/>
  <c r="C47" i="22" l="1"/>
  <c r="M125" i="43" l="1"/>
  <c r="N125" i="43"/>
  <c r="O125" i="43"/>
  <c r="P125" i="43"/>
  <c r="P128" i="43" s="1"/>
  <c r="Q125" i="43"/>
  <c r="R125" i="43"/>
  <c r="S125" i="43"/>
  <c r="T125" i="43"/>
  <c r="T128" i="43" s="1"/>
  <c r="U125" i="43"/>
  <c r="V125" i="43"/>
  <c r="W125" i="43"/>
  <c r="X125" i="43"/>
  <c r="X128" i="43" s="1"/>
  <c r="Y125" i="43"/>
  <c r="Z125" i="43"/>
  <c r="AA125" i="43"/>
  <c r="AB125" i="43"/>
  <c r="AB128" i="43" s="1"/>
  <c r="M126" i="43"/>
  <c r="M128" i="43" s="1"/>
  <c r="N126" i="43"/>
  <c r="O126" i="43"/>
  <c r="P126" i="43"/>
  <c r="Q126" i="43"/>
  <c r="Q128" i="43" s="1"/>
  <c r="AQ128" i="43" s="1"/>
  <c r="R126" i="43"/>
  <c r="S126" i="43"/>
  <c r="T126" i="43"/>
  <c r="U126" i="43"/>
  <c r="U128" i="43" s="1"/>
  <c r="V126" i="43"/>
  <c r="W126" i="43"/>
  <c r="X126" i="43"/>
  <c r="Y126" i="43"/>
  <c r="Y128" i="43" s="1"/>
  <c r="Z126" i="43"/>
  <c r="AA126" i="43"/>
  <c r="AB126" i="43"/>
  <c r="M127" i="43"/>
  <c r="N127" i="43"/>
  <c r="N128" i="43" s="1"/>
  <c r="O127" i="43"/>
  <c r="P127" i="43"/>
  <c r="Q127" i="43"/>
  <c r="R127" i="43"/>
  <c r="R128" i="43" s="1"/>
  <c r="S127" i="43"/>
  <c r="T127" i="43"/>
  <c r="U127" i="43"/>
  <c r="V127" i="43"/>
  <c r="V128" i="43" s="1"/>
  <c r="W127" i="43"/>
  <c r="X127" i="43"/>
  <c r="Y127" i="43"/>
  <c r="Z127" i="43"/>
  <c r="Z128" i="43" s="1"/>
  <c r="AA127" i="43"/>
  <c r="AB127" i="43"/>
  <c r="AC127" i="43"/>
  <c r="AD127" i="43"/>
  <c r="AE127" i="43"/>
  <c r="AF127" i="43"/>
  <c r="AG127" i="43"/>
  <c r="AH127" i="43"/>
  <c r="AI127" i="43"/>
  <c r="AJ127" i="43"/>
  <c r="AK127" i="43"/>
  <c r="AL127" i="43"/>
  <c r="AM127" i="43"/>
  <c r="L127" i="43"/>
  <c r="L126" i="43"/>
  <c r="L128" i="43" s="1"/>
  <c r="L125" i="43"/>
  <c r="O128" i="43"/>
  <c r="S128" i="43"/>
  <c r="W128" i="43"/>
  <c r="AA128" i="43"/>
  <c r="AQ183" i="43"/>
  <c r="AP183" i="43"/>
  <c r="AQ150" i="43"/>
  <c r="AQ149" i="43"/>
  <c r="AD92" i="43"/>
  <c r="AE92" i="43" s="1"/>
  <c r="AF92" i="43" s="1"/>
  <c r="AG92" i="43" s="1"/>
  <c r="AH92" i="43" s="1"/>
  <c r="AI92" i="43" s="1"/>
  <c r="AJ92" i="43" s="1"/>
  <c r="AK92" i="43" s="1"/>
  <c r="AL92" i="43" s="1"/>
  <c r="AM92" i="43" s="1"/>
  <c r="AP128" i="43" l="1"/>
  <c r="AD194" i="43"/>
  <c r="AE194" i="43" s="1"/>
  <c r="AF194" i="43" s="1"/>
  <c r="AG194" i="43" s="1"/>
  <c r="AH194" i="43" s="1"/>
  <c r="AI194" i="43" s="1"/>
  <c r="AJ194" i="43" s="1"/>
  <c r="AK194" i="43" s="1"/>
  <c r="AL194" i="43" s="1"/>
  <c r="AM194" i="43" s="1"/>
  <c r="AE152" i="43"/>
  <c r="AF152" i="43" s="1"/>
  <c r="AG152" i="43" s="1"/>
  <c r="AH152" i="43" s="1"/>
  <c r="AI152" i="43" s="1"/>
  <c r="AJ152" i="43" s="1"/>
  <c r="AK152" i="43" s="1"/>
  <c r="AL152" i="43" s="1"/>
  <c r="AM152" i="43" s="1"/>
  <c r="AD105" i="43"/>
  <c r="AE105" i="43" s="1"/>
  <c r="AF105" i="43" s="1"/>
  <c r="AG105" i="43" s="1"/>
  <c r="AH105" i="43" s="1"/>
  <c r="AI105" i="43" s="1"/>
  <c r="AJ105" i="43" s="1"/>
  <c r="AK105" i="43" s="1"/>
  <c r="AL105" i="43" s="1"/>
  <c r="AM105" i="43" s="1"/>
  <c r="X433" i="43"/>
  <c r="Y433" i="43"/>
  <c r="Z433" i="43"/>
  <c r="AC408" i="43"/>
  <c r="AD408" i="43" s="1"/>
  <c r="AE408" i="43" s="1"/>
  <c r="AF408" i="43" s="1"/>
  <c r="AG408" i="43" s="1"/>
  <c r="AH408" i="43" s="1"/>
  <c r="AI408" i="43" s="1"/>
  <c r="AJ408" i="43" s="1"/>
  <c r="AK408" i="43" s="1"/>
  <c r="AL408" i="43" s="1"/>
  <c r="AM408" i="43" s="1"/>
  <c r="AE263" i="43" l="1"/>
  <c r="AF263" i="43" s="1"/>
  <c r="AA326" i="43"/>
  <c r="Z326" i="43"/>
  <c r="Y326" i="43"/>
  <c r="X326" i="43"/>
  <c r="W326" i="43"/>
  <c r="V326" i="43"/>
  <c r="U326" i="43"/>
  <c r="T326" i="43"/>
  <c r="S326" i="43"/>
  <c r="R326" i="43"/>
  <c r="Q326" i="43"/>
  <c r="P326" i="43"/>
  <c r="O326" i="43"/>
  <c r="N326" i="43"/>
  <c r="M326" i="43"/>
  <c r="L326" i="43"/>
  <c r="AB326" i="43"/>
  <c r="AD405" i="43"/>
  <c r="AE405" i="43" s="1"/>
  <c r="AF405" i="43" s="1"/>
  <c r="AG405" i="43" s="1"/>
  <c r="AH405" i="43" s="1"/>
  <c r="AI405" i="43" s="1"/>
  <c r="AJ405" i="43" s="1"/>
  <c r="AK405" i="43" s="1"/>
  <c r="AL405" i="43" s="1"/>
  <c r="AM405" i="43" s="1"/>
  <c r="C81" i="22"/>
  <c r="C79" i="22"/>
  <c r="AM341" i="43" l="1"/>
  <c r="X461" i="248" l="1"/>
  <c r="W461" i="248"/>
  <c r="X457" i="248"/>
  <c r="W457" i="248"/>
  <c r="X453" i="248"/>
  <c r="W453" i="248"/>
  <c r="X449" i="248"/>
  <c r="W449" i="248"/>
  <c r="X445" i="248"/>
  <c r="W445" i="248"/>
  <c r="X441" i="248"/>
  <c r="W441" i="248"/>
  <c r="X430" i="248"/>
  <c r="W430" i="248"/>
  <c r="V430" i="248"/>
  <c r="U430" i="248"/>
  <c r="T430" i="248"/>
  <c r="S430" i="248"/>
  <c r="R430" i="248"/>
  <c r="Q430" i="248"/>
  <c r="P430" i="248"/>
  <c r="O430" i="248"/>
  <c r="N430" i="248"/>
  <c r="M430" i="248"/>
  <c r="L430" i="248"/>
  <c r="K430" i="248"/>
  <c r="J430" i="248"/>
  <c r="X426" i="248"/>
  <c r="W426" i="248"/>
  <c r="V426" i="248"/>
  <c r="U426" i="248"/>
  <c r="T426" i="248"/>
  <c r="S426" i="248"/>
  <c r="R426" i="248"/>
  <c r="Q426" i="248"/>
  <c r="P426" i="248"/>
  <c r="O426" i="248"/>
  <c r="N426" i="248"/>
  <c r="M426" i="248"/>
  <c r="L426" i="248"/>
  <c r="K426" i="248"/>
  <c r="J426" i="248"/>
  <c r="X422" i="248"/>
  <c r="W422" i="248"/>
  <c r="V422" i="248"/>
  <c r="U422" i="248"/>
  <c r="T422" i="248"/>
  <c r="S422" i="248"/>
  <c r="R422" i="248"/>
  <c r="Q422" i="248"/>
  <c r="P422" i="248"/>
  <c r="O422" i="248"/>
  <c r="N422" i="248"/>
  <c r="M422" i="248"/>
  <c r="L422" i="248"/>
  <c r="K422" i="248"/>
  <c r="J422" i="248"/>
  <c r="X418" i="248"/>
  <c r="W418" i="248"/>
  <c r="V418" i="248"/>
  <c r="U418" i="248"/>
  <c r="T418" i="248"/>
  <c r="S418" i="248"/>
  <c r="R418" i="248"/>
  <c r="Q418" i="248"/>
  <c r="P418" i="248"/>
  <c r="O418" i="248"/>
  <c r="N418" i="248"/>
  <c r="M418" i="248"/>
  <c r="L418" i="248"/>
  <c r="K418" i="248"/>
  <c r="J418" i="248"/>
  <c r="X414" i="248"/>
  <c r="W414" i="248"/>
  <c r="V414" i="248"/>
  <c r="U414" i="248"/>
  <c r="T414" i="248"/>
  <c r="S414" i="248"/>
  <c r="R414" i="248"/>
  <c r="Q414" i="248"/>
  <c r="P414" i="248"/>
  <c r="O414" i="248"/>
  <c r="N414" i="248"/>
  <c r="M414" i="248"/>
  <c r="L414" i="248"/>
  <c r="K414" i="248"/>
  <c r="J414" i="248"/>
  <c r="X410" i="248"/>
  <c r="W410" i="248"/>
  <c r="V410" i="248"/>
  <c r="U410" i="248"/>
  <c r="T410" i="248"/>
  <c r="S410" i="248"/>
  <c r="X406" i="248"/>
  <c r="W406" i="248"/>
  <c r="V406" i="248"/>
  <c r="U406" i="248"/>
  <c r="T406" i="248"/>
  <c r="S406" i="248"/>
  <c r="R406" i="248"/>
  <c r="Q406" i="248"/>
  <c r="P406" i="248"/>
  <c r="O406" i="248"/>
  <c r="N406" i="248"/>
  <c r="M406" i="248"/>
  <c r="L406" i="248"/>
  <c r="K406" i="248"/>
  <c r="J406" i="248"/>
  <c r="AC12" i="43" l="1"/>
  <c r="AE12" i="43"/>
  <c r="AF12" i="43" s="1"/>
  <c r="AG12" i="43" s="1"/>
  <c r="AH12" i="43" s="1"/>
  <c r="AI12" i="43" s="1"/>
  <c r="AJ12" i="43" s="1"/>
  <c r="AK12" i="43" s="1"/>
  <c r="AL12" i="43" s="1"/>
  <c r="AM12" i="43" s="1"/>
  <c r="AC254" i="43"/>
  <c r="AC283" i="43"/>
  <c r="AD283" i="43" s="1"/>
  <c r="AE283" i="43" s="1"/>
  <c r="AF283" i="43" s="1"/>
  <c r="AG283" i="43" s="1"/>
  <c r="AH283" i="43" s="1"/>
  <c r="AI283" i="43" s="1"/>
  <c r="AJ283" i="43" s="1"/>
  <c r="AK283" i="43" s="1"/>
  <c r="AL283" i="43" s="1"/>
  <c r="AM283" i="43" s="1"/>
  <c r="X586" i="43" l="1"/>
  <c r="W586" i="43"/>
  <c r="V586" i="43"/>
  <c r="U586" i="43"/>
  <c r="T586" i="43"/>
  <c r="S586" i="43"/>
  <c r="Y586" i="43"/>
  <c r="Z586" i="43"/>
  <c r="AA586" i="43"/>
  <c r="AB586" i="43"/>
  <c r="AD483" i="43"/>
  <c r="AE154" i="43" l="1"/>
  <c r="AF154" i="43"/>
  <c r="AG154" i="43"/>
  <c r="AH154" i="43"/>
  <c r="AI154" i="43"/>
  <c r="AJ154" i="43"/>
  <c r="AK154" i="43"/>
  <c r="AL154" i="43"/>
  <c r="AM154" i="43"/>
  <c r="AD154" i="43"/>
  <c r="AE32" i="43"/>
  <c r="AF32" i="43" s="1"/>
  <c r="AG32" i="43" s="1"/>
  <c r="AH32" i="43" s="1"/>
  <c r="AI32" i="43" s="1"/>
  <c r="AJ32" i="43" s="1"/>
  <c r="AK32" i="43" s="1"/>
  <c r="AL32" i="43" s="1"/>
  <c r="AM32" i="43" s="1"/>
  <c r="AD44" i="43"/>
  <c r="AE44" i="43" s="1"/>
  <c r="AF44" i="43" s="1"/>
  <c r="AG44" i="43" s="1"/>
  <c r="AH44" i="43" s="1"/>
  <c r="AI44" i="43" s="1"/>
  <c r="AJ44" i="43" s="1"/>
  <c r="AK44" i="43" s="1"/>
  <c r="AL44" i="43" s="1"/>
  <c r="AM44" i="43" s="1"/>
  <c r="AE97" i="43"/>
  <c r="Z70" i="248"/>
  <c r="AA70" i="248" s="1"/>
  <c r="AB70" i="248" s="1"/>
  <c r="AC70" i="248" s="1"/>
  <c r="AD70" i="248" s="1"/>
  <c r="AE70" i="248" s="1"/>
  <c r="AF70" i="248" s="1"/>
  <c r="AG70" i="248" s="1"/>
  <c r="AH70" i="248" s="1"/>
  <c r="AI70" i="248" s="1"/>
  <c r="AQ102" i="43"/>
  <c r="AP102" i="43"/>
  <c r="AQ95" i="43"/>
  <c r="AP95" i="43"/>
  <c r="AQ81" i="43"/>
  <c r="AP81" i="43"/>
  <c r="AQ76" i="43"/>
  <c r="AP76" i="43"/>
  <c r="AQ71" i="43"/>
  <c r="AP71" i="43"/>
  <c r="AQ60" i="43"/>
  <c r="AQ59" i="43"/>
  <c r="AQ54" i="43"/>
  <c r="AP54" i="43"/>
  <c r="AQ53" i="43"/>
  <c r="AP53" i="43"/>
  <c r="AQ52" i="43"/>
  <c r="AP52" i="43"/>
  <c r="AQ31" i="43"/>
  <c r="AP31" i="43"/>
  <c r="AQ28" i="43"/>
  <c r="AQ27" i="43"/>
  <c r="AQ26" i="43"/>
  <c r="AQ25" i="43"/>
  <c r="AQ16" i="43"/>
  <c r="AQ14" i="43"/>
  <c r="AP16" i="43"/>
  <c r="AP14" i="43"/>
  <c r="X399" i="248"/>
  <c r="W399" i="248"/>
  <c r="V399" i="248"/>
  <c r="U399" i="248"/>
  <c r="T399" i="248"/>
  <c r="S399" i="248"/>
  <c r="R399" i="248"/>
  <c r="Q399" i="248"/>
  <c r="P399" i="248"/>
  <c r="O399" i="248"/>
  <c r="N399" i="248"/>
  <c r="M399" i="248"/>
  <c r="L399" i="248"/>
  <c r="K399" i="248"/>
  <c r="J399" i="248"/>
  <c r="I399" i="248"/>
  <c r="H399" i="248"/>
  <c r="G399" i="248"/>
  <c r="F399" i="248"/>
  <c r="E399" i="248"/>
  <c r="D399" i="248"/>
  <c r="X394" i="248"/>
  <c r="W394" i="248"/>
  <c r="V394" i="248"/>
  <c r="U394" i="248"/>
  <c r="T394" i="248"/>
  <c r="S394" i="248"/>
  <c r="R394" i="248"/>
  <c r="Q394" i="248"/>
  <c r="P394" i="248"/>
  <c r="O394" i="248"/>
  <c r="N394" i="248"/>
  <c r="M394" i="248"/>
  <c r="L394" i="248"/>
  <c r="K394" i="248"/>
  <c r="J394" i="248"/>
  <c r="I394" i="248"/>
  <c r="H394" i="248"/>
  <c r="G394" i="248"/>
  <c r="F394" i="248"/>
  <c r="E394" i="248"/>
  <c r="D394" i="248"/>
  <c r="X389" i="248"/>
  <c r="W389" i="248"/>
  <c r="V389" i="248"/>
  <c r="U389" i="248"/>
  <c r="T389" i="248"/>
  <c r="S389" i="248"/>
  <c r="R389" i="248"/>
  <c r="Q389" i="248"/>
  <c r="P389" i="248"/>
  <c r="O389" i="248"/>
  <c r="N389" i="248"/>
  <c r="M389" i="248"/>
  <c r="L389" i="248"/>
  <c r="K389" i="248"/>
  <c r="J389" i="248"/>
  <c r="I389" i="248"/>
  <c r="H389" i="248"/>
  <c r="G389" i="248"/>
  <c r="F389" i="248"/>
  <c r="E389" i="248"/>
  <c r="D389" i="248"/>
  <c r="X384" i="248"/>
  <c r="W384" i="248"/>
  <c r="V384" i="248"/>
  <c r="U384" i="248"/>
  <c r="T384" i="248"/>
  <c r="S384" i="248"/>
  <c r="R384" i="248"/>
  <c r="Q384" i="248"/>
  <c r="P384" i="248"/>
  <c r="O384" i="248"/>
  <c r="N384" i="248"/>
  <c r="M384" i="248"/>
  <c r="L384" i="248"/>
  <c r="K384" i="248"/>
  <c r="J384" i="248"/>
  <c r="I384" i="248"/>
  <c r="H384" i="248"/>
  <c r="G384" i="248"/>
  <c r="F384" i="248"/>
  <c r="E384" i="248"/>
  <c r="D384" i="248"/>
  <c r="X379" i="248"/>
  <c r="W379" i="248"/>
  <c r="V379" i="248"/>
  <c r="U379" i="248"/>
  <c r="T379" i="248"/>
  <c r="S379" i="248"/>
  <c r="R379" i="248"/>
  <c r="Q379" i="248"/>
  <c r="P379" i="248"/>
  <c r="O379" i="248"/>
  <c r="N379" i="248"/>
  <c r="M379" i="248"/>
  <c r="L379" i="248"/>
  <c r="K379" i="248"/>
  <c r="J379" i="248"/>
  <c r="I379" i="248"/>
  <c r="H379" i="248"/>
  <c r="G379" i="248"/>
  <c r="F379" i="248"/>
  <c r="E379" i="248"/>
  <c r="D379" i="248"/>
  <c r="X374" i="248"/>
  <c r="W374" i="248"/>
  <c r="V374" i="248"/>
  <c r="U374" i="248"/>
  <c r="T374" i="248"/>
  <c r="S374" i="248"/>
  <c r="X369" i="248"/>
  <c r="W369" i="248"/>
  <c r="V369" i="248"/>
  <c r="U369" i="248"/>
  <c r="T369" i="248"/>
  <c r="S369" i="248"/>
  <c r="R369" i="248"/>
  <c r="Q369" i="248"/>
  <c r="P369" i="248"/>
  <c r="O369" i="248"/>
  <c r="N369" i="248"/>
  <c r="M369" i="248"/>
  <c r="L369" i="248"/>
  <c r="K369" i="248"/>
  <c r="J369" i="248"/>
  <c r="I369" i="248"/>
  <c r="H369" i="248"/>
  <c r="G369" i="248"/>
  <c r="F369" i="248"/>
  <c r="E369" i="248"/>
  <c r="D369" i="248"/>
  <c r="AB614" i="43"/>
  <c r="AA614" i="43"/>
  <c r="Z614" i="43"/>
  <c r="Y614" i="43"/>
  <c r="X614" i="43"/>
  <c r="W614" i="43"/>
  <c r="V614" i="43"/>
  <c r="U614" i="43"/>
  <c r="AB608" i="43"/>
  <c r="AA608" i="43"/>
  <c r="Z608" i="43"/>
  <c r="Y608" i="43"/>
  <c r="X608" i="43"/>
  <c r="W608" i="43"/>
  <c r="V608" i="43"/>
  <c r="U608" i="43"/>
  <c r="T608" i="43"/>
  <c r="S608" i="43"/>
  <c r="R608" i="43"/>
  <c r="Q608" i="43"/>
  <c r="P608" i="43"/>
  <c r="O608" i="43"/>
  <c r="AB597" i="43"/>
  <c r="AB600" i="43" s="1"/>
  <c r="AA597" i="43"/>
  <c r="AA610" i="43" s="1"/>
  <c r="AA483" i="43" s="1"/>
  <c r="Z597" i="43"/>
  <c r="Z600" i="43" s="1"/>
  <c r="Y597" i="43"/>
  <c r="Y600" i="43" s="1"/>
  <c r="X597" i="43"/>
  <c r="X600" i="43" s="1"/>
  <c r="W597" i="43"/>
  <c r="W610" i="43" s="1"/>
  <c r="W483" i="43" s="1"/>
  <c r="V597" i="43"/>
  <c r="V610" i="43" s="1"/>
  <c r="V483" i="43" s="1"/>
  <c r="U597" i="43"/>
  <c r="U600" i="43" s="1"/>
  <c r="T597" i="43"/>
  <c r="T600" i="43" s="1"/>
  <c r="S597" i="43"/>
  <c r="S610" i="43" s="1"/>
  <c r="S483" i="43" s="1"/>
  <c r="R597" i="43"/>
  <c r="R600" i="43" s="1"/>
  <c r="Q597" i="43"/>
  <c r="Q600" i="43" s="1"/>
  <c r="P597" i="43"/>
  <c r="P600" i="43" s="1"/>
  <c r="O597" i="43"/>
  <c r="O483" i="43" s="1"/>
  <c r="N597" i="43"/>
  <c r="M597" i="43"/>
  <c r="M600" i="43" s="1"/>
  <c r="AB591" i="43"/>
  <c r="AA591" i="43"/>
  <c r="Z591" i="43"/>
  <c r="Y591" i="43"/>
  <c r="X591" i="43"/>
  <c r="W591" i="43"/>
  <c r="V591" i="43"/>
  <c r="U591" i="43"/>
  <c r="T591" i="43"/>
  <c r="S591" i="43"/>
  <c r="R591" i="43"/>
  <c r="Q591" i="43"/>
  <c r="P591" i="43"/>
  <c r="O591" i="43"/>
  <c r="N591" i="43"/>
  <c r="M591" i="43"/>
  <c r="L591" i="43"/>
  <c r="AB581" i="43"/>
  <c r="AA581" i="43"/>
  <c r="Z581" i="43"/>
  <c r="Y581" i="43"/>
  <c r="X581" i="43"/>
  <c r="W581" i="43"/>
  <c r="V581" i="43"/>
  <c r="U581" i="43"/>
  <c r="T581" i="43"/>
  <c r="S581" i="43"/>
  <c r="R581" i="43"/>
  <c r="Q581" i="43"/>
  <c r="P581" i="43"/>
  <c r="O581" i="43"/>
  <c r="N581" i="43"/>
  <c r="M581" i="43"/>
  <c r="L581" i="43"/>
  <c r="Y577" i="43"/>
  <c r="X577" i="43"/>
  <c r="W577" i="43"/>
  <c r="V577" i="43"/>
  <c r="U577" i="43"/>
  <c r="T577" i="43"/>
  <c r="S577" i="43"/>
  <c r="R577" i="43"/>
  <c r="Q577" i="43"/>
  <c r="P577" i="43"/>
  <c r="O577" i="43"/>
  <c r="N577" i="43"/>
  <c r="M577" i="43"/>
  <c r="L577" i="43"/>
  <c r="AB569" i="43"/>
  <c r="AB583" i="43" s="1"/>
  <c r="AB482" i="43" s="1"/>
  <c r="AA569" i="43"/>
  <c r="AA570" i="43" s="1"/>
  <c r="Z569" i="43"/>
  <c r="Z583" i="43" s="1"/>
  <c r="Z482" i="43" s="1"/>
  <c r="Y569" i="43"/>
  <c r="Y570" i="43" s="1"/>
  <c r="X569" i="43"/>
  <c r="X572" i="43" s="1"/>
  <c r="W569" i="43"/>
  <c r="W570" i="43" s="1"/>
  <c r="V569" i="43"/>
  <c r="V583" i="43" s="1"/>
  <c r="V482" i="43" s="1"/>
  <c r="U569" i="43"/>
  <c r="U583" i="43" s="1"/>
  <c r="U482" i="43" s="1"/>
  <c r="T569" i="43"/>
  <c r="T570" i="43" s="1"/>
  <c r="S569" i="43"/>
  <c r="S570" i="43" s="1"/>
  <c r="R569" i="43"/>
  <c r="R583" i="43" s="1"/>
  <c r="R482" i="43" s="1"/>
  <c r="Q569" i="43"/>
  <c r="Q570" i="43" s="1"/>
  <c r="P569" i="43"/>
  <c r="P583" i="43" s="1"/>
  <c r="P482" i="43" s="1"/>
  <c r="O569" i="43"/>
  <c r="O570" i="43" s="1"/>
  <c r="N569" i="43"/>
  <c r="N583" i="43" s="1"/>
  <c r="N482" i="43" s="1"/>
  <c r="M569" i="43"/>
  <c r="M583" i="43" s="1"/>
  <c r="M482" i="43" s="1"/>
  <c r="L569" i="43"/>
  <c r="L583" i="43" s="1"/>
  <c r="L482" i="43" s="1"/>
  <c r="AB558" i="43"/>
  <c r="AB481" i="43" s="1"/>
  <c r="AA558" i="43"/>
  <c r="AA481" i="43" s="1"/>
  <c r="Z558" i="43"/>
  <c r="Z481" i="43" s="1"/>
  <c r="Y558" i="43"/>
  <c r="Y481" i="43" s="1"/>
  <c r="X558" i="43"/>
  <c r="X481" i="43" s="1"/>
  <c r="W558" i="43"/>
  <c r="W481" i="43" s="1"/>
  <c r="V558" i="43"/>
  <c r="V481" i="43" s="1"/>
  <c r="U558" i="43"/>
  <c r="U481" i="43" s="1"/>
  <c r="T558" i="43"/>
  <c r="T481" i="43" s="1"/>
  <c r="S558" i="43"/>
  <c r="S481" i="43" s="1"/>
  <c r="R558" i="43"/>
  <c r="R481" i="43" s="1"/>
  <c r="Q558" i="43"/>
  <c r="Q481" i="43" s="1"/>
  <c r="P481" i="43"/>
  <c r="AB556" i="43"/>
  <c r="AA556" i="43"/>
  <c r="Z556" i="43"/>
  <c r="Y556" i="43"/>
  <c r="X556" i="43"/>
  <c r="W556" i="43"/>
  <c r="V556" i="43"/>
  <c r="U556" i="43"/>
  <c r="T556" i="43"/>
  <c r="S556" i="43"/>
  <c r="R556" i="43"/>
  <c r="Q556" i="43"/>
  <c r="P556" i="43"/>
  <c r="AA552" i="43"/>
  <c r="X550" i="43"/>
  <c r="W550" i="43"/>
  <c r="V550" i="43"/>
  <c r="U550" i="43"/>
  <c r="T550" i="43"/>
  <c r="S550" i="43"/>
  <c r="X549" i="43"/>
  <c r="W549" i="43"/>
  <c r="V549" i="43"/>
  <c r="U549" i="43"/>
  <c r="T549" i="43"/>
  <c r="S549" i="43"/>
  <c r="X548" i="43"/>
  <c r="W548" i="43"/>
  <c r="V548" i="43"/>
  <c r="U548" i="43"/>
  <c r="T548" i="43"/>
  <c r="S548" i="43"/>
  <c r="AB545" i="43"/>
  <c r="AA545" i="43"/>
  <c r="Z545" i="43"/>
  <c r="Y545" i="43"/>
  <c r="X545" i="43"/>
  <c r="W545" i="43"/>
  <c r="V545" i="43"/>
  <c r="U545" i="43"/>
  <c r="T545" i="43"/>
  <c r="S545" i="43"/>
  <c r="D540" i="43"/>
  <c r="D539" i="43"/>
  <c r="D538" i="43"/>
  <c r="AB532" i="43"/>
  <c r="AA532" i="43"/>
  <c r="Z532" i="43"/>
  <c r="Y532" i="43"/>
  <c r="X532" i="43"/>
  <c r="W532" i="43"/>
  <c r="V532" i="43"/>
  <c r="U532" i="43"/>
  <c r="T532" i="43"/>
  <c r="S532" i="43"/>
  <c r="R532" i="43"/>
  <c r="Q532" i="43"/>
  <c r="P532" i="43"/>
  <c r="O532" i="43"/>
  <c r="AB530" i="43"/>
  <c r="AA530" i="43"/>
  <c r="Z530" i="43"/>
  <c r="Y530" i="43"/>
  <c r="X530" i="43"/>
  <c r="W530" i="43"/>
  <c r="V530" i="43"/>
  <c r="U530" i="43"/>
  <c r="T530" i="43"/>
  <c r="S530" i="43"/>
  <c r="R530" i="43"/>
  <c r="Q530" i="43"/>
  <c r="P530" i="43"/>
  <c r="O530" i="43"/>
  <c r="AB523" i="43"/>
  <c r="AA523" i="43"/>
  <c r="Z523" i="43"/>
  <c r="Y523" i="43"/>
  <c r="W523" i="43"/>
  <c r="V523" i="43"/>
  <c r="U523" i="43"/>
  <c r="T523" i="43"/>
  <c r="S523" i="43"/>
  <c r="R523" i="43"/>
  <c r="Q523" i="43"/>
  <c r="P523" i="43"/>
  <c r="O523" i="43"/>
  <c r="N523" i="43"/>
  <c r="X522" i="43"/>
  <c r="X523" i="43" s="1"/>
  <c r="AB511" i="43"/>
  <c r="AB512" i="43" s="1"/>
  <c r="AB480" i="43" s="1"/>
  <c r="AA511" i="43"/>
  <c r="AA512" i="43" s="1"/>
  <c r="AA480" i="43" s="1"/>
  <c r="Z511" i="43"/>
  <c r="Z512" i="43" s="1"/>
  <c r="Z480" i="43" s="1"/>
  <c r="Y511" i="43"/>
  <c r="Y512" i="43" s="1"/>
  <c r="Y480" i="43" s="1"/>
  <c r="X511" i="43"/>
  <c r="X512" i="43" s="1"/>
  <c r="X480" i="43" s="1"/>
  <c r="W511" i="43"/>
  <c r="W512" i="43" s="1"/>
  <c r="W480" i="43" s="1"/>
  <c r="V511" i="43"/>
  <c r="V512" i="43" s="1"/>
  <c r="V480" i="43" s="1"/>
  <c r="U511" i="43"/>
  <c r="U512" i="43" s="1"/>
  <c r="U480" i="43" s="1"/>
  <c r="T511" i="43"/>
  <c r="T512" i="43" s="1"/>
  <c r="T480" i="43" s="1"/>
  <c r="S511" i="43"/>
  <c r="S512" i="43" s="1"/>
  <c r="S480" i="43" s="1"/>
  <c r="R511" i="43"/>
  <c r="R512" i="43" s="1"/>
  <c r="R480" i="43" s="1"/>
  <c r="Q511" i="43"/>
  <c r="Q480" i="43" s="1"/>
  <c r="P511" i="43"/>
  <c r="AB509" i="43"/>
  <c r="AA509" i="43"/>
  <c r="Z509" i="43"/>
  <c r="Y509" i="43"/>
  <c r="X509" i="43"/>
  <c r="W509" i="43"/>
  <c r="V509" i="43"/>
  <c r="U509" i="43"/>
  <c r="T509" i="43"/>
  <c r="S509" i="43"/>
  <c r="R509" i="43"/>
  <c r="Q509" i="43"/>
  <c r="AB500" i="43"/>
  <c r="AA500" i="43"/>
  <c r="Z500" i="43"/>
  <c r="Y500" i="43"/>
  <c r="X500" i="43"/>
  <c r="W500" i="43"/>
  <c r="V500" i="43"/>
  <c r="U500" i="43"/>
  <c r="T500" i="43"/>
  <c r="S500" i="43"/>
  <c r="R500" i="43"/>
  <c r="Q500" i="43"/>
  <c r="P500" i="43"/>
  <c r="AB497" i="43"/>
  <c r="AA497" i="43"/>
  <c r="Z497" i="43"/>
  <c r="X497" i="43"/>
  <c r="W497" i="43"/>
  <c r="V497" i="43"/>
  <c r="U497" i="43"/>
  <c r="T497" i="43"/>
  <c r="S497" i="43"/>
  <c r="R497" i="43"/>
  <c r="Q497" i="43"/>
  <c r="P497" i="43"/>
  <c r="AB492" i="43"/>
  <c r="AA492" i="43"/>
  <c r="Z492" i="43"/>
  <c r="X492" i="43"/>
  <c r="W492" i="43"/>
  <c r="V492" i="43"/>
  <c r="U492" i="43"/>
  <c r="T492" i="43"/>
  <c r="S492" i="43"/>
  <c r="R492" i="43"/>
  <c r="Q492" i="43"/>
  <c r="P492" i="43"/>
  <c r="AF97" i="43" l="1"/>
  <c r="Y492" i="43"/>
  <c r="Y493" i="43" s="1"/>
  <c r="Y497" i="43"/>
  <c r="Y498" i="43" s="1"/>
  <c r="X570" i="43"/>
  <c r="X583" i="43"/>
  <c r="X482" i="43" s="1"/>
  <c r="Y610" i="43"/>
  <c r="Y483" i="43" s="1"/>
  <c r="L570" i="43"/>
  <c r="AB570" i="43"/>
  <c r="S572" i="43"/>
  <c r="AA572" i="43"/>
  <c r="S583" i="43"/>
  <c r="S482" i="43" s="1"/>
  <c r="AA583" i="43"/>
  <c r="AA482" i="43" s="1"/>
  <c r="T610" i="43"/>
  <c r="T483" i="43" s="1"/>
  <c r="AB610" i="43"/>
  <c r="AB483" i="43" s="1"/>
  <c r="Q610" i="43"/>
  <c r="Q483" i="43" s="1"/>
  <c r="P570" i="43"/>
  <c r="L572" i="43"/>
  <c r="T572" i="43"/>
  <c r="AB572" i="43"/>
  <c r="Z577" i="43"/>
  <c r="Z576" i="43" s="1"/>
  <c r="T583" i="43"/>
  <c r="T482" i="43" s="1"/>
  <c r="U610" i="43"/>
  <c r="U483" i="43" s="1"/>
  <c r="P572" i="43"/>
  <c r="O572" i="43"/>
  <c r="W572" i="43"/>
  <c r="O583" i="43"/>
  <c r="O482" i="43" s="1"/>
  <c r="W583" i="43"/>
  <c r="W482" i="43" s="1"/>
  <c r="P610" i="43"/>
  <c r="P483" i="43" s="1"/>
  <c r="X610" i="43"/>
  <c r="X483" i="43" s="1"/>
  <c r="N598" i="43"/>
  <c r="V598" i="43"/>
  <c r="N600" i="43"/>
  <c r="V600" i="43"/>
  <c r="M570" i="43"/>
  <c r="U570" i="43"/>
  <c r="O598" i="43"/>
  <c r="W598" i="43"/>
  <c r="O600" i="43"/>
  <c r="W600" i="43"/>
  <c r="AA600" i="43"/>
  <c r="N570" i="43"/>
  <c r="R570" i="43"/>
  <c r="V570" i="43"/>
  <c r="Z570" i="43"/>
  <c r="M572" i="43"/>
  <c r="Q572" i="43"/>
  <c r="U572" i="43"/>
  <c r="Y572" i="43"/>
  <c r="Q583" i="43"/>
  <c r="Q482" i="43" s="1"/>
  <c r="Y583" i="43"/>
  <c r="Y482" i="43" s="1"/>
  <c r="P598" i="43"/>
  <c r="T598" i="43"/>
  <c r="X598" i="43"/>
  <c r="AB598" i="43"/>
  <c r="R610" i="43"/>
  <c r="R483" i="43" s="1"/>
  <c r="Z610" i="43"/>
  <c r="Z483" i="43" s="1"/>
  <c r="R598" i="43"/>
  <c r="Z598" i="43"/>
  <c r="S598" i="43"/>
  <c r="AA598" i="43"/>
  <c r="S600" i="43"/>
  <c r="N572" i="43"/>
  <c r="R572" i="43"/>
  <c r="V572" i="43"/>
  <c r="Z572" i="43"/>
  <c r="M598" i="43"/>
  <c r="Q598" i="43"/>
  <c r="U598" i="43"/>
  <c r="Y598" i="43"/>
  <c r="AA577" i="43" l="1"/>
  <c r="AG97" i="43"/>
  <c r="AB577" i="43"/>
  <c r="AB576" i="43" s="1"/>
  <c r="AA576" i="43"/>
  <c r="U186" i="43"/>
  <c r="T181" i="43"/>
  <c r="T186" i="43" s="1"/>
  <c r="V186" i="43"/>
  <c r="W186" i="43"/>
  <c r="X186" i="43"/>
  <c r="Y186" i="43"/>
  <c r="Z186" i="43"/>
  <c r="AA186" i="43"/>
  <c r="AB186" i="43"/>
  <c r="R193" i="43"/>
  <c r="AC172" i="43"/>
  <c r="AD172" i="43" s="1"/>
  <c r="AE172" i="43" s="1"/>
  <c r="AF172" i="43" s="1"/>
  <c r="AG172" i="43" s="1"/>
  <c r="AH172" i="43" s="1"/>
  <c r="AI172" i="43" s="1"/>
  <c r="AJ172" i="43" s="1"/>
  <c r="AK172" i="43" s="1"/>
  <c r="AL172" i="43" s="1"/>
  <c r="AM172" i="43" s="1"/>
  <c r="AC173" i="43"/>
  <c r="AD173" i="43" s="1"/>
  <c r="AE173" i="43" s="1"/>
  <c r="AF173" i="43" s="1"/>
  <c r="AG173" i="43" s="1"/>
  <c r="AH173" i="43" s="1"/>
  <c r="AI173" i="43" s="1"/>
  <c r="AJ173" i="43" s="1"/>
  <c r="AK173" i="43" s="1"/>
  <c r="AL173" i="43" s="1"/>
  <c r="AM173" i="43" s="1"/>
  <c r="W135" i="43"/>
  <c r="W139" i="43" s="1"/>
  <c r="W134" i="43"/>
  <c r="W138" i="43" s="1"/>
  <c r="AA135" i="43"/>
  <c r="AA139" i="43" s="1"/>
  <c r="Z135" i="43"/>
  <c r="Z139" i="43" s="1"/>
  <c r="Y135" i="43"/>
  <c r="Y139" i="43" s="1"/>
  <c r="X135" i="43"/>
  <c r="X139" i="43" s="1"/>
  <c r="AA134" i="43"/>
  <c r="AA138" i="43" s="1"/>
  <c r="Z134" i="43"/>
  <c r="Z138" i="43" s="1"/>
  <c r="Y134" i="43"/>
  <c r="Y138" i="43" s="1"/>
  <c r="X134" i="43"/>
  <c r="X138" i="43" s="1"/>
  <c r="AB135" i="43"/>
  <c r="AB139" i="43" s="1"/>
  <c r="AB134" i="43"/>
  <c r="AB138" i="43" s="1"/>
  <c r="S192" i="43"/>
  <c r="T192" i="43"/>
  <c r="U192" i="43"/>
  <c r="V192" i="43"/>
  <c r="W192" i="43"/>
  <c r="X192" i="43"/>
  <c r="Y192" i="43"/>
  <c r="Z192" i="43"/>
  <c r="AA192" i="43"/>
  <c r="AB192" i="43"/>
  <c r="S193" i="43"/>
  <c r="T193" i="43"/>
  <c r="U193" i="43"/>
  <c r="V193" i="43"/>
  <c r="W193" i="43"/>
  <c r="X193" i="43"/>
  <c r="Y193" i="43"/>
  <c r="Z193" i="43"/>
  <c r="AA193" i="43"/>
  <c r="AB193" i="43"/>
  <c r="R192" i="43"/>
  <c r="AH97" i="43" l="1"/>
  <c r="Z187" i="43"/>
  <c r="V187" i="43"/>
  <c r="AB187" i="43"/>
  <c r="X187" i="43"/>
  <c r="S181" i="43"/>
  <c r="R181" i="43" s="1"/>
  <c r="R186" i="43" s="1"/>
  <c r="Y187" i="43"/>
  <c r="AC186" i="43"/>
  <c r="AD186" i="43" s="1"/>
  <c r="AE186" i="43" s="1"/>
  <c r="AF186" i="43" s="1"/>
  <c r="AG186" i="43" s="1"/>
  <c r="AH186" i="43" s="1"/>
  <c r="AI186" i="43" s="1"/>
  <c r="AJ186" i="43" s="1"/>
  <c r="AK186" i="43" s="1"/>
  <c r="AL186" i="43" s="1"/>
  <c r="AM186" i="43" s="1"/>
  <c r="U187" i="43"/>
  <c r="AA187" i="43"/>
  <c r="W187" i="43"/>
  <c r="AI97" i="43" l="1"/>
  <c r="Q181" i="43"/>
  <c r="Q186" i="43" s="1"/>
  <c r="R187" i="43" s="1"/>
  <c r="S186" i="43"/>
  <c r="AB97" i="43"/>
  <c r="AJ97" i="43" l="1"/>
  <c r="P181" i="43"/>
  <c r="O181" i="43" s="1"/>
  <c r="S187" i="43"/>
  <c r="T187" i="43"/>
  <c r="Z100" i="43"/>
  <c r="Y100" i="43"/>
  <c r="X100" i="43"/>
  <c r="W100" i="43"/>
  <c r="V100" i="43"/>
  <c r="U100" i="43"/>
  <c r="T100" i="43"/>
  <c r="S100" i="43"/>
  <c r="R100" i="43"/>
  <c r="Q100" i="43"/>
  <c r="P100" i="43"/>
  <c r="AA100" i="43"/>
  <c r="M97" i="43"/>
  <c r="N97" i="43"/>
  <c r="O97" i="43"/>
  <c r="P97" i="43"/>
  <c r="Q97" i="43"/>
  <c r="R97" i="43"/>
  <c r="S97" i="43"/>
  <c r="T97" i="43"/>
  <c r="U97" i="43"/>
  <c r="V97" i="43"/>
  <c r="W97" i="43"/>
  <c r="X97" i="43"/>
  <c r="Y97" i="43"/>
  <c r="Z97" i="43"/>
  <c r="AA97" i="43"/>
  <c r="L97" i="43"/>
  <c r="X302" i="248"/>
  <c r="W302" i="248"/>
  <c r="V302" i="248"/>
  <c r="U302" i="248"/>
  <c r="T302" i="248"/>
  <c r="S302" i="248"/>
  <c r="R302" i="248"/>
  <c r="Q302" i="248"/>
  <c r="P302" i="248"/>
  <c r="O302" i="248"/>
  <c r="N302" i="248"/>
  <c r="M302" i="248"/>
  <c r="L302" i="248"/>
  <c r="X301" i="248"/>
  <c r="W301" i="248"/>
  <c r="V301" i="248"/>
  <c r="U301" i="248"/>
  <c r="T301" i="248"/>
  <c r="S301" i="248"/>
  <c r="R301" i="248"/>
  <c r="Q301" i="248"/>
  <c r="X300" i="248"/>
  <c r="W300" i="248"/>
  <c r="V300" i="248"/>
  <c r="U300" i="248"/>
  <c r="T300" i="248"/>
  <c r="S300" i="248"/>
  <c r="R300" i="248"/>
  <c r="Q300" i="248"/>
  <c r="P300" i="248"/>
  <c r="O300" i="248"/>
  <c r="N300" i="248"/>
  <c r="M300" i="248"/>
  <c r="L300" i="248"/>
  <c r="K300" i="248"/>
  <c r="J300" i="248"/>
  <c r="I300" i="248"/>
  <c r="X299" i="248"/>
  <c r="W299" i="248"/>
  <c r="V299" i="248"/>
  <c r="U299" i="248"/>
  <c r="T299" i="248"/>
  <c r="S299" i="248"/>
  <c r="R299" i="248"/>
  <c r="Q299" i="248"/>
  <c r="P299" i="248"/>
  <c r="O299" i="248"/>
  <c r="N299" i="248"/>
  <c r="M299" i="248"/>
  <c r="L299" i="248"/>
  <c r="K299" i="248"/>
  <c r="J299" i="248"/>
  <c r="I299" i="248"/>
  <c r="X298" i="248"/>
  <c r="W298" i="248"/>
  <c r="V298" i="248"/>
  <c r="U298" i="248"/>
  <c r="T298" i="248"/>
  <c r="S298" i="248"/>
  <c r="R298" i="248"/>
  <c r="Q298" i="248"/>
  <c r="P298" i="248"/>
  <c r="O298" i="248"/>
  <c r="N298" i="248"/>
  <c r="M298" i="248"/>
  <c r="L298" i="248"/>
  <c r="K298" i="248"/>
  <c r="J298" i="248"/>
  <c r="I298" i="248"/>
  <c r="X297" i="248"/>
  <c r="W297" i="248"/>
  <c r="V297" i="248"/>
  <c r="U297" i="248"/>
  <c r="AK97" i="43" l="1"/>
  <c r="AB469" i="43"/>
  <c r="AB470" i="43" s="1"/>
  <c r="AB478" i="43" s="1"/>
  <c r="AL97" i="43" l="1"/>
  <c r="N91" i="43"/>
  <c r="M91" i="43"/>
  <c r="AE72" i="43"/>
  <c r="AF72" i="43" s="1"/>
  <c r="AG72" i="43" s="1"/>
  <c r="AH72" i="43" s="1"/>
  <c r="AI72" i="43" s="1"/>
  <c r="AJ72" i="43" s="1"/>
  <c r="AK72" i="43" s="1"/>
  <c r="AL72" i="43" s="1"/>
  <c r="AM72" i="43" s="1"/>
  <c r="AM97" i="43" l="1"/>
  <c r="G56" i="248"/>
  <c r="F56" i="248"/>
  <c r="E56" i="248"/>
  <c r="D56" i="248"/>
  <c r="F68" i="248"/>
  <c r="F71" i="248" s="1"/>
  <c r="E68" i="248"/>
  <c r="E71" i="248" s="1"/>
  <c r="D68" i="248"/>
  <c r="D71" i="248" s="1"/>
  <c r="C68" i="248"/>
  <c r="C71" i="248" s="1"/>
  <c r="G68" i="248"/>
  <c r="G71" i="248" s="1"/>
  <c r="L473" i="43" l="1"/>
  <c r="M473" i="43"/>
  <c r="L474" i="43"/>
  <c r="M474" i="43"/>
  <c r="N473" i="43"/>
  <c r="N474" i="43"/>
  <c r="O474" i="43"/>
  <c r="O473" i="43"/>
  <c r="P473" i="43"/>
  <c r="P474" i="43"/>
  <c r="Q474" i="43"/>
  <c r="Q473" i="43"/>
  <c r="R473" i="43"/>
  <c r="R474" i="43"/>
  <c r="S474" i="43"/>
  <c r="S473" i="43"/>
  <c r="T473" i="43"/>
  <c r="T474" i="43"/>
  <c r="U474" i="43"/>
  <c r="U473" i="43"/>
  <c r="V473" i="43"/>
  <c r="V474" i="43"/>
  <c r="W474" i="43"/>
  <c r="H308" i="248"/>
  <c r="H307" i="248"/>
  <c r="H306" i="248"/>
  <c r="AA464" i="43"/>
  <c r="AA463" i="43"/>
  <c r="C253" i="248"/>
  <c r="C1" i="248"/>
  <c r="C259" i="248"/>
  <c r="C268" i="248" s="1"/>
  <c r="D190" i="248"/>
  <c r="D186" i="248"/>
  <c r="T475" i="43" l="1"/>
  <c r="T479" i="43" s="1"/>
  <c r="V475" i="43"/>
  <c r="V479" i="43" s="1"/>
  <c r="C262" i="248"/>
  <c r="C266" i="248"/>
  <c r="C273" i="248"/>
  <c r="L475" i="43"/>
  <c r="L479" i="43" s="1"/>
  <c r="N475" i="43"/>
  <c r="N479" i="43" s="1"/>
  <c r="U475" i="43"/>
  <c r="U479" i="43" s="1"/>
  <c r="R475" i="43"/>
  <c r="R479" i="43" s="1"/>
  <c r="Q475" i="43"/>
  <c r="Q479" i="43" s="1"/>
  <c r="O475" i="43"/>
  <c r="O479" i="43" s="1"/>
  <c r="M475" i="43"/>
  <c r="M479" i="43" s="1"/>
  <c r="P475" i="43"/>
  <c r="P479" i="43" s="1"/>
  <c r="S475" i="43"/>
  <c r="S479" i="43" s="1"/>
  <c r="C261" i="248"/>
  <c r="C263" i="248"/>
  <c r="C267" i="248"/>
  <c r="C264" i="248"/>
  <c r="C265" i="248"/>
  <c r="C269" i="248"/>
  <c r="G190" i="248"/>
  <c r="F190" i="248"/>
  <c r="E190" i="248"/>
  <c r="H186" i="248"/>
  <c r="G186" i="248"/>
  <c r="F186" i="248"/>
  <c r="E186" i="248"/>
  <c r="D259" i="248"/>
  <c r="E259" i="248"/>
  <c r="F259" i="248"/>
  <c r="G259" i="248"/>
  <c r="G269" i="248" l="1"/>
  <c r="G265" i="248"/>
  <c r="G268" i="248"/>
  <c r="G264" i="248"/>
  <c r="G266" i="248"/>
  <c r="G262" i="248"/>
  <c r="G267" i="248"/>
  <c r="G263" i="248"/>
  <c r="G261" i="248"/>
  <c r="G273" i="248"/>
  <c r="F273" i="248"/>
  <c r="F266" i="248"/>
  <c r="F262" i="248"/>
  <c r="F269" i="248"/>
  <c r="F265" i="248"/>
  <c r="F263" i="248"/>
  <c r="F268" i="248"/>
  <c r="F264" i="248"/>
  <c r="F267" i="248"/>
  <c r="F261" i="248"/>
  <c r="E267" i="248"/>
  <c r="E263" i="248"/>
  <c r="E261" i="248"/>
  <c r="E273" i="248"/>
  <c r="E266" i="248"/>
  <c r="E262" i="248"/>
  <c r="E268" i="248"/>
  <c r="E264" i="248"/>
  <c r="E269" i="248"/>
  <c r="E265" i="248"/>
  <c r="D268" i="248"/>
  <c r="D264" i="248"/>
  <c r="D267" i="248"/>
  <c r="D263" i="248"/>
  <c r="D261" i="248"/>
  <c r="D265" i="248"/>
  <c r="D273" i="248"/>
  <c r="D266" i="248"/>
  <c r="D262" i="248"/>
  <c r="D269" i="248"/>
  <c r="M464" i="43"/>
  <c r="N464" i="43"/>
  <c r="O464" i="43"/>
  <c r="P464" i="43"/>
  <c r="Q464" i="43"/>
  <c r="R464" i="43"/>
  <c r="S464" i="43"/>
  <c r="T464" i="43"/>
  <c r="U464" i="43"/>
  <c r="V464" i="43"/>
  <c r="W464" i="43"/>
  <c r="X464" i="43"/>
  <c r="Y464" i="43"/>
  <c r="Z464" i="43"/>
  <c r="AB464" i="43"/>
  <c r="L464" i="43"/>
  <c r="M463" i="43"/>
  <c r="N463" i="43"/>
  <c r="O463" i="43"/>
  <c r="P463" i="43"/>
  <c r="Q463" i="43"/>
  <c r="R463" i="43"/>
  <c r="S463" i="43"/>
  <c r="T463" i="43"/>
  <c r="U463" i="43"/>
  <c r="V463" i="43"/>
  <c r="W463" i="43"/>
  <c r="X463" i="43"/>
  <c r="Y463" i="43"/>
  <c r="Z463" i="43"/>
  <c r="AA465" i="43" s="1"/>
  <c r="AA477" i="43" s="1"/>
  <c r="AB463" i="43"/>
  <c r="L463" i="43"/>
  <c r="M465" i="43" s="1"/>
  <c r="M477" i="43" s="1"/>
  <c r="AB474" i="43"/>
  <c r="AA474" i="43"/>
  <c r="Z474" i="43"/>
  <c r="Y474" i="43"/>
  <c r="X474" i="43"/>
  <c r="AB473" i="43"/>
  <c r="AA473" i="43"/>
  <c r="Z473" i="43"/>
  <c r="Y473" i="43"/>
  <c r="X473" i="43"/>
  <c r="W473" i="43"/>
  <c r="AA469" i="43"/>
  <c r="AA470" i="43" s="1"/>
  <c r="AA478" i="43" s="1"/>
  <c r="Z469" i="43"/>
  <c r="Z470" i="43" s="1"/>
  <c r="Z478" i="43" s="1"/>
  <c r="Y469" i="43"/>
  <c r="Y470" i="43" s="1"/>
  <c r="Y478" i="43" s="1"/>
  <c r="X469" i="43"/>
  <c r="L465" i="43"/>
  <c r="L477" i="43" s="1"/>
  <c r="W465" i="43" l="1"/>
  <c r="W477" i="43" s="1"/>
  <c r="S465" i="43"/>
  <c r="S477" i="43" s="1"/>
  <c r="O465" i="43"/>
  <c r="O477" i="43" s="1"/>
  <c r="N465" i="43"/>
  <c r="N477" i="43" s="1"/>
  <c r="V465" i="43"/>
  <c r="V477" i="43" s="1"/>
  <c r="Z465" i="43"/>
  <c r="Z477" i="43" s="1"/>
  <c r="R465" i="43"/>
  <c r="R477" i="43" s="1"/>
  <c r="Y465" i="43"/>
  <c r="Y477" i="43" s="1"/>
  <c r="Q465" i="43"/>
  <c r="Q477" i="43" s="1"/>
  <c r="Y475" i="43"/>
  <c r="Y479" i="43" s="1"/>
  <c r="X475" i="43"/>
  <c r="X479" i="43" s="1"/>
  <c r="W475" i="43"/>
  <c r="W479" i="43" s="1"/>
  <c r="AB475" i="43"/>
  <c r="AB479" i="43" s="1"/>
  <c r="Z475" i="43"/>
  <c r="Z479" i="43" s="1"/>
  <c r="U465" i="43"/>
  <c r="U477" i="43" s="1"/>
  <c r="AA475" i="43"/>
  <c r="AA479" i="43" s="1"/>
  <c r="X465" i="43"/>
  <c r="X477" i="43" s="1"/>
  <c r="P465" i="43"/>
  <c r="P477" i="43" s="1"/>
  <c r="AB465" i="43"/>
  <c r="AB477" i="43" s="1"/>
  <c r="T465" i="43"/>
  <c r="T477" i="43" s="1"/>
  <c r="I287" i="248" l="1"/>
  <c r="J287" i="248"/>
  <c r="H287" i="248"/>
  <c r="X278" i="248"/>
  <c r="W278" i="248"/>
  <c r="V278" i="248"/>
  <c r="U278" i="248"/>
  <c r="T278" i="248"/>
  <c r="S278" i="248"/>
  <c r="R278" i="248"/>
  <c r="Q278" i="248"/>
  <c r="P278" i="248"/>
  <c r="O278" i="248"/>
  <c r="N278" i="248"/>
  <c r="M278" i="248"/>
  <c r="K278" i="248"/>
  <c r="J278" i="248"/>
  <c r="I278" i="248"/>
  <c r="H278" i="248"/>
  <c r="L278" i="248"/>
  <c r="K128" i="248"/>
  <c r="X68" i="248"/>
  <c r="W68" i="248"/>
  <c r="V68" i="248"/>
  <c r="U68" i="248"/>
  <c r="T68" i="248"/>
  <c r="S68" i="248"/>
  <c r="R68" i="248"/>
  <c r="Q68" i="248"/>
  <c r="P68" i="248"/>
  <c r="O68" i="248"/>
  <c r="N68" i="248"/>
  <c r="M68" i="248"/>
  <c r="L68" i="248"/>
  <c r="J68" i="248"/>
  <c r="I68" i="248"/>
  <c r="H68" i="248"/>
  <c r="K68" i="248"/>
  <c r="X311" i="248"/>
  <c r="W311" i="248"/>
  <c r="V311" i="248"/>
  <c r="U311" i="248"/>
  <c r="T311" i="248"/>
  <c r="S311" i="248"/>
  <c r="R311" i="248"/>
  <c r="Q311" i="248"/>
  <c r="P311" i="248"/>
  <c r="O311" i="248"/>
  <c r="N311" i="248"/>
  <c r="M311" i="248"/>
  <c r="L311" i="248"/>
  <c r="K311" i="248"/>
  <c r="X310" i="248"/>
  <c r="W310" i="248"/>
  <c r="V310" i="248"/>
  <c r="U310" i="248"/>
  <c r="T310" i="248"/>
  <c r="S310" i="248"/>
  <c r="R310" i="248"/>
  <c r="Q310" i="248"/>
  <c r="P310" i="248"/>
  <c r="X309" i="248"/>
  <c r="W309" i="248"/>
  <c r="X308" i="248"/>
  <c r="W308" i="248"/>
  <c r="V308" i="248"/>
  <c r="U308" i="248"/>
  <c r="T308" i="248"/>
  <c r="S308" i="248"/>
  <c r="R308" i="248"/>
  <c r="Q308" i="248"/>
  <c r="P308" i="248"/>
  <c r="O308" i="248"/>
  <c r="N308" i="248"/>
  <c r="M308" i="248"/>
  <c r="L308" i="248"/>
  <c r="K308" i="248"/>
  <c r="J308" i="248"/>
  <c r="I308" i="248"/>
  <c r="X307" i="248"/>
  <c r="W307" i="248"/>
  <c r="V307" i="248"/>
  <c r="U307" i="248"/>
  <c r="T307" i="248"/>
  <c r="S307" i="248"/>
  <c r="R307" i="248"/>
  <c r="Q307" i="248"/>
  <c r="P307" i="248"/>
  <c r="O307" i="248"/>
  <c r="N307" i="248"/>
  <c r="M307" i="248"/>
  <c r="L307" i="248"/>
  <c r="K307" i="248"/>
  <c r="J307" i="248"/>
  <c r="I307" i="248"/>
  <c r="X306" i="248"/>
  <c r="W306" i="248"/>
  <c r="V306" i="248"/>
  <c r="U306" i="248"/>
  <c r="T306" i="248"/>
  <c r="S306" i="248"/>
  <c r="R306" i="248"/>
  <c r="Q306" i="248"/>
  <c r="P306" i="248"/>
  <c r="O306" i="248"/>
  <c r="N306" i="248"/>
  <c r="M306" i="248"/>
  <c r="L306" i="248"/>
  <c r="K306" i="248"/>
  <c r="J306" i="248"/>
  <c r="I306" i="248"/>
  <c r="J293" i="248"/>
  <c r="I293" i="248"/>
  <c r="H293" i="248"/>
  <c r="O292" i="248"/>
  <c r="N292" i="248"/>
  <c r="M292" i="248"/>
  <c r="L292" i="248"/>
  <c r="K292" i="248"/>
  <c r="J292" i="248"/>
  <c r="I292" i="248"/>
  <c r="H292" i="248"/>
  <c r="V282" i="248"/>
  <c r="V309" i="248" s="1"/>
  <c r="I282" i="248"/>
  <c r="I309" i="248" s="1"/>
  <c r="H282" i="248"/>
  <c r="H309" i="248" s="1"/>
  <c r="Y259" i="248"/>
  <c r="X259" i="248"/>
  <c r="X273" i="248" s="1"/>
  <c r="W259" i="248"/>
  <c r="V259" i="248"/>
  <c r="V266" i="248" s="1"/>
  <c r="U259" i="248"/>
  <c r="U268" i="248" s="1"/>
  <c r="T259" i="248"/>
  <c r="S259" i="248"/>
  <c r="S267" i="248" s="1"/>
  <c r="R259" i="248"/>
  <c r="R266" i="248" s="1"/>
  <c r="Q259" i="248"/>
  <c r="Q273" i="248" s="1"/>
  <c r="P259" i="248"/>
  <c r="P264" i="248" s="1"/>
  <c r="O259" i="248"/>
  <c r="O262" i="248" s="1"/>
  <c r="N259" i="248"/>
  <c r="N263" i="248" s="1"/>
  <c r="M259" i="248"/>
  <c r="M268" i="248" s="1"/>
  <c r="L259" i="248"/>
  <c r="K259" i="248"/>
  <c r="K267" i="248" s="1"/>
  <c r="J259" i="248"/>
  <c r="J263" i="248" s="1"/>
  <c r="I259" i="248"/>
  <c r="I273" i="248" s="1"/>
  <c r="H259" i="248"/>
  <c r="H269" i="248" s="1"/>
  <c r="U251" i="248"/>
  <c r="U282" i="248" s="1"/>
  <c r="U309" i="248" s="1"/>
  <c r="T251" i="248"/>
  <c r="S251" i="248"/>
  <c r="R251" i="248"/>
  <c r="Q251" i="248"/>
  <c r="P251" i="248"/>
  <c r="O251" i="248"/>
  <c r="M251" i="248"/>
  <c r="L251" i="248"/>
  <c r="K251" i="248"/>
  <c r="J251" i="248"/>
  <c r="R248" i="248"/>
  <c r="Q248" i="248"/>
  <c r="P248" i="248"/>
  <c r="X188" i="248"/>
  <c r="X257" i="248" s="1"/>
  <c r="W188" i="248"/>
  <c r="W257" i="248" s="1"/>
  <c r="V188" i="248"/>
  <c r="V257" i="248" s="1"/>
  <c r="U188" i="248"/>
  <c r="U257" i="248" s="1"/>
  <c r="T188" i="248"/>
  <c r="T257" i="248" s="1"/>
  <c r="S188" i="248"/>
  <c r="S257" i="248" s="1"/>
  <c r="R188" i="248"/>
  <c r="R257" i="248" s="1"/>
  <c r="Q188" i="248"/>
  <c r="W186" i="248"/>
  <c r="V186" i="248"/>
  <c r="U186" i="248"/>
  <c r="T186" i="248"/>
  <c r="S186" i="248"/>
  <c r="R186" i="248"/>
  <c r="Q186" i="248"/>
  <c r="P186" i="248"/>
  <c r="O186" i="248"/>
  <c r="N186" i="248"/>
  <c r="M186" i="248"/>
  <c r="L186" i="248"/>
  <c r="K186" i="248"/>
  <c r="J186" i="248"/>
  <c r="I186" i="248"/>
  <c r="Z185" i="248"/>
  <c r="Z259" i="248" s="1"/>
  <c r="W179" i="248"/>
  <c r="V179" i="248"/>
  <c r="U179" i="248"/>
  <c r="T179" i="248"/>
  <c r="S179" i="248"/>
  <c r="R179" i="248"/>
  <c r="Q179" i="248"/>
  <c r="P179" i="248"/>
  <c r="O179" i="248"/>
  <c r="N179" i="248"/>
  <c r="M179" i="248"/>
  <c r="L179" i="248"/>
  <c r="K179" i="248"/>
  <c r="J179" i="248"/>
  <c r="I179" i="248"/>
  <c r="H179" i="248"/>
  <c r="W177" i="248"/>
  <c r="V177" i="248"/>
  <c r="U177" i="248"/>
  <c r="T177" i="248"/>
  <c r="S177" i="248"/>
  <c r="R177" i="248"/>
  <c r="Q177" i="248"/>
  <c r="P177" i="248"/>
  <c r="O177" i="248"/>
  <c r="N177" i="248"/>
  <c r="M177" i="248"/>
  <c r="L177" i="248"/>
  <c r="K177" i="248"/>
  <c r="J177" i="248"/>
  <c r="I177" i="248"/>
  <c r="H177" i="248"/>
  <c r="W176" i="248"/>
  <c r="V176" i="248"/>
  <c r="U176" i="248"/>
  <c r="T176" i="248"/>
  <c r="S176" i="248"/>
  <c r="R176" i="248"/>
  <c r="Q176" i="248"/>
  <c r="P176" i="248"/>
  <c r="O176" i="248"/>
  <c r="N176" i="248"/>
  <c r="M176" i="248"/>
  <c r="L176" i="248"/>
  <c r="K176" i="248"/>
  <c r="J176" i="248"/>
  <c r="I176" i="248"/>
  <c r="H176" i="248"/>
  <c r="W175" i="248"/>
  <c r="V175" i="248"/>
  <c r="U175" i="248"/>
  <c r="T175" i="248"/>
  <c r="S175" i="248"/>
  <c r="R175" i="248"/>
  <c r="Q175" i="248"/>
  <c r="P175" i="248"/>
  <c r="O175" i="248"/>
  <c r="N175" i="248"/>
  <c r="M175" i="248"/>
  <c r="L175" i="248"/>
  <c r="K175" i="248"/>
  <c r="J175" i="248"/>
  <c r="I175" i="248"/>
  <c r="H175" i="248"/>
  <c r="W174" i="248"/>
  <c r="V174" i="248"/>
  <c r="U174" i="248"/>
  <c r="T174" i="248"/>
  <c r="S174" i="248"/>
  <c r="R174" i="248"/>
  <c r="Q174" i="248"/>
  <c r="P174" i="248"/>
  <c r="O174" i="248"/>
  <c r="N174" i="248"/>
  <c r="M174" i="248"/>
  <c r="L174" i="248"/>
  <c r="K174" i="248"/>
  <c r="J174" i="248"/>
  <c r="I174" i="248"/>
  <c r="H174" i="248"/>
  <c r="W173" i="248"/>
  <c r="V173" i="248"/>
  <c r="U173" i="248"/>
  <c r="T173" i="248"/>
  <c r="S173" i="248"/>
  <c r="R173" i="248"/>
  <c r="Q173" i="248"/>
  <c r="P173" i="248"/>
  <c r="O173" i="248"/>
  <c r="N173" i="248"/>
  <c r="M173" i="248"/>
  <c r="L173" i="248"/>
  <c r="K173" i="248"/>
  <c r="J173" i="248"/>
  <c r="I173" i="248"/>
  <c r="H173" i="248"/>
  <c r="W172" i="248"/>
  <c r="V172" i="248"/>
  <c r="U172" i="248"/>
  <c r="T172" i="248"/>
  <c r="S172" i="248"/>
  <c r="R172" i="248"/>
  <c r="Q172" i="248"/>
  <c r="P172" i="248"/>
  <c r="O172" i="248"/>
  <c r="N172" i="248"/>
  <c r="M172" i="248"/>
  <c r="L172" i="248"/>
  <c r="K172" i="248"/>
  <c r="J172" i="248"/>
  <c r="I172" i="248"/>
  <c r="H172" i="248"/>
  <c r="W171" i="248"/>
  <c r="V171" i="248"/>
  <c r="U171" i="248"/>
  <c r="T171" i="248"/>
  <c r="S171" i="248"/>
  <c r="R171" i="248"/>
  <c r="Q171" i="248"/>
  <c r="P171" i="248"/>
  <c r="O171" i="248"/>
  <c r="N171" i="248"/>
  <c r="M171" i="248"/>
  <c r="L171" i="248"/>
  <c r="K171" i="248"/>
  <c r="J171" i="248"/>
  <c r="I171" i="248"/>
  <c r="H171" i="248"/>
  <c r="W170" i="248"/>
  <c r="V170" i="248"/>
  <c r="U170" i="248"/>
  <c r="T170" i="248"/>
  <c r="S170" i="248"/>
  <c r="R170" i="248"/>
  <c r="Q170" i="248"/>
  <c r="P170" i="248"/>
  <c r="O170" i="248"/>
  <c r="N170" i="248"/>
  <c r="M170" i="248"/>
  <c r="L170" i="248"/>
  <c r="K170" i="248"/>
  <c r="J170" i="248"/>
  <c r="I170" i="248"/>
  <c r="H170" i="248"/>
  <c r="W169" i="248"/>
  <c r="V169" i="248"/>
  <c r="U169" i="248"/>
  <c r="T169" i="248"/>
  <c r="S169" i="248"/>
  <c r="R169" i="248"/>
  <c r="Q169" i="248"/>
  <c r="P169" i="248"/>
  <c r="O169" i="248"/>
  <c r="N169" i="248"/>
  <c r="M169" i="248"/>
  <c r="L169" i="248"/>
  <c r="K169" i="248"/>
  <c r="J169" i="248"/>
  <c r="I169" i="248"/>
  <c r="H169" i="248"/>
  <c r="W168" i="248"/>
  <c r="V168" i="248"/>
  <c r="U168" i="248"/>
  <c r="T168" i="248"/>
  <c r="S168" i="248"/>
  <c r="R168" i="248"/>
  <c r="Q168" i="248"/>
  <c r="P168" i="248"/>
  <c r="O168" i="248"/>
  <c r="N168" i="248"/>
  <c r="M168" i="248"/>
  <c r="L168" i="248"/>
  <c r="K168" i="248"/>
  <c r="J168" i="248"/>
  <c r="I168" i="248"/>
  <c r="H168" i="248"/>
  <c r="W167" i="248"/>
  <c r="V167" i="248"/>
  <c r="U167" i="248"/>
  <c r="T167" i="248"/>
  <c r="S167" i="248"/>
  <c r="R167" i="248"/>
  <c r="Q167" i="248"/>
  <c r="P167" i="248"/>
  <c r="O167" i="248"/>
  <c r="N167" i="248"/>
  <c r="M167" i="248"/>
  <c r="L167" i="248"/>
  <c r="K167" i="248"/>
  <c r="J167" i="248"/>
  <c r="I167" i="248"/>
  <c r="H167" i="248"/>
  <c r="W166" i="248"/>
  <c r="V166" i="248"/>
  <c r="U166" i="248"/>
  <c r="T166" i="248"/>
  <c r="S166" i="248"/>
  <c r="R166" i="248"/>
  <c r="Q166" i="248"/>
  <c r="P166" i="248"/>
  <c r="O166" i="248"/>
  <c r="N166" i="248"/>
  <c r="M166" i="248"/>
  <c r="L166" i="248"/>
  <c r="K166" i="248"/>
  <c r="J166" i="248"/>
  <c r="I166" i="248"/>
  <c r="H166" i="248"/>
  <c r="W165" i="248"/>
  <c r="V165" i="248"/>
  <c r="U165" i="248"/>
  <c r="T165" i="248"/>
  <c r="S165" i="248"/>
  <c r="R165" i="248"/>
  <c r="Q165" i="248"/>
  <c r="P165" i="248"/>
  <c r="O165" i="248"/>
  <c r="N165" i="248"/>
  <c r="M165" i="248"/>
  <c r="L165" i="248"/>
  <c r="K165" i="248"/>
  <c r="J165" i="248"/>
  <c r="I165" i="248"/>
  <c r="H165" i="248"/>
  <c r="W164" i="248"/>
  <c r="V164" i="248"/>
  <c r="U164" i="248"/>
  <c r="T164" i="248"/>
  <c r="S164" i="248"/>
  <c r="R164" i="248"/>
  <c r="Q164" i="248"/>
  <c r="P164" i="248"/>
  <c r="O164" i="248"/>
  <c r="N164" i="248"/>
  <c r="M164" i="248"/>
  <c r="L164" i="248"/>
  <c r="K164" i="248"/>
  <c r="J164" i="248"/>
  <c r="I164" i="248"/>
  <c r="H164" i="248"/>
  <c r="W163" i="248"/>
  <c r="V163" i="248"/>
  <c r="U163" i="248"/>
  <c r="T163" i="248"/>
  <c r="S163" i="248"/>
  <c r="R163" i="248"/>
  <c r="Q163" i="248"/>
  <c r="P163" i="248"/>
  <c r="O163" i="248"/>
  <c r="N163" i="248"/>
  <c r="M163" i="248"/>
  <c r="L163" i="248"/>
  <c r="K163" i="248"/>
  <c r="J163" i="248"/>
  <c r="I163" i="248"/>
  <c r="H163" i="248"/>
  <c r="W162" i="248"/>
  <c r="V162" i="248"/>
  <c r="U162" i="248"/>
  <c r="T162" i="248"/>
  <c r="S162" i="248"/>
  <c r="R162" i="248"/>
  <c r="Q162" i="248"/>
  <c r="P162" i="248"/>
  <c r="O162" i="248"/>
  <c r="N162" i="248"/>
  <c r="M162" i="248"/>
  <c r="L162" i="248"/>
  <c r="K162" i="248"/>
  <c r="J162" i="248"/>
  <c r="I162" i="248"/>
  <c r="H162" i="248"/>
  <c r="W161" i="248"/>
  <c r="V161" i="248"/>
  <c r="U161" i="248"/>
  <c r="T161" i="248"/>
  <c r="S161" i="248"/>
  <c r="R161" i="248"/>
  <c r="Q161" i="248"/>
  <c r="P161" i="248"/>
  <c r="O161" i="248"/>
  <c r="N161" i="248"/>
  <c r="M161" i="248"/>
  <c r="L161" i="248"/>
  <c r="K161" i="248"/>
  <c r="J161" i="248"/>
  <c r="I161" i="248"/>
  <c r="H161" i="248"/>
  <c r="W160" i="248"/>
  <c r="V160" i="248"/>
  <c r="U160" i="248"/>
  <c r="T160" i="248"/>
  <c r="S160" i="248"/>
  <c r="R160" i="248"/>
  <c r="Q160" i="248"/>
  <c r="P160" i="248"/>
  <c r="O160" i="248"/>
  <c r="N160" i="248"/>
  <c r="M160" i="248"/>
  <c r="L160" i="248"/>
  <c r="K160" i="248"/>
  <c r="J160" i="248"/>
  <c r="I160" i="248"/>
  <c r="H160" i="248"/>
  <c r="W159" i="248"/>
  <c r="V159" i="248"/>
  <c r="U159" i="248"/>
  <c r="T159" i="248"/>
  <c r="S159" i="248"/>
  <c r="R159" i="248"/>
  <c r="Q159" i="248"/>
  <c r="P159" i="248"/>
  <c r="O159" i="248"/>
  <c r="N159" i="248"/>
  <c r="M159" i="248"/>
  <c r="L159" i="248"/>
  <c r="K159" i="248"/>
  <c r="J159" i="248"/>
  <c r="I159" i="248"/>
  <c r="H159" i="248"/>
  <c r="W158" i="248"/>
  <c r="V158" i="248"/>
  <c r="U158" i="248"/>
  <c r="T158" i="248"/>
  <c r="S158" i="248"/>
  <c r="R158" i="248"/>
  <c r="Q158" i="248"/>
  <c r="P158" i="248"/>
  <c r="O158" i="248"/>
  <c r="N158" i="248"/>
  <c r="M158" i="248"/>
  <c r="L158" i="248"/>
  <c r="K158" i="248"/>
  <c r="J158" i="248"/>
  <c r="I158" i="248"/>
  <c r="H158" i="248"/>
  <c r="W157" i="248"/>
  <c r="V157" i="248"/>
  <c r="U157" i="248"/>
  <c r="T157" i="248"/>
  <c r="S157" i="248"/>
  <c r="R157" i="248"/>
  <c r="Q157" i="248"/>
  <c r="P157" i="248"/>
  <c r="O157" i="248"/>
  <c r="N157" i="248"/>
  <c r="M157" i="248"/>
  <c r="L157" i="248"/>
  <c r="K157" i="248"/>
  <c r="J157" i="248"/>
  <c r="I157" i="248"/>
  <c r="H157" i="248"/>
  <c r="W156" i="248"/>
  <c r="V156" i="248"/>
  <c r="U156" i="248"/>
  <c r="T156" i="248"/>
  <c r="S156" i="248"/>
  <c r="R156" i="248"/>
  <c r="Q156" i="248"/>
  <c r="P156" i="248"/>
  <c r="O156" i="248"/>
  <c r="N156" i="248"/>
  <c r="M156" i="248"/>
  <c r="L156" i="248"/>
  <c r="K156" i="248"/>
  <c r="J156" i="248"/>
  <c r="I156" i="248"/>
  <c r="H156" i="248"/>
  <c r="W155" i="248"/>
  <c r="V155" i="248"/>
  <c r="U155" i="248"/>
  <c r="T155" i="248"/>
  <c r="S155" i="248"/>
  <c r="R155" i="248"/>
  <c r="Q155" i="248"/>
  <c r="P155" i="248"/>
  <c r="O155" i="248"/>
  <c r="N155" i="248"/>
  <c r="M155" i="248"/>
  <c r="L155" i="248"/>
  <c r="K155" i="248"/>
  <c r="J155" i="248"/>
  <c r="I155" i="248"/>
  <c r="H155" i="248"/>
  <c r="W154" i="248"/>
  <c r="V154" i="248"/>
  <c r="U154" i="248"/>
  <c r="T154" i="248"/>
  <c r="S154" i="248"/>
  <c r="R154" i="248"/>
  <c r="Q154" i="248"/>
  <c r="P154" i="248"/>
  <c r="O154" i="248"/>
  <c r="N154" i="248"/>
  <c r="M154" i="248"/>
  <c r="L154" i="248"/>
  <c r="K154" i="248"/>
  <c r="J154" i="248"/>
  <c r="I154" i="248"/>
  <c r="H154" i="248"/>
  <c r="W153" i="248"/>
  <c r="V153" i="248"/>
  <c r="U153" i="248"/>
  <c r="T153" i="248"/>
  <c r="S153" i="248"/>
  <c r="R153" i="248"/>
  <c r="Q153" i="248"/>
  <c r="P153" i="248"/>
  <c r="O153" i="248"/>
  <c r="N153" i="248"/>
  <c r="M153" i="248"/>
  <c r="L153" i="248"/>
  <c r="K153" i="248"/>
  <c r="J153" i="248"/>
  <c r="I153" i="248"/>
  <c r="H153" i="248"/>
  <c r="W152" i="248"/>
  <c r="V152" i="248"/>
  <c r="U152" i="248"/>
  <c r="T152" i="248"/>
  <c r="S152" i="248"/>
  <c r="R152" i="248"/>
  <c r="Q152" i="248"/>
  <c r="P152" i="248"/>
  <c r="O152" i="248"/>
  <c r="N152" i="248"/>
  <c r="M152" i="248"/>
  <c r="L152" i="248"/>
  <c r="K152" i="248"/>
  <c r="J152" i="248"/>
  <c r="I152" i="248"/>
  <c r="H152" i="248"/>
  <c r="W151" i="248"/>
  <c r="V151" i="248"/>
  <c r="U151" i="248"/>
  <c r="T151" i="248"/>
  <c r="S151" i="248"/>
  <c r="R151" i="248"/>
  <c r="Q151" i="248"/>
  <c r="P151" i="248"/>
  <c r="O151" i="248"/>
  <c r="N151" i="248"/>
  <c r="M151" i="248"/>
  <c r="L151" i="248"/>
  <c r="K151" i="248"/>
  <c r="J151" i="248"/>
  <c r="I151" i="248"/>
  <c r="H151" i="248"/>
  <c r="W150" i="248"/>
  <c r="V150" i="248"/>
  <c r="U150" i="248"/>
  <c r="T150" i="248"/>
  <c r="S150" i="248"/>
  <c r="R150" i="248"/>
  <c r="Q150" i="248"/>
  <c r="P150" i="248"/>
  <c r="O150" i="248"/>
  <c r="N150" i="248"/>
  <c r="M150" i="248"/>
  <c r="L150" i="248"/>
  <c r="K150" i="248"/>
  <c r="J150" i="248"/>
  <c r="I150" i="248"/>
  <c r="H150" i="248"/>
  <c r="W149" i="248"/>
  <c r="V149" i="248"/>
  <c r="U149" i="248"/>
  <c r="T149" i="248"/>
  <c r="S149" i="248"/>
  <c r="R149" i="248"/>
  <c r="Q149" i="248"/>
  <c r="P149" i="248"/>
  <c r="O149" i="248"/>
  <c r="N149" i="248"/>
  <c r="M149" i="248"/>
  <c r="L149" i="248"/>
  <c r="K149" i="248"/>
  <c r="J149" i="248"/>
  <c r="I149" i="248"/>
  <c r="H149" i="248"/>
  <c r="W148" i="248"/>
  <c r="V148" i="248"/>
  <c r="U148" i="248"/>
  <c r="T148" i="248"/>
  <c r="S148" i="248"/>
  <c r="R148" i="248"/>
  <c r="Q148" i="248"/>
  <c r="P148" i="248"/>
  <c r="O148" i="248"/>
  <c r="N148" i="248"/>
  <c r="M148" i="248"/>
  <c r="L148" i="248"/>
  <c r="K148" i="248"/>
  <c r="J148" i="248"/>
  <c r="I148" i="248"/>
  <c r="H148" i="248"/>
  <c r="W147" i="248"/>
  <c r="V147" i="248"/>
  <c r="U147" i="248"/>
  <c r="T147" i="248"/>
  <c r="S147" i="248"/>
  <c r="R147" i="248"/>
  <c r="Q147" i="248"/>
  <c r="P147" i="248"/>
  <c r="O147" i="248"/>
  <c r="N147" i="248"/>
  <c r="M147" i="248"/>
  <c r="L147" i="248"/>
  <c r="K147" i="248"/>
  <c r="J147" i="248"/>
  <c r="I147" i="248"/>
  <c r="H147" i="248"/>
  <c r="W146" i="248"/>
  <c r="V146" i="248"/>
  <c r="U146" i="248"/>
  <c r="T146" i="248"/>
  <c r="S146" i="248"/>
  <c r="R146" i="248"/>
  <c r="Q146" i="248"/>
  <c r="P146" i="248"/>
  <c r="O146" i="248"/>
  <c r="N146" i="248"/>
  <c r="M146" i="248"/>
  <c r="L146" i="248"/>
  <c r="K146" i="248"/>
  <c r="J146" i="248"/>
  <c r="I146" i="248"/>
  <c r="H146" i="248"/>
  <c r="W145" i="248"/>
  <c r="V145" i="248"/>
  <c r="U145" i="248"/>
  <c r="T145" i="248"/>
  <c r="S145" i="248"/>
  <c r="R145" i="248"/>
  <c r="Q145" i="248"/>
  <c r="P145" i="248"/>
  <c r="O145" i="248"/>
  <c r="N145" i="248"/>
  <c r="M145" i="248"/>
  <c r="L145" i="248"/>
  <c r="K145" i="248"/>
  <c r="J145" i="248"/>
  <c r="I145" i="248"/>
  <c r="H145" i="248"/>
  <c r="W144" i="248"/>
  <c r="V144" i="248"/>
  <c r="U144" i="248"/>
  <c r="T144" i="248"/>
  <c r="S144" i="248"/>
  <c r="R144" i="248"/>
  <c r="Q144" i="248"/>
  <c r="P144" i="248"/>
  <c r="O144" i="248"/>
  <c r="N144" i="248"/>
  <c r="M144" i="248"/>
  <c r="L144" i="248"/>
  <c r="K144" i="248"/>
  <c r="J144" i="248"/>
  <c r="I144" i="248"/>
  <c r="H144" i="248"/>
  <c r="W143" i="248"/>
  <c r="V143" i="248"/>
  <c r="U143" i="248"/>
  <c r="T143" i="248"/>
  <c r="S143" i="248"/>
  <c r="R143" i="248"/>
  <c r="Q143" i="248"/>
  <c r="P143" i="248"/>
  <c r="O143" i="248"/>
  <c r="N143" i="248"/>
  <c r="M143" i="248"/>
  <c r="L143" i="248"/>
  <c r="K143" i="248"/>
  <c r="J143" i="248"/>
  <c r="I143" i="248"/>
  <c r="H143" i="248"/>
  <c r="W142" i="248"/>
  <c r="V142" i="248"/>
  <c r="U142" i="248"/>
  <c r="T142" i="248"/>
  <c r="S142" i="248"/>
  <c r="R142" i="248"/>
  <c r="Q142" i="248"/>
  <c r="P142" i="248"/>
  <c r="O142" i="248"/>
  <c r="N142" i="248"/>
  <c r="M142" i="248"/>
  <c r="L142" i="248"/>
  <c r="K142" i="248"/>
  <c r="J142" i="248"/>
  <c r="I142" i="248"/>
  <c r="H142" i="248"/>
  <c r="W141" i="248"/>
  <c r="V141" i="248"/>
  <c r="U141" i="248"/>
  <c r="T141" i="248"/>
  <c r="S141" i="248"/>
  <c r="R141" i="248"/>
  <c r="Q141" i="248"/>
  <c r="P141" i="248"/>
  <c r="O141" i="248"/>
  <c r="N141" i="248"/>
  <c r="M141" i="248"/>
  <c r="L141" i="248"/>
  <c r="K141" i="248"/>
  <c r="J141" i="248"/>
  <c r="I141" i="248"/>
  <c r="H141" i="248"/>
  <c r="W140" i="248"/>
  <c r="V140" i="248"/>
  <c r="U140" i="248"/>
  <c r="T140" i="248"/>
  <c r="S140" i="248"/>
  <c r="R140" i="248"/>
  <c r="Q140" i="248"/>
  <c r="P140" i="248"/>
  <c r="O140" i="248"/>
  <c r="N140" i="248"/>
  <c r="M140" i="248"/>
  <c r="L140" i="248"/>
  <c r="K140" i="248"/>
  <c r="J140" i="248"/>
  <c r="I140" i="248"/>
  <c r="H140" i="248"/>
  <c r="W139" i="248"/>
  <c r="V139" i="248"/>
  <c r="U139" i="248"/>
  <c r="T139" i="248"/>
  <c r="S139" i="248"/>
  <c r="R139" i="248"/>
  <c r="Q139" i="248"/>
  <c r="P139" i="248"/>
  <c r="O139" i="248"/>
  <c r="N139" i="248"/>
  <c r="M139" i="248"/>
  <c r="L139" i="248"/>
  <c r="K139" i="248"/>
  <c r="J139" i="248"/>
  <c r="I139" i="248"/>
  <c r="H139" i="248"/>
  <c r="W138" i="248"/>
  <c r="V138" i="248"/>
  <c r="U138" i="248"/>
  <c r="T138" i="248"/>
  <c r="S138" i="248"/>
  <c r="R138" i="248"/>
  <c r="Q138" i="248"/>
  <c r="P138" i="248"/>
  <c r="O138" i="248"/>
  <c r="N138" i="248"/>
  <c r="M138" i="248"/>
  <c r="L138" i="248"/>
  <c r="K138" i="248"/>
  <c r="J138" i="248"/>
  <c r="I138" i="248"/>
  <c r="H138" i="248"/>
  <c r="W137" i="248"/>
  <c r="V137" i="248"/>
  <c r="U137" i="248"/>
  <c r="T137" i="248"/>
  <c r="S137" i="248"/>
  <c r="R137" i="248"/>
  <c r="Q137" i="248"/>
  <c r="P137" i="248"/>
  <c r="O137" i="248"/>
  <c r="N137" i="248"/>
  <c r="M137" i="248"/>
  <c r="L137" i="248"/>
  <c r="K137" i="248"/>
  <c r="J137" i="248"/>
  <c r="I137" i="248"/>
  <c r="H137" i="248"/>
  <c r="W136" i="248"/>
  <c r="V136" i="248"/>
  <c r="U136" i="248"/>
  <c r="T136" i="248"/>
  <c r="S136" i="248"/>
  <c r="R136" i="248"/>
  <c r="Q136" i="248"/>
  <c r="P136" i="248"/>
  <c r="O136" i="248"/>
  <c r="N136" i="248"/>
  <c r="M136" i="248"/>
  <c r="L136" i="248"/>
  <c r="K136" i="248"/>
  <c r="J136" i="248"/>
  <c r="I136" i="248"/>
  <c r="H136" i="248"/>
  <c r="W135" i="248"/>
  <c r="V135" i="248"/>
  <c r="U135" i="248"/>
  <c r="T135" i="248"/>
  <c r="S135" i="248"/>
  <c r="R135" i="248"/>
  <c r="Q135" i="248"/>
  <c r="P135" i="248"/>
  <c r="O135" i="248"/>
  <c r="N135" i="248"/>
  <c r="M135" i="248"/>
  <c r="L135" i="248"/>
  <c r="K135" i="248"/>
  <c r="J135" i="248"/>
  <c r="I135" i="248"/>
  <c r="H135" i="248"/>
  <c r="W134" i="248"/>
  <c r="V134" i="248"/>
  <c r="U134" i="248"/>
  <c r="T134" i="248"/>
  <c r="S134" i="248"/>
  <c r="R134" i="248"/>
  <c r="Q134" i="248"/>
  <c r="P134" i="248"/>
  <c r="O134" i="248"/>
  <c r="N134" i="248"/>
  <c r="M134" i="248"/>
  <c r="L134" i="248"/>
  <c r="K134" i="248"/>
  <c r="J134" i="248"/>
  <c r="I134" i="248"/>
  <c r="H134" i="248"/>
  <c r="W133" i="248"/>
  <c r="V133" i="248"/>
  <c r="U133" i="248"/>
  <c r="T133" i="248"/>
  <c r="S133" i="248"/>
  <c r="R133" i="248"/>
  <c r="Q133" i="248"/>
  <c r="P133" i="248"/>
  <c r="O133" i="248"/>
  <c r="N133" i="248"/>
  <c r="M133" i="248"/>
  <c r="L133" i="248"/>
  <c r="K133" i="248"/>
  <c r="J133" i="248"/>
  <c r="I133" i="248"/>
  <c r="H133" i="248"/>
  <c r="W132" i="248"/>
  <c r="V132" i="248"/>
  <c r="U132" i="248"/>
  <c r="T132" i="248"/>
  <c r="S132" i="248"/>
  <c r="R132" i="248"/>
  <c r="Q132" i="248"/>
  <c r="P132" i="248"/>
  <c r="O132" i="248"/>
  <c r="N132" i="248"/>
  <c r="M132" i="248"/>
  <c r="L132" i="248"/>
  <c r="K132" i="248"/>
  <c r="J132" i="248"/>
  <c r="I132" i="248"/>
  <c r="H132" i="248"/>
  <c r="W131" i="248"/>
  <c r="V131" i="248"/>
  <c r="U131" i="248"/>
  <c r="T131" i="248"/>
  <c r="S131" i="248"/>
  <c r="R131" i="248"/>
  <c r="Q131" i="248"/>
  <c r="P131" i="248"/>
  <c r="O131" i="248"/>
  <c r="N131" i="248"/>
  <c r="M131" i="248"/>
  <c r="L131" i="248"/>
  <c r="K131" i="248"/>
  <c r="J131" i="248"/>
  <c r="I131" i="248"/>
  <c r="H131" i="248"/>
  <c r="W130" i="248"/>
  <c r="V130" i="248"/>
  <c r="U130" i="248"/>
  <c r="T130" i="248"/>
  <c r="S130" i="248"/>
  <c r="R130" i="248"/>
  <c r="Q130" i="248"/>
  <c r="P130" i="248"/>
  <c r="O130" i="248"/>
  <c r="N130" i="248"/>
  <c r="M130" i="248"/>
  <c r="L130" i="248"/>
  <c r="K130" i="248"/>
  <c r="J130" i="248"/>
  <c r="I130" i="248"/>
  <c r="H130" i="248"/>
  <c r="W129" i="248"/>
  <c r="V129" i="248"/>
  <c r="U129" i="248"/>
  <c r="T129" i="248"/>
  <c r="S129" i="248"/>
  <c r="R129" i="248"/>
  <c r="Q129" i="248"/>
  <c r="P129" i="248"/>
  <c r="O129" i="248"/>
  <c r="N129" i="248"/>
  <c r="M129" i="248"/>
  <c r="L129" i="248"/>
  <c r="K129" i="248"/>
  <c r="J129" i="248"/>
  <c r="I129" i="248"/>
  <c r="H129" i="248"/>
  <c r="W128" i="248"/>
  <c r="V128" i="248"/>
  <c r="U128" i="248"/>
  <c r="T128" i="248"/>
  <c r="S128" i="248"/>
  <c r="R128" i="248"/>
  <c r="Q128" i="248"/>
  <c r="P128" i="248"/>
  <c r="O128" i="248"/>
  <c r="N128" i="248"/>
  <c r="M128" i="248"/>
  <c r="L128" i="248"/>
  <c r="J128" i="248"/>
  <c r="I128" i="248"/>
  <c r="H128" i="248"/>
  <c r="W125" i="248"/>
  <c r="W187" i="248" s="1"/>
  <c r="V125" i="248"/>
  <c r="V187" i="248" s="1"/>
  <c r="U125" i="248"/>
  <c r="U187" i="248" s="1"/>
  <c r="T125" i="248"/>
  <c r="S125" i="248"/>
  <c r="S187" i="248" s="1"/>
  <c r="R125" i="248"/>
  <c r="R187" i="248" s="1"/>
  <c r="Q125" i="248"/>
  <c r="Q187" i="248" s="1"/>
  <c r="P125" i="248"/>
  <c r="O125" i="248"/>
  <c r="O187" i="248" s="1"/>
  <c r="N125" i="248"/>
  <c r="N187" i="248" s="1"/>
  <c r="M125" i="248"/>
  <c r="M187" i="248" s="1"/>
  <c r="L125" i="248"/>
  <c r="K125" i="248"/>
  <c r="K187" i="248" s="1"/>
  <c r="J125" i="248"/>
  <c r="J187" i="248" s="1"/>
  <c r="I125" i="248"/>
  <c r="I187" i="248" s="1"/>
  <c r="H125" i="248"/>
  <c r="H187" i="248" s="1"/>
  <c r="X124" i="248"/>
  <c r="X123" i="248"/>
  <c r="X122" i="248"/>
  <c r="X121" i="248"/>
  <c r="X120" i="248"/>
  <c r="X119" i="248"/>
  <c r="X118" i="248"/>
  <c r="X117" i="248"/>
  <c r="X116" i="248"/>
  <c r="X115" i="248"/>
  <c r="X114" i="248"/>
  <c r="X113" i="248"/>
  <c r="X112" i="248"/>
  <c r="X111" i="248"/>
  <c r="X110" i="248"/>
  <c r="X109" i="248"/>
  <c r="Y109" i="248" s="1"/>
  <c r="Z109" i="248" s="1"/>
  <c r="AA109" i="248" s="1"/>
  <c r="AB109" i="248" s="1"/>
  <c r="AC109" i="248" s="1"/>
  <c r="AD109" i="248" s="1"/>
  <c r="AE109" i="248" s="1"/>
  <c r="AF109" i="248" s="1"/>
  <c r="X108" i="248"/>
  <c r="X107" i="248"/>
  <c r="X106" i="248"/>
  <c r="X105" i="248"/>
  <c r="X104" i="248"/>
  <c r="X103" i="248"/>
  <c r="Y103" i="248" s="1"/>
  <c r="Z103" i="248" s="1"/>
  <c r="AA103" i="248" s="1"/>
  <c r="AB103" i="248" s="1"/>
  <c r="AC103" i="248" s="1"/>
  <c r="AD103" i="248" s="1"/>
  <c r="AE103" i="248" s="1"/>
  <c r="AF103" i="248" s="1"/>
  <c r="X102" i="248"/>
  <c r="X101" i="248"/>
  <c r="Y101" i="248" s="1"/>
  <c r="Z101" i="248" s="1"/>
  <c r="AA101" i="248" s="1"/>
  <c r="AB101" i="248" s="1"/>
  <c r="AC101" i="248" s="1"/>
  <c r="AD101" i="248" s="1"/>
  <c r="AE101" i="248" s="1"/>
  <c r="AF101" i="248" s="1"/>
  <c r="X100" i="248"/>
  <c r="X99" i="248"/>
  <c r="Y99" i="248" s="1"/>
  <c r="Z99" i="248" s="1"/>
  <c r="AA99" i="248" s="1"/>
  <c r="AB99" i="248" s="1"/>
  <c r="AC99" i="248" s="1"/>
  <c r="AD99" i="248" s="1"/>
  <c r="AE99" i="248" s="1"/>
  <c r="AF99" i="248" s="1"/>
  <c r="X98" i="248"/>
  <c r="X97" i="248"/>
  <c r="X96" i="248"/>
  <c r="Y96" i="248" s="1"/>
  <c r="Z96" i="248" s="1"/>
  <c r="AA96" i="248" s="1"/>
  <c r="X95" i="248"/>
  <c r="X94" i="248"/>
  <c r="X93" i="248"/>
  <c r="X92" i="248"/>
  <c r="Y92" i="248" s="1"/>
  <c r="Z92" i="248" s="1"/>
  <c r="AA92" i="248" s="1"/>
  <c r="X91" i="248"/>
  <c r="X90" i="248"/>
  <c r="X89" i="248"/>
  <c r="X88" i="248"/>
  <c r="Y88" i="248" s="1"/>
  <c r="Z88" i="248" s="1"/>
  <c r="AA88" i="248" s="1"/>
  <c r="X87" i="248"/>
  <c r="X86" i="248"/>
  <c r="X85" i="248"/>
  <c r="Y85" i="248" s="1"/>
  <c r="Z85" i="248" s="1"/>
  <c r="AA85" i="248" s="1"/>
  <c r="AA15" i="248" s="1"/>
  <c r="X84" i="248"/>
  <c r="X83" i="248"/>
  <c r="X82" i="248"/>
  <c r="X81" i="248"/>
  <c r="Y81" i="248" s="1"/>
  <c r="Z81" i="248" s="1"/>
  <c r="AA81" i="248" s="1"/>
  <c r="AB81" i="248" s="1"/>
  <c r="AC81" i="248" s="1"/>
  <c r="AD81" i="248" s="1"/>
  <c r="AE81" i="248" s="1"/>
  <c r="AF81" i="248" s="1"/>
  <c r="X80" i="248"/>
  <c r="X79" i="248"/>
  <c r="X78" i="248"/>
  <c r="X77" i="248"/>
  <c r="X76" i="248"/>
  <c r="X75" i="248"/>
  <c r="AI67" i="248"/>
  <c r="AI64" i="248"/>
  <c r="AH64" i="248"/>
  <c r="AG64" i="248"/>
  <c r="AF64" i="248"/>
  <c r="AE64" i="248"/>
  <c r="AD64" i="248"/>
  <c r="AC64" i="248"/>
  <c r="AB64" i="248"/>
  <c r="AA64" i="248"/>
  <c r="Z64" i="248"/>
  <c r="Y64" i="248"/>
  <c r="X64" i="248"/>
  <c r="X65" i="248" s="1"/>
  <c r="W64" i="248"/>
  <c r="W65" i="248" s="1"/>
  <c r="V64" i="248"/>
  <c r="V65" i="248" s="1"/>
  <c r="U64" i="248"/>
  <c r="U65" i="248" s="1"/>
  <c r="T64" i="248"/>
  <c r="T65" i="248" s="1"/>
  <c r="S64" i="248"/>
  <c r="S65" i="248" s="1"/>
  <c r="R64" i="248"/>
  <c r="R65" i="248" s="1"/>
  <c r="Q64" i="248"/>
  <c r="Q65" i="248" s="1"/>
  <c r="P64" i="248"/>
  <c r="P65" i="248" s="1"/>
  <c r="O64" i="248"/>
  <c r="O65" i="248" s="1"/>
  <c r="N64" i="248"/>
  <c r="N65" i="248" s="1"/>
  <c r="M64" i="248"/>
  <c r="M65" i="248" s="1"/>
  <c r="L64" i="248"/>
  <c r="L65" i="248" s="1"/>
  <c r="K64" i="248"/>
  <c r="K65" i="248" s="1"/>
  <c r="J64" i="248"/>
  <c r="J65" i="248" s="1"/>
  <c r="I64" i="248"/>
  <c r="I65" i="248" s="1"/>
  <c r="H64" i="248"/>
  <c r="H65" i="248" s="1"/>
  <c r="AI61" i="248"/>
  <c r="AH61" i="248"/>
  <c r="AG61" i="248"/>
  <c r="AF61" i="248"/>
  <c r="AE61" i="248"/>
  <c r="AD61" i="248"/>
  <c r="AC61" i="248"/>
  <c r="AB61" i="248"/>
  <c r="AA61" i="248"/>
  <c r="Z61" i="248"/>
  <c r="Y61" i="248"/>
  <c r="X61" i="248"/>
  <c r="X62" i="248" s="1"/>
  <c r="W61" i="248"/>
  <c r="W62" i="248" s="1"/>
  <c r="V61" i="248"/>
  <c r="V62" i="248" s="1"/>
  <c r="U61" i="248"/>
  <c r="U62" i="248" s="1"/>
  <c r="T61" i="248"/>
  <c r="T62" i="248" s="1"/>
  <c r="S61" i="248"/>
  <c r="S62" i="248" s="1"/>
  <c r="R61" i="248"/>
  <c r="R62" i="248" s="1"/>
  <c r="Q61" i="248"/>
  <c r="Q62" i="248" s="1"/>
  <c r="P61" i="248"/>
  <c r="P62" i="248" s="1"/>
  <c r="O61" i="248"/>
  <c r="O62" i="248" s="1"/>
  <c r="N61" i="248"/>
  <c r="N62" i="248" s="1"/>
  <c r="M61" i="248"/>
  <c r="M62" i="248" s="1"/>
  <c r="L61" i="248"/>
  <c r="L62" i="248" s="1"/>
  <c r="K61" i="248"/>
  <c r="K62" i="248" s="1"/>
  <c r="J61" i="248"/>
  <c r="I61" i="248"/>
  <c r="H61" i="248"/>
  <c r="J60" i="248"/>
  <c r="I60" i="248"/>
  <c r="H60" i="248"/>
  <c r="X58" i="248"/>
  <c r="W58" i="248"/>
  <c r="W73" i="248" s="1"/>
  <c r="V58" i="248"/>
  <c r="V73" i="248" s="1"/>
  <c r="U58" i="248"/>
  <c r="U72" i="248" s="1"/>
  <c r="T58" i="248"/>
  <c r="S58" i="248"/>
  <c r="S73" i="248" s="1"/>
  <c r="R58" i="248"/>
  <c r="R73" i="248" s="1"/>
  <c r="Q58" i="248"/>
  <c r="Q72" i="248" s="1"/>
  <c r="P58" i="248"/>
  <c r="O58" i="248"/>
  <c r="O73" i="248" s="1"/>
  <c r="N58" i="248"/>
  <c r="N73" i="248" s="1"/>
  <c r="M58" i="248"/>
  <c r="M72" i="248" s="1"/>
  <c r="L58" i="248"/>
  <c r="K58" i="248"/>
  <c r="K73" i="248" s="1"/>
  <c r="J58" i="248"/>
  <c r="J73" i="248" s="1"/>
  <c r="I58" i="248"/>
  <c r="H58" i="248"/>
  <c r="H73" i="248" s="1"/>
  <c r="X55" i="248"/>
  <c r="W55" i="248"/>
  <c r="W178" i="248" s="1"/>
  <c r="V55" i="248"/>
  <c r="V57" i="248" s="1"/>
  <c r="U55" i="248"/>
  <c r="T55" i="248"/>
  <c r="S55" i="248"/>
  <c r="S178" i="248" s="1"/>
  <c r="R55" i="248"/>
  <c r="R57" i="248" s="1"/>
  <c r="Q55" i="248"/>
  <c r="P55" i="248"/>
  <c r="O55" i="248"/>
  <c r="O178" i="248" s="1"/>
  <c r="N55" i="248"/>
  <c r="M55" i="248"/>
  <c r="L55" i="248"/>
  <c r="K55" i="248"/>
  <c r="K178" i="248" s="1"/>
  <c r="J55" i="248"/>
  <c r="J57" i="248" s="1"/>
  <c r="I55" i="248"/>
  <c r="H55" i="248"/>
  <c r="D2" i="248"/>
  <c r="R189" i="248" l="1"/>
  <c r="V189" i="248"/>
  <c r="Q262" i="248"/>
  <c r="C188" i="248"/>
  <c r="C257" i="248" s="1"/>
  <c r="P262" i="248"/>
  <c r="Q265" i="248"/>
  <c r="Y15" i="248"/>
  <c r="R247" i="248"/>
  <c r="R261" i="248" s="1"/>
  <c r="K247" i="248"/>
  <c r="I305" i="248"/>
  <c r="S282" i="248"/>
  <c r="S309" i="248" s="1"/>
  <c r="I62" i="248"/>
  <c r="I66" i="248" s="1"/>
  <c r="M37" i="43" s="1"/>
  <c r="J301" i="248"/>
  <c r="K301" i="248"/>
  <c r="Q189" i="248"/>
  <c r="U189" i="248"/>
  <c r="W262" i="248"/>
  <c r="P301" i="248"/>
  <c r="O301" i="248"/>
  <c r="M265" i="248"/>
  <c r="L301" i="248"/>
  <c r="Q56" i="248"/>
  <c r="U56" i="248"/>
  <c r="S189" i="248"/>
  <c r="W189" i="248"/>
  <c r="I301" i="248"/>
  <c r="M301" i="248"/>
  <c r="I302" i="248"/>
  <c r="I178" i="248"/>
  <c r="M178" i="248"/>
  <c r="Q178" i="248"/>
  <c r="U178" i="248"/>
  <c r="U126" i="248"/>
  <c r="I188" i="248"/>
  <c r="I257" i="248" s="1"/>
  <c r="I258" i="248" s="1"/>
  <c r="I272" i="248" s="1"/>
  <c r="N301" i="248"/>
  <c r="K302" i="248"/>
  <c r="J302" i="248"/>
  <c r="I296" i="248"/>
  <c r="J296" i="248"/>
  <c r="M310" i="248"/>
  <c r="I311" i="248"/>
  <c r="I310" i="248"/>
  <c r="N57" i="248"/>
  <c r="J62" i="248"/>
  <c r="J66" i="248" s="1"/>
  <c r="N37" i="43" s="1"/>
  <c r="I264" i="248"/>
  <c r="J310" i="248"/>
  <c r="J311" i="248"/>
  <c r="N310" i="248"/>
  <c r="H178" i="248"/>
  <c r="H56" i="248"/>
  <c r="J72" i="248"/>
  <c r="W67" i="248"/>
  <c r="N72" i="248"/>
  <c r="I262" i="248"/>
  <c r="U264" i="248"/>
  <c r="K310" i="248"/>
  <c r="O310" i="248"/>
  <c r="M66" i="248"/>
  <c r="Q37" i="43" s="1"/>
  <c r="Q66" i="248"/>
  <c r="U37" i="43" s="1"/>
  <c r="U66" i="248"/>
  <c r="Y37" i="43" s="1"/>
  <c r="Q73" i="248"/>
  <c r="S262" i="248"/>
  <c r="W267" i="248"/>
  <c r="H310" i="248"/>
  <c r="L310" i="248"/>
  <c r="H311" i="248"/>
  <c r="Z15" i="248"/>
  <c r="AB85" i="248"/>
  <c r="AC85" i="248" s="1"/>
  <c r="AD85" i="248" s="1"/>
  <c r="AE85" i="248" s="1"/>
  <c r="M247" i="248"/>
  <c r="M71" i="248"/>
  <c r="Q247" i="248"/>
  <c r="Q71" i="248"/>
  <c r="I71" i="248"/>
  <c r="N247" i="248"/>
  <c r="N261" i="248" s="1"/>
  <c r="N71" i="248"/>
  <c r="R71" i="248"/>
  <c r="V247" i="248"/>
  <c r="V71" i="248"/>
  <c r="J247" i="248"/>
  <c r="J71" i="248"/>
  <c r="O247" i="248"/>
  <c r="O261" i="248" s="1"/>
  <c r="O71" i="248"/>
  <c r="S247" i="248"/>
  <c r="S261" i="248" s="1"/>
  <c r="S71" i="248"/>
  <c r="W247" i="248"/>
  <c r="W71" i="248"/>
  <c r="H71" i="248"/>
  <c r="U247" i="248"/>
  <c r="U261" i="248" s="1"/>
  <c r="U71" i="248"/>
  <c r="K71" i="248"/>
  <c r="L71" i="248"/>
  <c r="P71" i="248"/>
  <c r="T71" i="248"/>
  <c r="X71" i="248"/>
  <c r="Q69" i="248"/>
  <c r="U69" i="248"/>
  <c r="I69" i="248"/>
  <c r="J305" i="248"/>
  <c r="H305" i="248"/>
  <c r="I247" i="248"/>
  <c r="E2" i="248"/>
  <c r="D1" i="248"/>
  <c r="N266" i="248"/>
  <c r="H62" i="248"/>
  <c r="H66" i="248" s="1"/>
  <c r="H70" i="248" s="1"/>
  <c r="V72" i="248"/>
  <c r="U73" i="248"/>
  <c r="M188" i="248"/>
  <c r="M257" i="248" s="1"/>
  <c r="M258" i="248" s="1"/>
  <c r="M272" i="248" s="1"/>
  <c r="D188" i="248"/>
  <c r="H188" i="248"/>
  <c r="H257" i="248" s="1"/>
  <c r="G188" i="248"/>
  <c r="F188" i="248"/>
  <c r="E188" i="248"/>
  <c r="Y188" i="248"/>
  <c r="Z188" i="248" s="1"/>
  <c r="K262" i="248"/>
  <c r="U262" i="248"/>
  <c r="K264" i="248"/>
  <c r="I265" i="248"/>
  <c r="K57" i="248"/>
  <c r="O57" i="248"/>
  <c r="S57" i="248"/>
  <c r="W57" i="248"/>
  <c r="J178" i="248"/>
  <c r="K66" i="248"/>
  <c r="O66" i="248"/>
  <c r="S66" i="248"/>
  <c r="W66" i="248"/>
  <c r="I73" i="248"/>
  <c r="I126" i="248"/>
  <c r="R262" i="248"/>
  <c r="M262" i="248"/>
  <c r="R263" i="248"/>
  <c r="M264" i="248"/>
  <c r="O267" i="248"/>
  <c r="H57" i="248"/>
  <c r="L57" i="248"/>
  <c r="P57" i="248"/>
  <c r="T57" i="248"/>
  <c r="X57" i="248"/>
  <c r="I72" i="248"/>
  <c r="O67" i="248"/>
  <c r="M73" i="248"/>
  <c r="Q126" i="248"/>
  <c r="X138" i="248"/>
  <c r="V263" i="248"/>
  <c r="I57" i="248"/>
  <c r="M57" i="248"/>
  <c r="Q57" i="248"/>
  <c r="U57" i="248"/>
  <c r="AG103" i="248"/>
  <c r="AG101" i="248"/>
  <c r="AG109" i="248"/>
  <c r="AG81" i="248"/>
  <c r="AG99" i="248"/>
  <c r="L178" i="248"/>
  <c r="L180" i="248" s="1"/>
  <c r="L67" i="248"/>
  <c r="X67" i="248"/>
  <c r="I56" i="248"/>
  <c r="X133" i="248"/>
  <c r="Y80" i="248"/>
  <c r="X153" i="248"/>
  <c r="Y100" i="248"/>
  <c r="X165" i="248"/>
  <c r="Y112" i="248"/>
  <c r="X173" i="248"/>
  <c r="Y120" i="248"/>
  <c r="J56" i="248"/>
  <c r="N56" i="248"/>
  <c r="R56" i="248"/>
  <c r="V56" i="248"/>
  <c r="H72" i="248"/>
  <c r="H67" i="248"/>
  <c r="L66" i="248"/>
  <c r="P37" i="43" s="1"/>
  <c r="P66" i="248"/>
  <c r="T37" i="43" s="1"/>
  <c r="T66" i="248"/>
  <c r="X37" i="43" s="1"/>
  <c r="X66" i="248"/>
  <c r="AB37" i="43" s="1"/>
  <c r="I67" i="248"/>
  <c r="Q67" i="248"/>
  <c r="H247" i="248"/>
  <c r="L247" i="248"/>
  <c r="L69" i="248"/>
  <c r="P247" i="248"/>
  <c r="P69" i="248"/>
  <c r="T247" i="248"/>
  <c r="T256" i="248" s="1"/>
  <c r="T270" i="248" s="1"/>
  <c r="T69" i="248"/>
  <c r="X247" i="248"/>
  <c r="X69" i="248"/>
  <c r="M69" i="248"/>
  <c r="X179" i="248"/>
  <c r="X128" i="248"/>
  <c r="Y75" i="248"/>
  <c r="X132" i="248"/>
  <c r="Y79" i="248"/>
  <c r="X136" i="248"/>
  <c r="Y83" i="248"/>
  <c r="X140" i="248"/>
  <c r="Y87" i="248"/>
  <c r="AB88" i="248"/>
  <c r="X144" i="248"/>
  <c r="Y91" i="248"/>
  <c r="AB92" i="248"/>
  <c r="X148" i="248"/>
  <c r="Y95" i="248"/>
  <c r="AB96" i="248"/>
  <c r="X160" i="248"/>
  <c r="Y107" i="248"/>
  <c r="X164" i="248"/>
  <c r="Y111" i="248"/>
  <c r="X168" i="248"/>
  <c r="Y115" i="248"/>
  <c r="X172" i="248"/>
  <c r="Y119" i="248"/>
  <c r="X176" i="248"/>
  <c r="Y123" i="248"/>
  <c r="X141" i="248"/>
  <c r="X154" i="248"/>
  <c r="T178" i="248"/>
  <c r="T180" i="248" s="1"/>
  <c r="T67" i="248"/>
  <c r="X137" i="248"/>
  <c r="Y84" i="248"/>
  <c r="X177" i="248"/>
  <c r="Y124" i="248"/>
  <c r="N178" i="248"/>
  <c r="N67" i="248"/>
  <c r="R178" i="248"/>
  <c r="S180" i="248" s="1"/>
  <c r="R67" i="248"/>
  <c r="V178" i="248"/>
  <c r="V67" i="248"/>
  <c r="K56" i="248"/>
  <c r="O56" i="248"/>
  <c r="S56" i="248"/>
  <c r="W56" i="248"/>
  <c r="K67" i="248"/>
  <c r="S67" i="248"/>
  <c r="X131" i="248"/>
  <c r="Y78" i="248"/>
  <c r="X135" i="248"/>
  <c r="Y82" i="248"/>
  <c r="X139" i="248"/>
  <c r="Y86" i="248"/>
  <c r="X143" i="248"/>
  <c r="Y90" i="248"/>
  <c r="X147" i="248"/>
  <c r="Y94" i="248"/>
  <c r="X151" i="248"/>
  <c r="Y98" i="248"/>
  <c r="X155" i="248"/>
  <c r="Y102" i="248"/>
  <c r="X159" i="248"/>
  <c r="Y106" i="248"/>
  <c r="X163" i="248"/>
  <c r="Y110" i="248"/>
  <c r="X167" i="248"/>
  <c r="Y114" i="248"/>
  <c r="X171" i="248"/>
  <c r="Y118" i="248"/>
  <c r="X175" i="248"/>
  <c r="Y122" i="248"/>
  <c r="X145" i="248"/>
  <c r="X156" i="248"/>
  <c r="P178" i="248"/>
  <c r="P180" i="248" s="1"/>
  <c r="P67" i="248"/>
  <c r="M56" i="248"/>
  <c r="X129" i="248"/>
  <c r="Y76" i="248"/>
  <c r="X157" i="248"/>
  <c r="Y104" i="248"/>
  <c r="X161" i="248"/>
  <c r="Y108" i="248"/>
  <c r="X169" i="248"/>
  <c r="Y116" i="248"/>
  <c r="L56" i="248"/>
  <c r="P56" i="248"/>
  <c r="T56" i="248"/>
  <c r="X56" i="248"/>
  <c r="L73" i="248"/>
  <c r="L72" i="248"/>
  <c r="P73" i="248"/>
  <c r="P72" i="248"/>
  <c r="T73" i="248"/>
  <c r="T72" i="248"/>
  <c r="X73" i="248"/>
  <c r="X72" i="248"/>
  <c r="J67" i="248"/>
  <c r="N66" i="248"/>
  <c r="R37" i="43" s="1"/>
  <c r="R66" i="248"/>
  <c r="V37" i="43" s="1"/>
  <c r="V66" i="248"/>
  <c r="Z37" i="43" s="1"/>
  <c r="M67" i="248"/>
  <c r="U67" i="248"/>
  <c r="R72" i="248"/>
  <c r="X130" i="248"/>
  <c r="Y77" i="248"/>
  <c r="X142" i="248"/>
  <c r="Y89" i="248"/>
  <c r="X146" i="248"/>
  <c r="Y93" i="248"/>
  <c r="X150" i="248"/>
  <c r="Y97" i="248"/>
  <c r="X158" i="248"/>
  <c r="Y105" i="248"/>
  <c r="X166" i="248"/>
  <c r="Y113" i="248"/>
  <c r="X170" i="248"/>
  <c r="Y117" i="248"/>
  <c r="X174" i="248"/>
  <c r="Y121" i="248"/>
  <c r="L187" i="248"/>
  <c r="L126" i="248"/>
  <c r="P187" i="248"/>
  <c r="P126" i="248"/>
  <c r="T187" i="248"/>
  <c r="T189" i="248" s="1"/>
  <c r="T126" i="248"/>
  <c r="X125" i="248"/>
  <c r="X187" i="248" s="1"/>
  <c r="X189" i="248" s="1"/>
  <c r="M126" i="248"/>
  <c r="X134" i="248"/>
  <c r="X149" i="248"/>
  <c r="X152" i="248"/>
  <c r="X162" i="248"/>
  <c r="J69" i="248"/>
  <c r="N69" i="248"/>
  <c r="R69" i="248"/>
  <c r="V69" i="248"/>
  <c r="K72" i="248"/>
  <c r="O72" i="248"/>
  <c r="S72" i="248"/>
  <c r="W72" i="248"/>
  <c r="J126" i="248"/>
  <c r="N126" i="248"/>
  <c r="R126" i="248"/>
  <c r="V126" i="248"/>
  <c r="K69" i="248"/>
  <c r="O69" i="248"/>
  <c r="S69" i="248"/>
  <c r="W69" i="248"/>
  <c r="K126" i="248"/>
  <c r="O126" i="248"/>
  <c r="S126" i="248"/>
  <c r="W126" i="248"/>
  <c r="Q257" i="248"/>
  <c r="P188" i="248"/>
  <c r="P257" i="248" s="1"/>
  <c r="L188" i="248"/>
  <c r="L257" i="248" s="1"/>
  <c r="O188" i="248"/>
  <c r="O257" i="248" s="1"/>
  <c r="K188" i="248"/>
  <c r="K257" i="248" s="1"/>
  <c r="N188" i="248"/>
  <c r="N257" i="248" s="1"/>
  <c r="J188" i="248"/>
  <c r="J257" i="248" s="1"/>
  <c r="U271" i="248"/>
  <c r="U258" i="248"/>
  <c r="U272" i="248" s="1"/>
  <c r="R271" i="248"/>
  <c r="R258" i="248"/>
  <c r="R272" i="248" s="1"/>
  <c r="V271" i="248"/>
  <c r="V258" i="248"/>
  <c r="V272" i="248" s="1"/>
  <c r="Z273" i="248"/>
  <c r="S271" i="248"/>
  <c r="S258" i="248"/>
  <c r="S272" i="248" s="1"/>
  <c r="W271" i="248"/>
  <c r="W258" i="248"/>
  <c r="W272" i="248" s="1"/>
  <c r="AA185" i="248"/>
  <c r="T271" i="248"/>
  <c r="T258" i="248"/>
  <c r="T272" i="248" s="1"/>
  <c r="X258" i="248"/>
  <c r="X272" i="248" s="1"/>
  <c r="X271" i="248"/>
  <c r="O265" i="248"/>
  <c r="O282" i="248"/>
  <c r="O309" i="248" s="1"/>
  <c r="N251" i="248"/>
  <c r="S265" i="248"/>
  <c r="K265" i="248"/>
  <c r="K282" i="248"/>
  <c r="K309" i="248" s="1"/>
  <c r="L265" i="248"/>
  <c r="L282" i="248"/>
  <c r="L309" i="248" s="1"/>
  <c r="P265" i="248"/>
  <c r="P282" i="248"/>
  <c r="P309" i="248" s="1"/>
  <c r="T265" i="248"/>
  <c r="T282" i="248"/>
  <c r="T309" i="248" s="1"/>
  <c r="H265" i="248"/>
  <c r="H266" i="248"/>
  <c r="H267" i="248"/>
  <c r="H264" i="248"/>
  <c r="H268" i="248"/>
  <c r="H262" i="248"/>
  <c r="L266" i="248"/>
  <c r="L264" i="248"/>
  <c r="L273" i="248"/>
  <c r="L269" i="248"/>
  <c r="L267" i="248"/>
  <c r="L262" i="248"/>
  <c r="P266" i="248"/>
  <c r="P267" i="248"/>
  <c r="P268" i="248"/>
  <c r="T266" i="248"/>
  <c r="T273" i="248"/>
  <c r="T269" i="248"/>
  <c r="T267" i="248"/>
  <c r="T264" i="248"/>
  <c r="T262" i="248"/>
  <c r="X265" i="248"/>
  <c r="X266" i="248"/>
  <c r="X267" i="248"/>
  <c r="X268" i="248"/>
  <c r="X262" i="248"/>
  <c r="H263" i="248"/>
  <c r="P263" i="248"/>
  <c r="X263" i="248"/>
  <c r="R264" i="248"/>
  <c r="L268" i="248"/>
  <c r="P269" i="248"/>
  <c r="M282" i="248"/>
  <c r="M309" i="248" s="1"/>
  <c r="Q282" i="248"/>
  <c r="Q309" i="248" s="1"/>
  <c r="U265" i="248"/>
  <c r="T268" i="248"/>
  <c r="X269" i="248"/>
  <c r="H273" i="248"/>
  <c r="J282" i="248"/>
  <c r="J309" i="248" s="1"/>
  <c r="J265" i="248"/>
  <c r="R282" i="248"/>
  <c r="R309" i="248" s="1"/>
  <c r="R265" i="248"/>
  <c r="J267" i="248"/>
  <c r="J273" i="248"/>
  <c r="J269" i="248"/>
  <c r="J268" i="248"/>
  <c r="J262" i="248"/>
  <c r="J264" i="248"/>
  <c r="N267" i="248"/>
  <c r="N273" i="248"/>
  <c r="N269" i="248"/>
  <c r="N268" i="248"/>
  <c r="N262" i="248"/>
  <c r="N264" i="248"/>
  <c r="R267" i="248"/>
  <c r="R273" i="248"/>
  <c r="R269" i="248"/>
  <c r="R268" i="248"/>
  <c r="V267" i="248"/>
  <c r="V273" i="248"/>
  <c r="V269" i="248"/>
  <c r="V268" i="248"/>
  <c r="V265" i="248"/>
  <c r="V264" i="248"/>
  <c r="V262" i="248"/>
  <c r="L263" i="248"/>
  <c r="T263" i="248"/>
  <c r="X264" i="248"/>
  <c r="J266" i="248"/>
  <c r="P273" i="248"/>
  <c r="K273" i="248"/>
  <c r="K269" i="248"/>
  <c r="K268" i="248"/>
  <c r="O273" i="248"/>
  <c r="O269" i="248"/>
  <c r="O268" i="248"/>
  <c r="O264" i="248"/>
  <c r="S273" i="248"/>
  <c r="S269" i="248"/>
  <c r="S268" i="248"/>
  <c r="S264" i="248"/>
  <c r="W273" i="248"/>
  <c r="W269" i="248"/>
  <c r="W268" i="248"/>
  <c r="W264" i="248"/>
  <c r="W265" i="248"/>
  <c r="I263" i="248"/>
  <c r="M263" i="248"/>
  <c r="Q263" i="248"/>
  <c r="U263" i="248"/>
  <c r="K266" i="248"/>
  <c r="S266" i="248"/>
  <c r="I269" i="248"/>
  <c r="Q269" i="248"/>
  <c r="I266" i="248"/>
  <c r="I267" i="248"/>
  <c r="M266" i="248"/>
  <c r="M267" i="248"/>
  <c r="Q266" i="248"/>
  <c r="Q267" i="248"/>
  <c r="U266" i="248"/>
  <c r="U267" i="248"/>
  <c r="Y273" i="248"/>
  <c r="K263" i="248"/>
  <c r="O263" i="248"/>
  <c r="S263" i="248"/>
  <c r="W263" i="248"/>
  <c r="Q264" i="248"/>
  <c r="O266" i="248"/>
  <c r="W266" i="248"/>
  <c r="I268" i="248"/>
  <c r="Q268" i="248"/>
  <c r="M269" i="248"/>
  <c r="U269" i="248"/>
  <c r="M273" i="248"/>
  <c r="U273" i="248"/>
  <c r="AD358" i="43"/>
  <c r="AE358" i="43" s="1"/>
  <c r="AF358" i="43" s="1"/>
  <c r="AG358" i="43" s="1"/>
  <c r="AH358" i="43" s="1"/>
  <c r="AI358" i="43" s="1"/>
  <c r="AJ358" i="43" s="1"/>
  <c r="AK358" i="43" s="1"/>
  <c r="AL358" i="43" s="1"/>
  <c r="AM358" i="43" s="1"/>
  <c r="AB369" i="43"/>
  <c r="AB374" i="43" s="1"/>
  <c r="AB376" i="43" s="1"/>
  <c r="AA369" i="43"/>
  <c r="AC15" i="248" l="1"/>
  <c r="M271" i="248"/>
  <c r="R256" i="248"/>
  <c r="R270" i="248" s="1"/>
  <c r="J180" i="248"/>
  <c r="Y257" i="248"/>
  <c r="Y258" i="248" s="1"/>
  <c r="Y272" i="248" s="1"/>
  <c r="H189" i="248"/>
  <c r="AD15" i="248"/>
  <c r="AB15" i="248"/>
  <c r="K180" i="248"/>
  <c r="C271" i="248"/>
  <c r="C258" i="248"/>
  <c r="C272" i="248" s="1"/>
  <c r="C256" i="248"/>
  <c r="C270" i="248" s="1"/>
  <c r="K261" i="248"/>
  <c r="X256" i="248"/>
  <c r="X270" i="248" s="1"/>
  <c r="U256" i="248"/>
  <c r="U270" i="248" s="1"/>
  <c r="V180" i="248"/>
  <c r="I180" i="248"/>
  <c r="T70" i="248"/>
  <c r="M180" i="248"/>
  <c r="M189" i="248"/>
  <c r="I271" i="248"/>
  <c r="R180" i="248"/>
  <c r="N180" i="248"/>
  <c r="I189" i="248"/>
  <c r="P70" i="248"/>
  <c r="V70" i="248"/>
  <c r="W180" i="248"/>
  <c r="L70" i="248"/>
  <c r="X70" i="248"/>
  <c r="I256" i="248"/>
  <c r="I270" i="248" s="1"/>
  <c r="V261" i="248"/>
  <c r="W261" i="248"/>
  <c r="M261" i="248"/>
  <c r="W256" i="248"/>
  <c r="W270" i="248" s="1"/>
  <c r="V256" i="248"/>
  <c r="V270" i="248" s="1"/>
  <c r="M256" i="248"/>
  <c r="M270" i="248" s="1"/>
  <c r="J261" i="248"/>
  <c r="S256" i="248"/>
  <c r="S270" i="248" s="1"/>
  <c r="P189" i="248"/>
  <c r="U70" i="248"/>
  <c r="W70" i="248"/>
  <c r="S70" i="248"/>
  <c r="R70" i="248"/>
  <c r="Q180" i="248"/>
  <c r="I70" i="248"/>
  <c r="K70" i="248"/>
  <c r="O70" i="248"/>
  <c r="J70" i="248"/>
  <c r="N70" i="248"/>
  <c r="M70" i="248"/>
  <c r="Q70" i="248"/>
  <c r="AF85" i="248"/>
  <c r="AG85" i="248" s="1"/>
  <c r="AH85" i="248" s="1"/>
  <c r="AE15" i="248"/>
  <c r="Q261" i="248"/>
  <c r="I261" i="248"/>
  <c r="L37" i="43"/>
  <c r="G257" i="248"/>
  <c r="G189" i="248"/>
  <c r="U180" i="248"/>
  <c r="S37" i="43"/>
  <c r="S38" i="43" s="1"/>
  <c r="O180" i="248"/>
  <c r="O37" i="43"/>
  <c r="E189" i="248"/>
  <c r="E257" i="248"/>
  <c r="D189" i="248"/>
  <c r="D257" i="248"/>
  <c r="W37" i="43"/>
  <c r="W38" i="43" s="1"/>
  <c r="K189" i="248"/>
  <c r="AA37" i="43"/>
  <c r="AA38" i="43" s="1"/>
  <c r="F257" i="248"/>
  <c r="F189" i="248"/>
  <c r="F2" i="248"/>
  <c r="E1" i="248"/>
  <c r="Z257" i="248"/>
  <c r="AA188" i="248"/>
  <c r="Z121" i="248"/>
  <c r="Z89" i="248"/>
  <c r="Z122" i="248"/>
  <c r="Y52" i="248"/>
  <c r="Z98" i="248"/>
  <c r="H261" i="248"/>
  <c r="Z120" i="248"/>
  <c r="Z100" i="248"/>
  <c r="Y30" i="248"/>
  <c r="AH81" i="248"/>
  <c r="AH109" i="248"/>
  <c r="J271" i="248"/>
  <c r="J256" i="248"/>
  <c r="J270" i="248" s="1"/>
  <c r="J258" i="248"/>
  <c r="J272" i="248" s="1"/>
  <c r="H271" i="248"/>
  <c r="H258" i="248"/>
  <c r="H272" i="248" s="1"/>
  <c r="H256" i="248"/>
  <c r="H270" i="248" s="1"/>
  <c r="Z108" i="248"/>
  <c r="Y38" i="248"/>
  <c r="Z76" i="248"/>
  <c r="Y6" i="248"/>
  <c r="Z84" i="248"/>
  <c r="Z119" i="248"/>
  <c r="Z111" i="248"/>
  <c r="AC96" i="248"/>
  <c r="Z91" i="248"/>
  <c r="X261" i="248"/>
  <c r="T261" i="248"/>
  <c r="P261" i="248"/>
  <c r="L261" i="248"/>
  <c r="N282" i="248"/>
  <c r="N309" i="248" s="1"/>
  <c r="N265" i="248"/>
  <c r="O271" i="248"/>
  <c r="O258" i="248"/>
  <c r="O272" i="248" s="1"/>
  <c r="O256" i="248"/>
  <c r="O270" i="248" s="1"/>
  <c r="Z97" i="248"/>
  <c r="Z114" i="248"/>
  <c r="Z90" i="248"/>
  <c r="AA259" i="248"/>
  <c r="AB185" i="248"/>
  <c r="N271" i="248"/>
  <c r="N256" i="248"/>
  <c r="N270" i="248" s="1"/>
  <c r="N258" i="248"/>
  <c r="N272" i="248" s="1"/>
  <c r="L271" i="248"/>
  <c r="L258" i="248"/>
  <c r="L272" i="248" s="1"/>
  <c r="L256" i="248"/>
  <c r="L270" i="248" s="1"/>
  <c r="N189" i="248"/>
  <c r="L189" i="248"/>
  <c r="Z117" i="248"/>
  <c r="Z105" i="248"/>
  <c r="Z93" i="248"/>
  <c r="Z77" i="248"/>
  <c r="Z118" i="248"/>
  <c r="Z110" i="248"/>
  <c r="Z102" i="248"/>
  <c r="Z94" i="248"/>
  <c r="Z86" i="248"/>
  <c r="Z78" i="248"/>
  <c r="Y8" i="248"/>
  <c r="Z95" i="248"/>
  <c r="Z83" i="248"/>
  <c r="Z75" i="248"/>
  <c r="Y125" i="248"/>
  <c r="Y187" i="248" s="1"/>
  <c r="Y189" i="248" s="1"/>
  <c r="Z112" i="248"/>
  <c r="Z80" i="248"/>
  <c r="AH101" i="248"/>
  <c r="Q258" i="248"/>
  <c r="Q272" i="248" s="1"/>
  <c r="Q271" i="248"/>
  <c r="Q256" i="248"/>
  <c r="Q270" i="248" s="1"/>
  <c r="Z113" i="248"/>
  <c r="Z106" i="248"/>
  <c r="Z82" i="248"/>
  <c r="AC92" i="248"/>
  <c r="Z87" i="248"/>
  <c r="Z79" i="248"/>
  <c r="K271" i="248"/>
  <c r="K258" i="248"/>
  <c r="K272" i="248" s="1"/>
  <c r="K256" i="248"/>
  <c r="K270" i="248" s="1"/>
  <c r="P256" i="248"/>
  <c r="P270" i="248" s="1"/>
  <c r="P258" i="248"/>
  <c r="P272" i="248" s="1"/>
  <c r="P271" i="248"/>
  <c r="O189" i="248"/>
  <c r="J189" i="248"/>
  <c r="Z116" i="248"/>
  <c r="Z104" i="248"/>
  <c r="Z124" i="248"/>
  <c r="Z123" i="248"/>
  <c r="Z115" i="248"/>
  <c r="Y45" i="248"/>
  <c r="Z107" i="248"/>
  <c r="AC88" i="248"/>
  <c r="X178" i="248"/>
  <c r="AK132" i="248" s="1"/>
  <c r="AH99" i="248"/>
  <c r="AH103" i="248"/>
  <c r="AA374" i="43"/>
  <c r="AA376" i="43" s="1"/>
  <c r="AA371" i="43"/>
  <c r="AB371" i="43"/>
  <c r="AB401" i="43"/>
  <c r="AC397" i="43" s="1"/>
  <c r="AC399" i="43" s="1"/>
  <c r="AC305" i="43"/>
  <c r="AD305" i="43" s="1"/>
  <c r="AE305" i="43" s="1"/>
  <c r="AF305" i="43" s="1"/>
  <c r="AG305" i="43" s="1"/>
  <c r="AH305" i="43" s="1"/>
  <c r="AI305" i="43" s="1"/>
  <c r="AJ305" i="43" s="1"/>
  <c r="AK305" i="43" s="1"/>
  <c r="AL305" i="43" s="1"/>
  <c r="AM305" i="43" s="1"/>
  <c r="AC381" i="43"/>
  <c r="AC266" i="43" s="1"/>
  <c r="AB147" i="43"/>
  <c r="AA147" i="43"/>
  <c r="U147" i="43"/>
  <c r="V147" i="43"/>
  <c r="W147" i="43"/>
  <c r="X147" i="43"/>
  <c r="Y147" i="43"/>
  <c r="Z147" i="43"/>
  <c r="W433" i="43"/>
  <c r="V433" i="43"/>
  <c r="U433" i="43"/>
  <c r="T433" i="43"/>
  <c r="AC422" i="43"/>
  <c r="AD422" i="43" s="1"/>
  <c r="AE422" i="43" s="1"/>
  <c r="AF422" i="43" s="1"/>
  <c r="AG422" i="43" s="1"/>
  <c r="AH422" i="43" s="1"/>
  <c r="AI422" i="43" s="1"/>
  <c r="AJ422" i="43" s="1"/>
  <c r="AK422" i="43" s="1"/>
  <c r="AL422" i="43" s="1"/>
  <c r="AM422" i="43" s="1"/>
  <c r="Z422" i="43"/>
  <c r="Y422" i="43" s="1"/>
  <c r="X422" i="43" s="1"/>
  <c r="W422" i="43" s="1"/>
  <c r="V422" i="43" s="1"/>
  <c r="U422" i="43" s="1"/>
  <c r="T422" i="43" s="1"/>
  <c r="S422" i="43" s="1"/>
  <c r="AD420" i="43"/>
  <c r="AE420" i="43" s="1"/>
  <c r="AF420" i="43" s="1"/>
  <c r="AG420" i="43" s="1"/>
  <c r="AH420" i="43" s="1"/>
  <c r="AI420" i="43" s="1"/>
  <c r="AJ420" i="43" s="1"/>
  <c r="AK420" i="43" s="1"/>
  <c r="AL420" i="43" s="1"/>
  <c r="AM420" i="43" s="1"/>
  <c r="Z420" i="43"/>
  <c r="Y420" i="43" s="1"/>
  <c r="X420" i="43" s="1"/>
  <c r="W420" i="43" s="1"/>
  <c r="V420" i="43" s="1"/>
  <c r="U420" i="43" s="1"/>
  <c r="T420" i="43" s="1"/>
  <c r="S420" i="43" s="1"/>
  <c r="AB417" i="43"/>
  <c r="AC413" i="43" s="1"/>
  <c r="AC415" i="43" s="1"/>
  <c r="AA417" i="43"/>
  <c r="AB413" i="43" s="1"/>
  <c r="AB421" i="43" s="1"/>
  <c r="AB426" i="43" s="1"/>
  <c r="AB409" i="43"/>
  <c r="AB407" i="43" s="1"/>
  <c r="AB410" i="43" s="1"/>
  <c r="AB411" i="43" s="1"/>
  <c r="AB431" i="43" s="1"/>
  <c r="AA409" i="43"/>
  <c r="AA407" i="43" s="1"/>
  <c r="AA410" i="43" s="1"/>
  <c r="AA411" i="43" s="1"/>
  <c r="AA431" i="43" s="1"/>
  <c r="Z409" i="43"/>
  <c r="Z407" i="43" s="1"/>
  <c r="Z410" i="43" s="1"/>
  <c r="Z411" i="43" s="1"/>
  <c r="Z431" i="43" s="1"/>
  <c r="Y409" i="43"/>
  <c r="Y407" i="43" s="1"/>
  <c r="Y410" i="43" s="1"/>
  <c r="Y411" i="43" s="1"/>
  <c r="Y431" i="43" s="1"/>
  <c r="X409" i="43"/>
  <c r="X407" i="43" s="1"/>
  <c r="X410" i="43" s="1"/>
  <c r="X411" i="43" s="1"/>
  <c r="X431" i="43" s="1"/>
  <c r="W409" i="43"/>
  <c r="W407" i="43" s="1"/>
  <c r="W410" i="43" s="1"/>
  <c r="W411" i="43" s="1"/>
  <c r="W431" i="43" s="1"/>
  <c r="V409" i="43"/>
  <c r="V407" i="43" s="1"/>
  <c r="V410" i="43" s="1"/>
  <c r="V411" i="43" s="1"/>
  <c r="V431" i="43" s="1"/>
  <c r="U409" i="43"/>
  <c r="U407" i="43" s="1"/>
  <c r="U410" i="43" s="1"/>
  <c r="U411" i="43" s="1"/>
  <c r="U431" i="43" s="1"/>
  <c r="T409" i="43"/>
  <c r="T407" i="43" s="1"/>
  <c r="T410" i="43" s="1"/>
  <c r="T411" i="43" s="1"/>
  <c r="T431" i="43" s="1"/>
  <c r="S409" i="43"/>
  <c r="S407" i="43" s="1"/>
  <c r="S410" i="43" s="1"/>
  <c r="S411" i="43" s="1"/>
  <c r="S431" i="43" s="1"/>
  <c r="R409" i="43"/>
  <c r="R407" i="43" s="1"/>
  <c r="R410" i="43" s="1"/>
  <c r="R411" i="43" s="1"/>
  <c r="R431" i="43" s="1"/>
  <c r="Q409" i="43"/>
  <c r="Q407" i="43" s="1"/>
  <c r="Q410" i="43" s="1"/>
  <c r="Q411" i="43" s="1"/>
  <c r="P409" i="43"/>
  <c r="P407" i="43" s="1"/>
  <c r="P410" i="43" s="1"/>
  <c r="P411" i="43" s="1"/>
  <c r="O409" i="43"/>
  <c r="O407" i="43" s="1"/>
  <c r="O410" i="43" s="1"/>
  <c r="O411" i="43" s="1"/>
  <c r="N409" i="43"/>
  <c r="N407" i="43" s="1"/>
  <c r="N410" i="43" s="1"/>
  <c r="N411" i="43" s="1"/>
  <c r="M409" i="43"/>
  <c r="M407" i="43" s="1"/>
  <c r="M410" i="43" s="1"/>
  <c r="M411" i="43" s="1"/>
  <c r="L409" i="43"/>
  <c r="L407" i="43" s="1"/>
  <c r="L410" i="43" s="1"/>
  <c r="L411" i="43" s="1"/>
  <c r="AA401" i="43"/>
  <c r="Z401" i="43"/>
  <c r="AA397" i="43" s="1"/>
  <c r="AA405" i="43" s="1"/>
  <c r="Y401" i="43"/>
  <c r="Z397" i="43" s="1"/>
  <c r="Z405" i="43" s="1"/>
  <c r="X401" i="43"/>
  <c r="Y397" i="43" s="1"/>
  <c r="Y405" i="43" s="1"/>
  <c r="W401" i="43"/>
  <c r="V401" i="43"/>
  <c r="W397" i="43" s="1"/>
  <c r="W405" i="43" s="1"/>
  <c r="U401" i="43"/>
  <c r="V397" i="43" s="1"/>
  <c r="V405" i="43" s="1"/>
  <c r="T401" i="43"/>
  <c r="U397" i="43" s="1"/>
  <c r="U405" i="43" s="1"/>
  <c r="S401" i="43"/>
  <c r="R401" i="43"/>
  <c r="R417" i="43" s="1"/>
  <c r="S413" i="43" s="1"/>
  <c r="Q401" i="43"/>
  <c r="R397" i="43" s="1"/>
  <c r="P401" i="43"/>
  <c r="Q397" i="43" s="1"/>
  <c r="O401" i="43"/>
  <c r="S399" i="43"/>
  <c r="R399" i="43"/>
  <c r="R433" i="43" s="1"/>
  <c r="Q399" i="43"/>
  <c r="Q433" i="43" s="1"/>
  <c r="P399" i="43"/>
  <c r="P433" i="43" s="1"/>
  <c r="O399" i="43"/>
  <c r="O433" i="43" s="1"/>
  <c r="T398" i="43"/>
  <c r="S398" i="43"/>
  <c r="O397" i="43"/>
  <c r="AB393" i="43"/>
  <c r="AB395" i="43" s="1"/>
  <c r="AA393" i="43"/>
  <c r="AA395" i="43" s="1"/>
  <c r="Z393" i="43"/>
  <c r="Z395" i="43" s="1"/>
  <c r="Y393" i="43"/>
  <c r="Y395" i="43" s="1"/>
  <c r="X393" i="43"/>
  <c r="X395" i="43" s="1"/>
  <c r="W393" i="43"/>
  <c r="W395" i="43" s="1"/>
  <c r="V393" i="43"/>
  <c r="V395" i="43" s="1"/>
  <c r="U393" i="43"/>
  <c r="U395" i="43" s="1"/>
  <c r="T393" i="43"/>
  <c r="T395" i="43" s="1"/>
  <c r="S393" i="43"/>
  <c r="S395" i="43" s="1"/>
  <c r="R393" i="43"/>
  <c r="R395" i="43" s="1"/>
  <c r="Q393" i="43"/>
  <c r="Q395" i="43" s="1"/>
  <c r="Z367" i="43"/>
  <c r="Y367" i="43" s="1"/>
  <c r="X367" i="43" s="1"/>
  <c r="Z364" i="43"/>
  <c r="Y364" i="43"/>
  <c r="X364" i="43"/>
  <c r="W364" i="43"/>
  <c r="V364" i="43"/>
  <c r="U364" i="43"/>
  <c r="T364" i="43"/>
  <c r="S364" i="43"/>
  <c r="R364" i="43"/>
  <c r="AB359" i="43"/>
  <c r="AA359" i="43"/>
  <c r="Z359" i="43"/>
  <c r="Y359" i="43"/>
  <c r="X359" i="43"/>
  <c r="W359" i="43"/>
  <c r="V359" i="43"/>
  <c r="U359" i="43"/>
  <c r="T359" i="43"/>
  <c r="S359" i="43"/>
  <c r="R359" i="43"/>
  <c r="Q359" i="43"/>
  <c r="P359" i="43"/>
  <c r="O359" i="43"/>
  <c r="N359" i="43"/>
  <c r="M359" i="43"/>
  <c r="L359" i="43"/>
  <c r="AB351" i="43"/>
  <c r="AB353" i="43" s="1"/>
  <c r="AB338" i="43" s="1"/>
  <c r="X435" i="248" s="1"/>
  <c r="X437" i="248" s="1"/>
  <c r="X351" i="43"/>
  <c r="X353" i="43" s="1"/>
  <c r="W351" i="43"/>
  <c r="W353" i="43" s="1"/>
  <c r="W338" i="43" s="1"/>
  <c r="U351" i="43"/>
  <c r="U353" i="43" s="1"/>
  <c r="U338" i="43" s="1"/>
  <c r="T351" i="43"/>
  <c r="T353" i="43" s="1"/>
  <c r="S351" i="43"/>
  <c r="S353" i="43" s="1"/>
  <c r="S338" i="43" s="1"/>
  <c r="R351" i="43"/>
  <c r="R353" i="43" s="1"/>
  <c r="AC349" i="43"/>
  <c r="AD349" i="43" s="1"/>
  <c r="AE349" i="43" s="1"/>
  <c r="AF349" i="43" s="1"/>
  <c r="AG349" i="43" s="1"/>
  <c r="AH349" i="43" s="1"/>
  <c r="AI349" i="43" s="1"/>
  <c r="AC348" i="43"/>
  <c r="AD348" i="43" s="1"/>
  <c r="AE348" i="43" s="1"/>
  <c r="AF348" i="43" s="1"/>
  <c r="AG348" i="43" s="1"/>
  <c r="AC347" i="43"/>
  <c r="AD347" i="43" s="1"/>
  <c r="AC346" i="43"/>
  <c r="AD346" i="43" s="1"/>
  <c r="AE346" i="43" s="1"/>
  <c r="AF346" i="43" s="1"/>
  <c r="AG346" i="43" s="1"/>
  <c r="AH346" i="43" s="1"/>
  <c r="AI346" i="43" s="1"/>
  <c r="AJ346" i="43" s="1"/>
  <c r="AK346" i="43" s="1"/>
  <c r="AL346" i="43" s="1"/>
  <c r="AM346" i="43" s="1"/>
  <c r="AB321" i="43"/>
  <c r="AA321" i="43"/>
  <c r="Z321" i="43"/>
  <c r="Y321" i="43"/>
  <c r="X321" i="43"/>
  <c r="W321" i="43"/>
  <c r="V321" i="43"/>
  <c r="U321" i="43"/>
  <c r="T321" i="43"/>
  <c r="S321" i="43"/>
  <c r="R321" i="43"/>
  <c r="Q321" i="43"/>
  <c r="P321" i="43"/>
  <c r="O321" i="43"/>
  <c r="N321" i="43"/>
  <c r="M321" i="43"/>
  <c r="L321" i="43"/>
  <c r="AB320" i="43"/>
  <c r="AA320" i="43"/>
  <c r="Z320" i="43"/>
  <c r="Y320" i="43"/>
  <c r="X320" i="43"/>
  <c r="W320" i="43"/>
  <c r="V320" i="43"/>
  <c r="U320" i="43"/>
  <c r="T320" i="43"/>
  <c r="S320" i="43"/>
  <c r="R320" i="43"/>
  <c r="Q320" i="43"/>
  <c r="P320" i="43"/>
  <c r="O320" i="43"/>
  <c r="N320" i="43"/>
  <c r="M320" i="43"/>
  <c r="L320" i="43"/>
  <c r="AD315" i="43"/>
  <c r="AE315" i="43" s="1"/>
  <c r="AF315" i="43" s="1"/>
  <c r="AG315" i="43" s="1"/>
  <c r="AH315" i="43" s="1"/>
  <c r="AI315" i="43" s="1"/>
  <c r="AJ315" i="43" s="1"/>
  <c r="AK315" i="43" s="1"/>
  <c r="AL315" i="43" s="1"/>
  <c r="AM315" i="43" s="1"/>
  <c r="AB314" i="43"/>
  <c r="Y314" i="43"/>
  <c r="X314" i="43"/>
  <c r="W314" i="43"/>
  <c r="V314" i="43"/>
  <c r="AB309" i="43"/>
  <c r="AA309" i="43"/>
  <c r="Z309" i="43"/>
  <c r="Y309" i="43"/>
  <c r="X309" i="43"/>
  <c r="W309" i="43"/>
  <c r="V309" i="43"/>
  <c r="U309" i="43"/>
  <c r="T309" i="43"/>
  <c r="S309" i="43"/>
  <c r="R309" i="43"/>
  <c r="Q309" i="43"/>
  <c r="P309" i="43"/>
  <c r="O309" i="43"/>
  <c r="N309" i="43"/>
  <c r="AB307" i="43"/>
  <c r="AA307" i="43"/>
  <c r="Z307" i="43"/>
  <c r="Y307" i="43"/>
  <c r="X307" i="43"/>
  <c r="W307" i="43"/>
  <c r="V307" i="43"/>
  <c r="U307" i="43"/>
  <c r="T307" i="43"/>
  <c r="S307" i="43"/>
  <c r="R307" i="43"/>
  <c r="Q307" i="43"/>
  <c r="P307" i="43"/>
  <c r="O307" i="43"/>
  <c r="N307" i="43"/>
  <c r="M307" i="43"/>
  <c r="M438" i="43" s="1"/>
  <c r="L307" i="43"/>
  <c r="L438" i="43" s="1"/>
  <c r="L305" i="43"/>
  <c r="AC304" i="43"/>
  <c r="AD304" i="43" s="1"/>
  <c r="AE304" i="43" s="1"/>
  <c r="AF304" i="43" s="1"/>
  <c r="AG304" i="43" s="1"/>
  <c r="AH304" i="43" s="1"/>
  <c r="AI304" i="43" s="1"/>
  <c r="AJ304" i="43" s="1"/>
  <c r="AK304" i="43" s="1"/>
  <c r="AL304" i="43" s="1"/>
  <c r="AM304" i="43" s="1"/>
  <c r="X299" i="43"/>
  <c r="X306" i="43" s="1"/>
  <c r="W299" i="43"/>
  <c r="W306" i="43" s="1"/>
  <c r="U299" i="43"/>
  <c r="U306" i="43" s="1"/>
  <c r="T299" i="43"/>
  <c r="T306" i="43" s="1"/>
  <c r="S299" i="43"/>
  <c r="S306" i="43" s="1"/>
  <c r="R299" i="43"/>
  <c r="R306" i="43" s="1"/>
  <c r="P298" i="43"/>
  <c r="O298" i="43"/>
  <c r="N298" i="43"/>
  <c r="M298" i="43"/>
  <c r="L298" i="43"/>
  <c r="AB296" i="43"/>
  <c r="AC295" i="43"/>
  <c r="AD295" i="43" s="1"/>
  <c r="AE295" i="43" s="1"/>
  <c r="AF295" i="43" s="1"/>
  <c r="AG295" i="43" s="1"/>
  <c r="AH295" i="43" s="1"/>
  <c r="AI295" i="43" s="1"/>
  <c r="AJ295" i="43" s="1"/>
  <c r="AK295" i="43" s="1"/>
  <c r="AL295" i="43" s="1"/>
  <c r="AM295" i="43" s="1"/>
  <c r="AA295" i="43"/>
  <c r="AA314" i="43" s="1"/>
  <c r="Z295" i="43"/>
  <c r="Z314" i="43" s="1"/>
  <c r="AC294" i="43"/>
  <c r="AD294" i="43" s="1"/>
  <c r="AE294" i="43" s="1"/>
  <c r="AF294" i="43" s="1"/>
  <c r="AG294" i="43" s="1"/>
  <c r="AH294" i="43" s="1"/>
  <c r="AI294" i="43" s="1"/>
  <c r="AJ294" i="43" s="1"/>
  <c r="AK294" i="43" s="1"/>
  <c r="AL294" i="43" s="1"/>
  <c r="AM294" i="43" s="1"/>
  <c r="AC292" i="43"/>
  <c r="AD292" i="43" s="1"/>
  <c r="AE292" i="43" s="1"/>
  <c r="AF292" i="43" s="1"/>
  <c r="AG292" i="43" s="1"/>
  <c r="AH292" i="43" s="1"/>
  <c r="AI292" i="43" s="1"/>
  <c r="AJ292" i="43" s="1"/>
  <c r="AK292" i="43" s="1"/>
  <c r="AL292" i="43" s="1"/>
  <c r="AM292" i="43" s="1"/>
  <c r="AA292" i="43"/>
  <c r="Z292" i="43"/>
  <c r="Y292" i="43"/>
  <c r="V292" i="43"/>
  <c r="Q292" i="43"/>
  <c r="P292" i="43"/>
  <c r="O292" i="43"/>
  <c r="N292" i="43"/>
  <c r="M292" i="43"/>
  <c r="L292" i="43"/>
  <c r="AC289" i="43"/>
  <c r="AD289" i="43" s="1"/>
  <c r="AE289" i="43" s="1"/>
  <c r="AF289" i="43" s="1"/>
  <c r="AG289" i="43" s="1"/>
  <c r="AH289" i="43" s="1"/>
  <c r="AI289" i="43" s="1"/>
  <c r="AJ289" i="43" s="1"/>
  <c r="AK289" i="43" s="1"/>
  <c r="AL289" i="43" s="1"/>
  <c r="AM289" i="43" s="1"/>
  <c r="AB281" i="43"/>
  <c r="AA281" i="43"/>
  <c r="Z281" i="43"/>
  <c r="Y281" i="43"/>
  <c r="X281" i="43"/>
  <c r="W281" i="43"/>
  <c r="V281" i="43"/>
  <c r="U280" i="43"/>
  <c r="U281" i="43" s="1"/>
  <c r="T280" i="43"/>
  <c r="T281" i="43" s="1"/>
  <c r="S280" i="43"/>
  <c r="R280" i="43"/>
  <c r="Q280" i="43"/>
  <c r="Q281" i="43" s="1"/>
  <c r="P280" i="43"/>
  <c r="P281" i="43" s="1"/>
  <c r="P290" i="43" s="1"/>
  <c r="O280" i="43"/>
  <c r="N280" i="43"/>
  <c r="M280" i="43"/>
  <c r="M281" i="43" s="1"/>
  <c r="M290" i="43" s="1"/>
  <c r="L280" i="43"/>
  <c r="L281" i="43" s="1"/>
  <c r="L290" i="43" s="1"/>
  <c r="L451" i="43" s="1"/>
  <c r="W266" i="43"/>
  <c r="V266" i="43"/>
  <c r="U266" i="43"/>
  <c r="T266" i="43"/>
  <c r="S266" i="43"/>
  <c r="R266" i="43"/>
  <c r="Q266" i="43"/>
  <c r="AB263" i="43"/>
  <c r="AA263" i="43"/>
  <c r="Z263" i="43"/>
  <c r="Y263" i="43"/>
  <c r="X263" i="43"/>
  <c r="W263" i="43"/>
  <c r="V263" i="43"/>
  <c r="U263" i="43"/>
  <c r="T263" i="43"/>
  <c r="AB260" i="43"/>
  <c r="AA260" i="43"/>
  <c r="Z260" i="43"/>
  <c r="Y260" i="43"/>
  <c r="X260" i="43"/>
  <c r="W260" i="43"/>
  <c r="V260" i="43"/>
  <c r="U260" i="43"/>
  <c r="T260" i="43"/>
  <c r="S260" i="43"/>
  <c r="R260" i="43"/>
  <c r="AB259" i="43"/>
  <c r="AA259" i="43"/>
  <c r="Z259" i="43"/>
  <c r="Y259" i="43"/>
  <c r="X259" i="43"/>
  <c r="W259" i="43"/>
  <c r="V259" i="43"/>
  <c r="R259" i="43"/>
  <c r="Q259" i="43"/>
  <c r="P259" i="43"/>
  <c r="P267" i="43" s="1"/>
  <c r="O259" i="43"/>
  <c r="O267" i="43" s="1"/>
  <c r="N259" i="43"/>
  <c r="N267" i="43" s="1"/>
  <c r="M259" i="43"/>
  <c r="M267" i="43" s="1"/>
  <c r="L259" i="43"/>
  <c r="L267" i="43" s="1"/>
  <c r="X256" i="43"/>
  <c r="W256" i="43"/>
  <c r="V256" i="43"/>
  <c r="U256" i="43"/>
  <c r="T256" i="43"/>
  <c r="S256" i="43"/>
  <c r="AB255" i="43"/>
  <c r="AA255" i="43"/>
  <c r="Z255" i="43"/>
  <c r="Y255" i="43"/>
  <c r="X255" i="43"/>
  <c r="W255" i="43"/>
  <c r="V255" i="43"/>
  <c r="U255" i="43"/>
  <c r="T255" i="43"/>
  <c r="S255" i="43"/>
  <c r="R255" i="43"/>
  <c r="Q255" i="43"/>
  <c r="O255" i="43"/>
  <c r="N255" i="43"/>
  <c r="AB253" i="43"/>
  <c r="AB398" i="43" s="1"/>
  <c r="AA253" i="43"/>
  <c r="AA398" i="43" s="1"/>
  <c r="Z253" i="43"/>
  <c r="Y253" i="43"/>
  <c r="Y398" i="43" s="1"/>
  <c r="X253" i="43"/>
  <c r="X398" i="43" s="1"/>
  <c r="W253" i="43"/>
  <c r="W398" i="43" s="1"/>
  <c r="V253" i="43"/>
  <c r="U253" i="43"/>
  <c r="U398" i="43" s="1"/>
  <c r="R253" i="43"/>
  <c r="R398" i="43" s="1"/>
  <c r="Q253" i="43"/>
  <c r="P253" i="43"/>
  <c r="O253" i="43"/>
  <c r="O398" i="43" s="1"/>
  <c r="N253" i="43"/>
  <c r="M253" i="43"/>
  <c r="M257" i="43" s="1"/>
  <c r="L253" i="43"/>
  <c r="L257" i="43" s="1"/>
  <c r="AB249" i="43"/>
  <c r="AA249" i="43"/>
  <c r="Z249" i="43"/>
  <c r="Y249" i="43"/>
  <c r="X249" i="43"/>
  <c r="X247" i="43" s="1"/>
  <c r="W249" i="43"/>
  <c r="W247" i="43" s="1"/>
  <c r="V249" i="43"/>
  <c r="U249" i="43"/>
  <c r="T249" i="43"/>
  <c r="S249" i="43"/>
  <c r="R249" i="43"/>
  <c r="R247" i="43" s="1"/>
  <c r="Q249" i="43"/>
  <c r="P249" i="43"/>
  <c r="O249" i="43"/>
  <c r="N249" i="43"/>
  <c r="M249" i="43"/>
  <c r="L249" i="43"/>
  <c r="L247" i="43" s="1"/>
  <c r="AA248" i="43"/>
  <c r="AA247" i="43" s="1"/>
  <c r="Z248" i="43"/>
  <c r="Y248" i="43"/>
  <c r="AB247" i="43"/>
  <c r="AB244" i="43"/>
  <c r="AA244" i="43"/>
  <c r="Z244" i="43"/>
  <c r="Y244" i="43"/>
  <c r="X244" i="43"/>
  <c r="W244" i="43"/>
  <c r="V244" i="43"/>
  <c r="U244" i="43"/>
  <c r="T244" i="43"/>
  <c r="S244" i="43"/>
  <c r="R244" i="43"/>
  <c r="Q244" i="43"/>
  <c r="P244" i="43"/>
  <c r="O244" i="43"/>
  <c r="N244" i="43"/>
  <c r="M244" i="43"/>
  <c r="L244" i="43"/>
  <c r="AM243" i="43"/>
  <c r="AL243" i="43"/>
  <c r="AK243" i="43"/>
  <c r="AJ243" i="43"/>
  <c r="AI243" i="43"/>
  <c r="AH243" i="43"/>
  <c r="AG243" i="43"/>
  <c r="AF243" i="43"/>
  <c r="AE243" i="43"/>
  <c r="AD243" i="43"/>
  <c r="AC243" i="43"/>
  <c r="AB243" i="43"/>
  <c r="AA243" i="43"/>
  <c r="Z243" i="43"/>
  <c r="Y243" i="43"/>
  <c r="X243" i="43"/>
  <c r="W243" i="43"/>
  <c r="V243" i="43"/>
  <c r="U243" i="43"/>
  <c r="T243" i="43"/>
  <c r="S243" i="43"/>
  <c r="R243" i="43"/>
  <c r="Q243" i="43"/>
  <c r="P243" i="43"/>
  <c r="O243" i="43"/>
  <c r="N243" i="43"/>
  <c r="M243" i="43"/>
  <c r="L243" i="43"/>
  <c r="AH235" i="43"/>
  <c r="AG235" i="43"/>
  <c r="AF235" i="43"/>
  <c r="AE235" i="43"/>
  <c r="AD235" i="43"/>
  <c r="AC235" i="43"/>
  <c r="AB235" i="43"/>
  <c r="AA235" i="43"/>
  <c r="Z235" i="43"/>
  <c r="Y235" i="43"/>
  <c r="X235" i="43"/>
  <c r="W235" i="43"/>
  <c r="V235" i="43"/>
  <c r="U235" i="43"/>
  <c r="T235" i="43"/>
  <c r="S235" i="43"/>
  <c r="R235" i="43"/>
  <c r="Q235" i="43"/>
  <c r="P235" i="43"/>
  <c r="O235" i="43"/>
  <c r="N235" i="43"/>
  <c r="M235" i="43"/>
  <c r="L235" i="43"/>
  <c r="AB232" i="43"/>
  <c r="AA232" i="43"/>
  <c r="Z232" i="43"/>
  <c r="Y232" i="43"/>
  <c r="X232" i="43"/>
  <c r="W232" i="43"/>
  <c r="V232" i="43"/>
  <c r="U232" i="43"/>
  <c r="T232" i="43"/>
  <c r="S232" i="43"/>
  <c r="R232" i="43"/>
  <c r="Q232" i="43"/>
  <c r="P232" i="43"/>
  <c r="O232" i="43"/>
  <c r="N232" i="43"/>
  <c r="M232" i="43"/>
  <c r="L232" i="43"/>
  <c r="AB220" i="43"/>
  <c r="AA220" i="43"/>
  <c r="Z220" i="43"/>
  <c r="Y220" i="43"/>
  <c r="X220" i="43"/>
  <c r="W220" i="43"/>
  <c r="V220" i="43"/>
  <c r="U220" i="43"/>
  <c r="T220" i="43"/>
  <c r="S220" i="43"/>
  <c r="R220" i="43"/>
  <c r="Q220" i="43"/>
  <c r="P220" i="43"/>
  <c r="O220" i="43"/>
  <c r="N220" i="43"/>
  <c r="M220" i="43"/>
  <c r="L220" i="43"/>
  <c r="AB213" i="43"/>
  <c r="AB242" i="43" s="1"/>
  <c r="AA213" i="43"/>
  <c r="AA242" i="43" s="1"/>
  <c r="Z213" i="43"/>
  <c r="Z242" i="43" s="1"/>
  <c r="Y213" i="43"/>
  <c r="Y242" i="43" s="1"/>
  <c r="X213" i="43"/>
  <c r="X242" i="43" s="1"/>
  <c r="W213" i="43"/>
  <c r="W242" i="43" s="1"/>
  <c r="V213" i="43"/>
  <c r="V242" i="43" s="1"/>
  <c r="U213" i="43"/>
  <c r="U242" i="43" s="1"/>
  <c r="T213" i="43"/>
  <c r="T242" i="43" s="1"/>
  <c r="S213" i="43"/>
  <c r="S242" i="43" s="1"/>
  <c r="R213" i="43"/>
  <c r="R242" i="43" s="1"/>
  <c r="Q213" i="43"/>
  <c r="Q242" i="43" s="1"/>
  <c r="P213" i="43"/>
  <c r="P242" i="43" s="1"/>
  <c r="O213" i="43"/>
  <c r="O242" i="43" s="1"/>
  <c r="N213" i="43"/>
  <c r="N242" i="43" s="1"/>
  <c r="M213" i="43"/>
  <c r="M242" i="43" s="1"/>
  <c r="L213" i="43"/>
  <c r="L242" i="43" s="1"/>
  <c r="AM211" i="43"/>
  <c r="AL211" i="43"/>
  <c r="AK211" i="43"/>
  <c r="AJ211" i="43"/>
  <c r="AI211" i="43"/>
  <c r="AH211" i="43"/>
  <c r="AG211" i="43"/>
  <c r="AF211" i="43"/>
  <c r="AE211" i="43"/>
  <c r="AD211" i="43"/>
  <c r="AC211" i="43"/>
  <c r="AB211" i="43"/>
  <c r="AA211" i="43"/>
  <c r="Z211" i="43"/>
  <c r="Y211" i="43"/>
  <c r="X211" i="43"/>
  <c r="W211" i="43"/>
  <c r="V211" i="43"/>
  <c r="U211" i="43"/>
  <c r="T211" i="43"/>
  <c r="S211" i="43"/>
  <c r="R211" i="43"/>
  <c r="Q211" i="43"/>
  <c r="P211" i="43"/>
  <c r="N211" i="43"/>
  <c r="M211" i="43"/>
  <c r="L211" i="43"/>
  <c r="AB197" i="43"/>
  <c r="AA197" i="43"/>
  <c r="Z197" i="43"/>
  <c r="Y197" i="43"/>
  <c r="X197" i="43"/>
  <c r="W197" i="43"/>
  <c r="V197" i="43"/>
  <c r="U197" i="43"/>
  <c r="T197" i="43"/>
  <c r="S197" i="43"/>
  <c r="R197" i="43"/>
  <c r="Q197" i="43"/>
  <c r="P197" i="43"/>
  <c r="O197" i="43"/>
  <c r="N197" i="43"/>
  <c r="M197" i="43"/>
  <c r="L197" i="43"/>
  <c r="AB196" i="43"/>
  <c r="AA196" i="43"/>
  <c r="Z196" i="43"/>
  <c r="Y196" i="43"/>
  <c r="X196" i="43"/>
  <c r="W196" i="43"/>
  <c r="V196" i="43"/>
  <c r="U196" i="43"/>
  <c r="T196" i="43"/>
  <c r="S196" i="43"/>
  <c r="R196" i="43"/>
  <c r="Q196" i="43"/>
  <c r="P196" i="43"/>
  <c r="O196" i="43"/>
  <c r="N196" i="43"/>
  <c r="M196" i="43"/>
  <c r="L196" i="43"/>
  <c r="P179" i="43"/>
  <c r="O179" i="43"/>
  <c r="AB178" i="43"/>
  <c r="AB182" i="43" s="1"/>
  <c r="AB190" i="43" s="1"/>
  <c r="AA178" i="43"/>
  <c r="AA182" i="43" s="1"/>
  <c r="AA190" i="43" s="1"/>
  <c r="Z178" i="43"/>
  <c r="Z182" i="43" s="1"/>
  <c r="Z190" i="43" s="1"/>
  <c r="Y178" i="43"/>
  <c r="Y182" i="43" s="1"/>
  <c r="Y190" i="43" s="1"/>
  <c r="X178" i="43"/>
  <c r="X182" i="43" s="1"/>
  <c r="X190" i="43" s="1"/>
  <c r="W178" i="43"/>
  <c r="W182" i="43" s="1"/>
  <c r="W190" i="43" s="1"/>
  <c r="V178" i="43"/>
  <c r="U178" i="43"/>
  <c r="U182" i="43" s="1"/>
  <c r="U190" i="43" s="1"/>
  <c r="T178" i="43"/>
  <c r="T182" i="43" s="1"/>
  <c r="T190" i="43" s="1"/>
  <c r="S178" i="43"/>
  <c r="S182" i="43" s="1"/>
  <c r="S190" i="43" s="1"/>
  <c r="R178" i="43"/>
  <c r="Q178" i="43"/>
  <c r="Q182" i="43" s="1"/>
  <c r="Q188" i="43" s="1"/>
  <c r="P178" i="43"/>
  <c r="O178" i="43"/>
  <c r="AB174" i="43"/>
  <c r="AA174" i="43"/>
  <c r="Z174" i="43"/>
  <c r="Y174" i="43"/>
  <c r="X174" i="43"/>
  <c r="W174" i="43"/>
  <c r="AC171" i="43"/>
  <c r="AD171" i="43" s="1"/>
  <c r="AE171" i="43" s="1"/>
  <c r="AF171" i="43" s="1"/>
  <c r="AG171" i="43" s="1"/>
  <c r="AH171" i="43" s="1"/>
  <c r="AI171" i="43" s="1"/>
  <c r="AJ171" i="43" s="1"/>
  <c r="AK171" i="43" s="1"/>
  <c r="AL171" i="43" s="1"/>
  <c r="AM171" i="43" s="1"/>
  <c r="AB163" i="43"/>
  <c r="AA163" i="43"/>
  <c r="AA164" i="43" s="1"/>
  <c r="Z163" i="43"/>
  <c r="Y163" i="43"/>
  <c r="Y164" i="43" s="1"/>
  <c r="X163" i="43"/>
  <c r="X164" i="43" s="1"/>
  <c r="W163" i="43"/>
  <c r="W164" i="43" s="1"/>
  <c r="V163" i="43"/>
  <c r="U163" i="43"/>
  <c r="T163" i="43"/>
  <c r="S163" i="43"/>
  <c r="R163" i="43"/>
  <c r="Q163" i="43"/>
  <c r="AB160" i="43"/>
  <c r="AA160" i="43"/>
  <c r="Z160" i="43"/>
  <c r="Y160" i="43"/>
  <c r="X160" i="43"/>
  <c r="W160" i="43"/>
  <c r="V160" i="43"/>
  <c r="U160" i="43"/>
  <c r="T160" i="43"/>
  <c r="S160" i="43"/>
  <c r="R160" i="43"/>
  <c r="Q160" i="43"/>
  <c r="AB159" i="43"/>
  <c r="AA159" i="43"/>
  <c r="Z159" i="43"/>
  <c r="Y159" i="43"/>
  <c r="X159" i="43"/>
  <c r="W159" i="43"/>
  <c r="V159" i="43"/>
  <c r="U159" i="43"/>
  <c r="T159" i="43"/>
  <c r="S159" i="43"/>
  <c r="R159" i="43"/>
  <c r="Q159" i="43"/>
  <c r="P159" i="43"/>
  <c r="O159" i="43"/>
  <c r="AB154" i="43"/>
  <c r="AA154" i="43"/>
  <c r="Z154" i="43"/>
  <c r="Y154" i="43"/>
  <c r="X154" i="43"/>
  <c r="W154" i="43"/>
  <c r="V154" i="43"/>
  <c r="U154" i="43"/>
  <c r="T153" i="43"/>
  <c r="T147" i="43" s="1"/>
  <c r="S153" i="43"/>
  <c r="S147" i="43" s="1"/>
  <c r="R153" i="43"/>
  <c r="R147" i="43" s="1"/>
  <c r="Q153" i="43"/>
  <c r="Q147" i="43" s="1"/>
  <c r="P153" i="43"/>
  <c r="O153" i="43"/>
  <c r="AB152" i="43"/>
  <c r="AA152" i="43"/>
  <c r="Z152" i="43"/>
  <c r="Y152" i="43"/>
  <c r="X152" i="43"/>
  <c r="W152" i="43"/>
  <c r="V152" i="43"/>
  <c r="U152" i="43"/>
  <c r="T151" i="43"/>
  <c r="T152" i="43" s="1"/>
  <c r="S151" i="43"/>
  <c r="S152" i="43" s="1"/>
  <c r="R151" i="43"/>
  <c r="R152" i="43" s="1"/>
  <c r="Q151" i="43"/>
  <c r="Q152" i="43" s="1"/>
  <c r="P151" i="43"/>
  <c r="P152" i="43" s="1"/>
  <c r="O151" i="43"/>
  <c r="O152" i="43" s="1"/>
  <c r="AC144" i="43"/>
  <c r="AC146" i="43" s="1"/>
  <c r="AB144" i="43"/>
  <c r="AB146" i="43" s="1"/>
  <c r="AA144" i="43"/>
  <c r="AA146" i="43" s="1"/>
  <c r="Z144" i="43"/>
  <c r="Z146" i="43" s="1"/>
  <c r="Y144" i="43"/>
  <c r="Y146" i="43" s="1"/>
  <c r="X144" i="43"/>
  <c r="X146" i="43" s="1"/>
  <c r="W144" i="43"/>
  <c r="W146" i="43" s="1"/>
  <c r="V144" i="43"/>
  <c r="V146" i="43" s="1"/>
  <c r="U144" i="43"/>
  <c r="U146" i="43" s="1"/>
  <c r="T144" i="43"/>
  <c r="T146" i="43" s="1"/>
  <c r="S144" i="43"/>
  <c r="S146" i="43" s="1"/>
  <c r="R144" i="43"/>
  <c r="R146" i="43" s="1"/>
  <c r="Q144" i="43"/>
  <c r="Q146" i="43" s="1"/>
  <c r="AB120" i="43"/>
  <c r="AA120" i="43"/>
  <c r="Z120" i="43"/>
  <c r="Y120" i="43"/>
  <c r="X120" i="43"/>
  <c r="W120" i="43"/>
  <c r="V120" i="43"/>
  <c r="U120" i="43"/>
  <c r="AB117" i="43"/>
  <c r="AA117" i="43"/>
  <c r="Z117" i="43"/>
  <c r="Y117" i="43"/>
  <c r="W117" i="43"/>
  <c r="V117" i="43"/>
  <c r="U117" i="43"/>
  <c r="AB116" i="43"/>
  <c r="AA116" i="43"/>
  <c r="Z116" i="43"/>
  <c r="Z141" i="43" s="1"/>
  <c r="Z140" i="43" s="1"/>
  <c r="Y116" i="43"/>
  <c r="Y141" i="43" s="1"/>
  <c r="Y140" i="43" s="1"/>
  <c r="X116" i="43"/>
  <c r="X141" i="43" s="1"/>
  <c r="X140" i="43" s="1"/>
  <c r="W116" i="43"/>
  <c r="W141" i="43" s="1"/>
  <c r="W140" i="43" s="1"/>
  <c r="V116" i="43"/>
  <c r="U116" i="43"/>
  <c r="T116" i="43"/>
  <c r="S116" i="43"/>
  <c r="R116" i="43"/>
  <c r="Q116" i="43"/>
  <c r="P116" i="43"/>
  <c r="O116" i="43"/>
  <c r="N116" i="43"/>
  <c r="M116" i="43"/>
  <c r="L116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AE112" i="43"/>
  <c r="AB109" i="43"/>
  <c r="AA109" i="43"/>
  <c r="Z109" i="43"/>
  <c r="Y109" i="43"/>
  <c r="X109" i="43"/>
  <c r="X111" i="43" s="1"/>
  <c r="W109" i="43"/>
  <c r="V109" i="43"/>
  <c r="U109" i="43"/>
  <c r="T109" i="43"/>
  <c r="S109" i="43"/>
  <c r="R109" i="43"/>
  <c r="Q109" i="43"/>
  <c r="P109" i="43"/>
  <c r="P111" i="43" s="1"/>
  <c r="O109" i="43"/>
  <c r="O111" i="43" s="1"/>
  <c r="AB107" i="43"/>
  <c r="AA107" i="43"/>
  <c r="Z107" i="43"/>
  <c r="Y107" i="43"/>
  <c r="Y104" i="43" s="1"/>
  <c r="Y105" i="43" s="1"/>
  <c r="X107" i="43"/>
  <c r="W107" i="43"/>
  <c r="W104" i="43" s="1"/>
  <c r="W105" i="43" s="1"/>
  <c r="V107" i="43"/>
  <c r="U107" i="43"/>
  <c r="U104" i="43" s="1"/>
  <c r="U105" i="43" s="1"/>
  <c r="T107" i="43"/>
  <c r="S107" i="43"/>
  <c r="S104" i="43" s="1"/>
  <c r="S105" i="43" s="1"/>
  <c r="R107" i="43"/>
  <c r="Q107" i="43"/>
  <c r="Q104" i="43" s="1"/>
  <c r="Q105" i="43" s="1"/>
  <c r="P107" i="43"/>
  <c r="O107" i="43"/>
  <c r="O104" i="43" s="1"/>
  <c r="O105" i="43" s="1"/>
  <c r="N107" i="43"/>
  <c r="N104" i="43" s="1"/>
  <c r="N105" i="43" s="1"/>
  <c r="M107" i="43"/>
  <c r="M104" i="43" s="1"/>
  <c r="M105" i="43" s="1"/>
  <c r="L107" i="43"/>
  <c r="L104" i="43" s="1"/>
  <c r="L105" i="43" s="1"/>
  <c r="AA104" i="43"/>
  <c r="AA105" i="43" s="1"/>
  <c r="AG103" i="43"/>
  <c r="AH103" i="43" s="1"/>
  <c r="AI103" i="43" s="1"/>
  <c r="AJ103" i="43" s="1"/>
  <c r="AK103" i="43" s="1"/>
  <c r="AL103" i="43" s="1"/>
  <c r="AM103" i="43" s="1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AC102" i="43"/>
  <c r="AD102" i="43" s="1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AB88" i="43"/>
  <c r="AA88" i="43"/>
  <c r="Z88" i="43"/>
  <c r="Z90" i="43" s="1"/>
  <c r="Y88" i="43"/>
  <c r="X88" i="43"/>
  <c r="W88" i="43"/>
  <c r="V88" i="43"/>
  <c r="V90" i="43" s="1"/>
  <c r="U88" i="43"/>
  <c r="U90" i="43" s="1"/>
  <c r="T88" i="43"/>
  <c r="S88" i="43"/>
  <c r="R88" i="43"/>
  <c r="R90" i="43" s="1"/>
  <c r="Q88" i="43"/>
  <c r="Q90" i="43" s="1"/>
  <c r="P88" i="43"/>
  <c r="O88" i="43"/>
  <c r="AB86" i="43"/>
  <c r="AB83" i="43" s="1"/>
  <c r="AB84" i="43" s="1"/>
  <c r="AA86" i="43"/>
  <c r="AA83" i="43" s="1"/>
  <c r="Z86" i="43"/>
  <c r="Y86" i="43"/>
  <c r="Y83" i="43" s="1"/>
  <c r="Y84" i="43" s="1"/>
  <c r="X86" i="43"/>
  <c r="X83" i="43" s="1"/>
  <c r="X84" i="43" s="1"/>
  <c r="W86" i="43"/>
  <c r="V86" i="43"/>
  <c r="U86" i="43"/>
  <c r="T86" i="43"/>
  <c r="T83" i="43" s="1"/>
  <c r="T84" i="43" s="1"/>
  <c r="S86" i="43"/>
  <c r="S83" i="43" s="1"/>
  <c r="S84" i="43" s="1"/>
  <c r="R86" i="43"/>
  <c r="Q86" i="43"/>
  <c r="Q83" i="43" s="1"/>
  <c r="Q84" i="43" s="1"/>
  <c r="P86" i="43"/>
  <c r="P83" i="43" s="1"/>
  <c r="P84" i="43" s="1"/>
  <c r="O86" i="43"/>
  <c r="O83" i="43" s="1"/>
  <c r="O84" i="43" s="1"/>
  <c r="N86" i="43"/>
  <c r="M86" i="43"/>
  <c r="M83" i="43" s="1"/>
  <c r="M84" i="43" s="1"/>
  <c r="L86" i="43"/>
  <c r="L83" i="43" s="1"/>
  <c r="L84" i="43" s="1"/>
  <c r="AA84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AB79" i="43"/>
  <c r="X190" i="248" s="1"/>
  <c r="X193" i="248" s="1"/>
  <c r="AA79" i="43"/>
  <c r="W190" i="248" s="1"/>
  <c r="Z79" i="43"/>
  <c r="V190" i="248" s="1"/>
  <c r="Y79" i="43"/>
  <c r="U190" i="248" s="1"/>
  <c r="X79" i="43"/>
  <c r="T190" i="248" s="1"/>
  <c r="T195" i="248" s="1"/>
  <c r="W79" i="43"/>
  <c r="S190" i="248" s="1"/>
  <c r="S242" i="248" s="1"/>
  <c r="V79" i="43"/>
  <c r="R190" i="248" s="1"/>
  <c r="U79" i="43"/>
  <c r="Q190" i="248" s="1"/>
  <c r="T79" i="43"/>
  <c r="P190" i="248" s="1"/>
  <c r="P207" i="248" s="1"/>
  <c r="S79" i="43"/>
  <c r="O190" i="248" s="1"/>
  <c r="R79" i="43"/>
  <c r="N190" i="248" s="1"/>
  <c r="Q79" i="43"/>
  <c r="M190" i="248" s="1"/>
  <c r="P79" i="43"/>
  <c r="L190" i="248" s="1"/>
  <c r="O79" i="43"/>
  <c r="K190" i="248" s="1"/>
  <c r="N79" i="43"/>
  <c r="J190" i="248" s="1"/>
  <c r="M79" i="43"/>
  <c r="I190" i="248" s="1"/>
  <c r="L79" i="43"/>
  <c r="H190" i="248" s="1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AB66" i="43"/>
  <c r="AA66" i="43"/>
  <c r="Z66" i="43"/>
  <c r="Y66" i="43"/>
  <c r="W66" i="43"/>
  <c r="V66" i="43"/>
  <c r="U66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AB62" i="43"/>
  <c r="AA62" i="43"/>
  <c r="Z62" i="43"/>
  <c r="Y62" i="43"/>
  <c r="Y9" i="43" s="1"/>
  <c r="X62" i="43"/>
  <c r="X9" i="43" s="1"/>
  <c r="W62" i="43"/>
  <c r="W9" i="43" s="1"/>
  <c r="V62" i="43"/>
  <c r="U62" i="43"/>
  <c r="U9" i="43" s="1"/>
  <c r="T61" i="43"/>
  <c r="S61" i="43"/>
  <c r="R61" i="43"/>
  <c r="Q61" i="43"/>
  <c r="AQ61" i="43" s="1"/>
  <c r="P61" i="43"/>
  <c r="O61" i="43"/>
  <c r="N60" i="43"/>
  <c r="M60" i="43"/>
  <c r="L60" i="43"/>
  <c r="AP60" i="43" s="1"/>
  <c r="N59" i="43"/>
  <c r="M59" i="43"/>
  <c r="L59" i="43"/>
  <c r="AP59" i="43" s="1"/>
  <c r="AB57" i="43"/>
  <c r="AA57" i="43"/>
  <c r="Z57" i="43"/>
  <c r="Z7" i="43" s="1"/>
  <c r="Y57" i="43"/>
  <c r="Y7" i="43" s="1"/>
  <c r="W57" i="43"/>
  <c r="V57" i="43"/>
  <c r="V7" i="43" s="1"/>
  <c r="V45" i="43" s="1"/>
  <c r="U57" i="43"/>
  <c r="U7" i="43" s="1"/>
  <c r="X56" i="43"/>
  <c r="T56" i="43"/>
  <c r="S56" i="43"/>
  <c r="R56" i="43"/>
  <c r="Q56" i="43"/>
  <c r="AQ56" i="43" s="1"/>
  <c r="P56" i="43"/>
  <c r="O56" i="43"/>
  <c r="N56" i="43"/>
  <c r="M56" i="43"/>
  <c r="L56" i="43"/>
  <c r="AP56" i="43" s="1"/>
  <c r="AB38" i="43"/>
  <c r="Z38" i="43"/>
  <c r="Y38" i="43"/>
  <c r="X38" i="43"/>
  <c r="V38" i="43"/>
  <c r="U38" i="43"/>
  <c r="T38" i="43"/>
  <c r="R38" i="43"/>
  <c r="Q38" i="43"/>
  <c r="AB34" i="43"/>
  <c r="AC34" i="43" s="1"/>
  <c r="AD34" i="43" s="1"/>
  <c r="AE34" i="43" s="1"/>
  <c r="AF34" i="43" s="1"/>
  <c r="AG34" i="43" s="1"/>
  <c r="AH34" i="43" s="1"/>
  <c r="AI34" i="43" s="1"/>
  <c r="AJ34" i="43" s="1"/>
  <c r="AK34" i="43" s="1"/>
  <c r="AL34" i="43" s="1"/>
  <c r="AM34" i="43" s="1"/>
  <c r="AA34" i="43"/>
  <c r="Z34" i="43"/>
  <c r="Y34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AB29" i="43"/>
  <c r="AP29" i="43" s="1"/>
  <c r="AA29" i="43"/>
  <c r="Z29" i="43"/>
  <c r="Y29" i="43"/>
  <c r="X24" i="43"/>
  <c r="W24" i="43"/>
  <c r="V24" i="43"/>
  <c r="V34" i="43" s="1"/>
  <c r="U24" i="43"/>
  <c r="U34" i="43" s="1"/>
  <c r="T24" i="43"/>
  <c r="S24" i="43"/>
  <c r="R24" i="43"/>
  <c r="R34" i="43" s="1"/>
  <c r="Q24" i="43"/>
  <c r="O12" i="43"/>
  <c r="P11" i="43"/>
  <c r="O11" i="43"/>
  <c r="N11" i="43"/>
  <c r="M11" i="43"/>
  <c r="L11" i="43"/>
  <c r="AB10" i="43"/>
  <c r="AA10" i="43"/>
  <c r="Z10" i="43"/>
  <c r="Z208" i="43" s="1"/>
  <c r="Y10" i="43"/>
  <c r="Y208" i="43" s="1"/>
  <c r="X10" i="43"/>
  <c r="X208" i="43" s="1"/>
  <c r="W10" i="43"/>
  <c r="W208" i="43" s="1"/>
  <c r="V10" i="43"/>
  <c r="V208" i="43" s="1"/>
  <c r="U10" i="43"/>
  <c r="U208" i="43" s="1"/>
  <c r="T10" i="43"/>
  <c r="T208" i="43" s="1"/>
  <c r="S10" i="43"/>
  <c r="S208" i="43" s="1"/>
  <c r="R10" i="43"/>
  <c r="R208" i="43" s="1"/>
  <c r="Q10" i="43"/>
  <c r="Q208" i="43" s="1"/>
  <c r="P10" i="43"/>
  <c r="P208" i="43" s="1"/>
  <c r="O10" i="43"/>
  <c r="O208" i="43" s="1"/>
  <c r="N10" i="43"/>
  <c r="N208" i="43" s="1"/>
  <c r="M10" i="43"/>
  <c r="M208" i="43" s="1"/>
  <c r="L10" i="43"/>
  <c r="L208" i="43" s="1"/>
  <c r="H3" i="43"/>
  <c r="I3" i="43" s="1"/>
  <c r="C34" i="22"/>
  <c r="C36" i="22" s="1"/>
  <c r="L78" i="22"/>
  <c r="C78" i="22"/>
  <c r="L77" i="22"/>
  <c r="C77" i="22"/>
  <c r="C37" i="22" s="1"/>
  <c r="C51" i="22"/>
  <c r="D51" i="22" s="1"/>
  <c r="E51" i="22" s="1"/>
  <c r="F51" i="22" s="1"/>
  <c r="G51" i="22" s="1"/>
  <c r="H51" i="22" s="1"/>
  <c r="I51" i="22" s="1"/>
  <c r="J51" i="22" s="1"/>
  <c r="K51" i="22" s="1"/>
  <c r="L51" i="22" s="1"/>
  <c r="M50" i="22"/>
  <c r="L50" i="22"/>
  <c r="K50" i="22"/>
  <c r="J50" i="22"/>
  <c r="I50" i="22"/>
  <c r="H50" i="22"/>
  <c r="G50" i="22"/>
  <c r="F50" i="22"/>
  <c r="E50" i="22"/>
  <c r="D50" i="22"/>
  <c r="L34" i="22"/>
  <c r="L36" i="22" s="1"/>
  <c r="L22" i="22" s="1"/>
  <c r="K34" i="22"/>
  <c r="K36" i="22" s="1"/>
  <c r="J34" i="22"/>
  <c r="J36" i="22" s="1"/>
  <c r="C33" i="22"/>
  <c r="C29" i="22"/>
  <c r="F352" i="43" s="1"/>
  <c r="C25" i="22"/>
  <c r="G15" i="22"/>
  <c r="G14" i="22"/>
  <c r="G13" i="22"/>
  <c r="G12" i="22"/>
  <c r="C12" i="22" a="1"/>
  <c r="C13" i="22" s="1"/>
  <c r="C4" i="22"/>
  <c r="Y271" i="248" l="1"/>
  <c r="I193" i="248"/>
  <c r="M51" i="22"/>
  <c r="K84" i="22"/>
  <c r="U343" i="43"/>
  <c r="T343" i="43"/>
  <c r="X343" i="43"/>
  <c r="AB343" i="43"/>
  <c r="P451" i="43"/>
  <c r="O343" i="43"/>
  <c r="AP107" i="43"/>
  <c r="Z247" i="43"/>
  <c r="M451" i="43"/>
  <c r="AA111" i="43"/>
  <c r="AQ109" i="43"/>
  <c r="R343" i="43"/>
  <c r="AQ107" i="43"/>
  <c r="AF112" i="43"/>
  <c r="M343" i="43"/>
  <c r="Y247" i="43"/>
  <c r="L351" i="43"/>
  <c r="L353" i="43" s="1"/>
  <c r="L355" i="43" s="1"/>
  <c r="L343" i="43"/>
  <c r="P351" i="43"/>
  <c r="P353" i="43" s="1"/>
  <c r="P354" i="43" s="1"/>
  <c r="P343" i="43"/>
  <c r="Z351" i="43"/>
  <c r="Z353" i="43" s="1"/>
  <c r="Z354" i="43" s="1"/>
  <c r="Z343" i="43"/>
  <c r="S343" i="43"/>
  <c r="W343" i="43"/>
  <c r="Q398" i="43"/>
  <c r="Q400" i="43" s="1"/>
  <c r="Q351" i="43"/>
  <c r="Q353" i="43" s="1"/>
  <c r="R355" i="43" s="1"/>
  <c r="Q343" i="43"/>
  <c r="AA351" i="43"/>
  <c r="AA353" i="43" s="1"/>
  <c r="AA338" i="43" s="1"/>
  <c r="W435" i="248" s="1"/>
  <c r="W437" i="248" s="1"/>
  <c r="AA343" i="43"/>
  <c r="Y299" i="43"/>
  <c r="Y306" i="43" s="1"/>
  <c r="Y311" i="43" s="1"/>
  <c r="Y343" i="43"/>
  <c r="N351" i="43"/>
  <c r="N353" i="43" s="1"/>
  <c r="N354" i="43" s="1"/>
  <c r="N343" i="43"/>
  <c r="V299" i="43"/>
  <c r="V306" i="43" s="1"/>
  <c r="V311" i="43" s="1"/>
  <c r="V343" i="43"/>
  <c r="AC14" i="43"/>
  <c r="AK163" i="248"/>
  <c r="AH163" i="248" s="1"/>
  <c r="AI163" i="248" s="1"/>
  <c r="AK135" i="248"/>
  <c r="AH135" i="248" s="1"/>
  <c r="AI135" i="248" s="1"/>
  <c r="AK167" i="248"/>
  <c r="AH167" i="248" s="1"/>
  <c r="AI167" i="248" s="1"/>
  <c r="AK130" i="248"/>
  <c r="AH130" i="248" s="1"/>
  <c r="AI130" i="248" s="1"/>
  <c r="AK149" i="248"/>
  <c r="AH149" i="248" s="1"/>
  <c r="AI149" i="248" s="1"/>
  <c r="AK153" i="248"/>
  <c r="AH153" i="248" s="1"/>
  <c r="AI153" i="248" s="1"/>
  <c r="AK148" i="248"/>
  <c r="AH148" i="248" s="1"/>
  <c r="AI148" i="248" s="1"/>
  <c r="AK152" i="248"/>
  <c r="AH152" i="248" s="1"/>
  <c r="AK164" i="248"/>
  <c r="AH164" i="248" s="1"/>
  <c r="AI164" i="248" s="1"/>
  <c r="AK139" i="248"/>
  <c r="AH139" i="248" s="1"/>
  <c r="AI139" i="248" s="1"/>
  <c r="AK171" i="248"/>
  <c r="AH171" i="248" s="1"/>
  <c r="AI171" i="248" s="1"/>
  <c r="AK142" i="248"/>
  <c r="AH142" i="248" s="1"/>
  <c r="AI142" i="248" s="1"/>
  <c r="AK162" i="248"/>
  <c r="AH162" i="248" s="1"/>
  <c r="AK161" i="248"/>
  <c r="AH161" i="248" s="1"/>
  <c r="AI161" i="248" s="1"/>
  <c r="AK160" i="248"/>
  <c r="AH160" i="248" s="1"/>
  <c r="AI160" i="248" s="1"/>
  <c r="AK143" i="248"/>
  <c r="AH143" i="248" s="1"/>
  <c r="AI143" i="248" s="1"/>
  <c r="AK175" i="248"/>
  <c r="AH175" i="248" s="1"/>
  <c r="AI175" i="248" s="1"/>
  <c r="AK146" i="248"/>
  <c r="AH146" i="248" s="1"/>
  <c r="AI146" i="248" s="1"/>
  <c r="AK140" i="248"/>
  <c r="AH140" i="248" s="1"/>
  <c r="AI140" i="248" s="1"/>
  <c r="AK173" i="248"/>
  <c r="AH173" i="248" s="1"/>
  <c r="AI173" i="248" s="1"/>
  <c r="AK141" i="248"/>
  <c r="AH141" i="248" s="1"/>
  <c r="AI141" i="248" s="1"/>
  <c r="AK165" i="248"/>
  <c r="AH165" i="248" s="1"/>
  <c r="AI165" i="248" s="1"/>
  <c r="AK172" i="248"/>
  <c r="AH172" i="248" s="1"/>
  <c r="AI172" i="248" s="1"/>
  <c r="AK147" i="248"/>
  <c r="AH147" i="248" s="1"/>
  <c r="AI147" i="248" s="1"/>
  <c r="AK156" i="248"/>
  <c r="AH156" i="248" s="1"/>
  <c r="AK150" i="248"/>
  <c r="AH150" i="248" s="1"/>
  <c r="AI150" i="248" s="1"/>
  <c r="AK133" i="248"/>
  <c r="AH133" i="248" s="1"/>
  <c r="AI133" i="248" s="1"/>
  <c r="AK176" i="248"/>
  <c r="AH176" i="248" s="1"/>
  <c r="AI176" i="248" s="1"/>
  <c r="AK159" i="248"/>
  <c r="AH159" i="248" s="1"/>
  <c r="AI159" i="248" s="1"/>
  <c r="AK169" i="248"/>
  <c r="AH169" i="248" s="1"/>
  <c r="AI169" i="248" s="1"/>
  <c r="AK170" i="248"/>
  <c r="AH170" i="248" s="1"/>
  <c r="AI170" i="248" s="1"/>
  <c r="AK134" i="248"/>
  <c r="AH134" i="248" s="1"/>
  <c r="AI134" i="248" s="1"/>
  <c r="AK136" i="248"/>
  <c r="AH136" i="248" s="1"/>
  <c r="AI136" i="248" s="1"/>
  <c r="AK145" i="248"/>
  <c r="AH145" i="248" s="1"/>
  <c r="AI145" i="248" s="1"/>
  <c r="AK144" i="248"/>
  <c r="AH144" i="248" s="1"/>
  <c r="AI144" i="248" s="1"/>
  <c r="AK131" i="248"/>
  <c r="AH131" i="248" s="1"/>
  <c r="AI131" i="248" s="1"/>
  <c r="AK174" i="248"/>
  <c r="AH174" i="248" s="1"/>
  <c r="AI174" i="248" s="1"/>
  <c r="AK168" i="248"/>
  <c r="AH168" i="248" s="1"/>
  <c r="AI168" i="248" s="1"/>
  <c r="AK151" i="248"/>
  <c r="AH151" i="248" s="1"/>
  <c r="AI151" i="248" s="1"/>
  <c r="AK157" i="248"/>
  <c r="AH157" i="248" s="1"/>
  <c r="AI157" i="248" s="1"/>
  <c r="AK158" i="248"/>
  <c r="AH158" i="248" s="1"/>
  <c r="AI158" i="248" s="1"/>
  <c r="AK177" i="248"/>
  <c r="AH177" i="248" s="1"/>
  <c r="AI177" i="248" s="1"/>
  <c r="AK128" i="248"/>
  <c r="AH128" i="248" s="1"/>
  <c r="AI128" i="248" s="1"/>
  <c r="AK137" i="248"/>
  <c r="AH137" i="248" s="1"/>
  <c r="AI137" i="248" s="1"/>
  <c r="AK138" i="248"/>
  <c r="AH138" i="248" s="1"/>
  <c r="AI138" i="248" s="1"/>
  <c r="AK154" i="248"/>
  <c r="AH154" i="248" s="1"/>
  <c r="AK155" i="248"/>
  <c r="AH155" i="248" s="1"/>
  <c r="AI155" i="248" s="1"/>
  <c r="AK129" i="248"/>
  <c r="AH129" i="248" s="1"/>
  <c r="AI129" i="248" s="1"/>
  <c r="AK166" i="248"/>
  <c r="AH166" i="248" s="1"/>
  <c r="AI166" i="248" s="1"/>
  <c r="D12" i="22" a="1"/>
  <c r="D14" i="22" s="1"/>
  <c r="J22" i="22"/>
  <c r="L130" i="43"/>
  <c r="O211" i="43"/>
  <c r="P182" i="43"/>
  <c r="K22" i="22"/>
  <c r="T188" i="43"/>
  <c r="AA208" i="43"/>
  <c r="AQ10" i="43"/>
  <c r="U188" i="43"/>
  <c r="AB208" i="43"/>
  <c r="AP10" i="43"/>
  <c r="AA7" i="43"/>
  <c r="AA44" i="43" s="1"/>
  <c r="AA9" i="43"/>
  <c r="AQ115" i="43"/>
  <c r="R194" i="43"/>
  <c r="R182" i="43"/>
  <c r="R190" i="43" s="1"/>
  <c r="AB141" i="43"/>
  <c r="AB140" i="43" s="1"/>
  <c r="Q34" i="43"/>
  <c r="R35" i="43" s="1"/>
  <c r="AQ24" i="43"/>
  <c r="AB7" i="43"/>
  <c r="AB46" i="43" s="1"/>
  <c r="AP115" i="43"/>
  <c r="AA141" i="43"/>
  <c r="AA140" i="43" s="1"/>
  <c r="AC117" i="43"/>
  <c r="AC56" i="43" s="1"/>
  <c r="O182" i="43"/>
  <c r="S188" i="43"/>
  <c r="K199" i="248"/>
  <c r="V182" i="43"/>
  <c r="V190" i="43" s="1"/>
  <c r="Y184" i="43"/>
  <c r="N247" i="43"/>
  <c r="U184" i="43"/>
  <c r="Q184" i="43"/>
  <c r="T184" i="43"/>
  <c r="R184" i="43"/>
  <c r="S184" i="43"/>
  <c r="V184" i="43"/>
  <c r="Z184" i="43"/>
  <c r="R145" i="43"/>
  <c r="R148" i="43" s="1"/>
  <c r="R170" i="43"/>
  <c r="V145" i="43"/>
  <c r="V148" i="43" s="1"/>
  <c r="V170" i="43"/>
  <c r="Q145" i="43"/>
  <c r="Q148" i="43" s="1"/>
  <c r="Q170" i="43"/>
  <c r="U145" i="43"/>
  <c r="U148" i="43" s="1"/>
  <c r="U170" i="43"/>
  <c r="W184" i="43"/>
  <c r="AA184" i="43"/>
  <c r="S145" i="43"/>
  <c r="S148" i="43" s="1"/>
  <c r="S170" i="43"/>
  <c r="X184" i="43"/>
  <c r="AB184" i="43"/>
  <c r="T145" i="43"/>
  <c r="T148" i="43" s="1"/>
  <c r="T170" i="43"/>
  <c r="S247" i="43"/>
  <c r="O247" i="43"/>
  <c r="U247" i="43"/>
  <c r="Q247" i="43"/>
  <c r="M247" i="43"/>
  <c r="P247" i="43"/>
  <c r="T247" i="43"/>
  <c r="V247" i="43"/>
  <c r="AD381" i="43"/>
  <c r="AE381" i="43" s="1"/>
  <c r="W290" i="43"/>
  <c r="W451" i="43" s="1"/>
  <c r="AA290" i="43"/>
  <c r="AA451" i="43" s="1"/>
  <c r="T290" i="43"/>
  <c r="T451" i="43" s="1"/>
  <c r="X290" i="43"/>
  <c r="X451" i="43" s="1"/>
  <c r="AB290" i="43"/>
  <c r="AB451" i="43" s="1"/>
  <c r="Q290" i="43"/>
  <c r="Q451" i="43" s="1"/>
  <c r="U290" i="43"/>
  <c r="U451" i="43" s="1"/>
  <c r="Y290" i="43"/>
  <c r="Y451" i="43" s="1"/>
  <c r="V290" i="43"/>
  <c r="V451" i="43" s="1"/>
  <c r="Z290" i="43"/>
  <c r="Z451" i="43" s="1"/>
  <c r="V287" i="248"/>
  <c r="N287" i="248"/>
  <c r="R91" i="43"/>
  <c r="R287" i="248"/>
  <c r="V91" i="43"/>
  <c r="M287" i="248"/>
  <c r="Q287" i="248"/>
  <c r="AH132" i="248"/>
  <c r="AI132" i="248" s="1"/>
  <c r="D13" i="22"/>
  <c r="L210" i="43"/>
  <c r="P210" i="43"/>
  <c r="M210" i="43"/>
  <c r="O210" i="43"/>
  <c r="N210" i="43"/>
  <c r="X236" i="248"/>
  <c r="P210" i="248"/>
  <c r="I198" i="248"/>
  <c r="X234" i="248"/>
  <c r="X203" i="248"/>
  <c r="I210" i="248"/>
  <c r="X227" i="248"/>
  <c r="X240" i="248"/>
  <c r="P215" i="248"/>
  <c r="P242" i="248"/>
  <c r="P204" i="248"/>
  <c r="X224" i="248"/>
  <c r="X213" i="248"/>
  <c r="I222" i="248"/>
  <c r="P240" i="248"/>
  <c r="I197" i="248"/>
  <c r="P213" i="248"/>
  <c r="T194" i="248"/>
  <c r="X208" i="248"/>
  <c r="P220" i="248"/>
  <c r="P214" i="248"/>
  <c r="P241" i="248"/>
  <c r="X207" i="248"/>
  <c r="I204" i="248"/>
  <c r="I230" i="248"/>
  <c r="X214" i="248"/>
  <c r="X223" i="248"/>
  <c r="P221" i="248"/>
  <c r="X225" i="248"/>
  <c r="P197" i="248"/>
  <c r="P219" i="248"/>
  <c r="I211" i="248"/>
  <c r="I229" i="248"/>
  <c r="AB11" i="43"/>
  <c r="Z42" i="43"/>
  <c r="Z45" i="43"/>
  <c r="Z41" i="43"/>
  <c r="Z44" i="43"/>
  <c r="Z43" i="43"/>
  <c r="W216" i="248"/>
  <c r="W192" i="248"/>
  <c r="W217" i="248"/>
  <c r="W240" i="248"/>
  <c r="W234" i="248"/>
  <c r="W237" i="248"/>
  <c r="W241" i="248"/>
  <c r="W228" i="248"/>
  <c r="W224" i="248"/>
  <c r="W222" i="248"/>
  <c r="W218" i="248"/>
  <c r="W212" i="248"/>
  <c r="W208" i="248"/>
  <c r="W204" i="248"/>
  <c r="W200" i="248"/>
  <c r="W193" i="248"/>
  <c r="W195" i="248"/>
  <c r="W197" i="248"/>
  <c r="W199" i="248"/>
  <c r="W238" i="248"/>
  <c r="W231" i="248"/>
  <c r="W214" i="248"/>
  <c r="W206" i="248"/>
  <c r="W196" i="248"/>
  <c r="W242" i="248"/>
  <c r="W225" i="248"/>
  <c r="W219" i="248"/>
  <c r="W209" i="248"/>
  <c r="W236" i="248"/>
  <c r="W239" i="248"/>
  <c r="W227" i="248"/>
  <c r="W232" i="248"/>
  <c r="W221" i="248"/>
  <c r="W215" i="248"/>
  <c r="W211" i="248"/>
  <c r="W207" i="248"/>
  <c r="W203" i="248"/>
  <c r="W235" i="248"/>
  <c r="W226" i="248"/>
  <c r="W220" i="248"/>
  <c r="W210" i="248"/>
  <c r="W202" i="248"/>
  <c r="W194" i="248"/>
  <c r="W198" i="248"/>
  <c r="W229" i="248"/>
  <c r="W213" i="248"/>
  <c r="W201" i="248"/>
  <c r="W230" i="248"/>
  <c r="W233" i="248"/>
  <c r="W223" i="248"/>
  <c r="W205" i="248"/>
  <c r="K218" i="248"/>
  <c r="K235" i="248"/>
  <c r="K196" i="248"/>
  <c r="Y11" i="43"/>
  <c r="Y48" i="43" s="1"/>
  <c r="Y46" i="43"/>
  <c r="O57" i="43"/>
  <c r="O7" i="43" s="1"/>
  <c r="O402" i="43" s="1"/>
  <c r="S57" i="43"/>
  <c r="S7" i="43" s="1"/>
  <c r="S41" i="43" s="1"/>
  <c r="P200" i="248"/>
  <c r="P227" i="248"/>
  <c r="P231" i="248"/>
  <c r="T214" i="248"/>
  <c r="T192" i="248"/>
  <c r="T206" i="248"/>
  <c r="T208" i="248"/>
  <c r="T202" i="248"/>
  <c r="T210" i="248"/>
  <c r="T242" i="248"/>
  <c r="T237" i="248"/>
  <c r="T233" i="248"/>
  <c r="T230" i="248"/>
  <c r="T224" i="248"/>
  <c r="T220" i="248"/>
  <c r="T216" i="248"/>
  <c r="T205" i="248"/>
  <c r="T213" i="248"/>
  <c r="T212" i="248"/>
  <c r="T240" i="248"/>
  <c r="T231" i="248"/>
  <c r="T222" i="248"/>
  <c r="T201" i="248"/>
  <c r="T234" i="248"/>
  <c r="T217" i="248"/>
  <c r="T204" i="248"/>
  <c r="T241" i="248"/>
  <c r="T236" i="248"/>
  <c r="T232" i="248"/>
  <c r="T228" i="248"/>
  <c r="T223" i="248"/>
  <c r="T219" i="248"/>
  <c r="T229" i="248"/>
  <c r="T200" i="248"/>
  <c r="T207" i="248"/>
  <c r="T215" i="248"/>
  <c r="T235" i="248"/>
  <c r="T226" i="248"/>
  <c r="T227" i="248"/>
  <c r="T209" i="248"/>
  <c r="T239" i="248"/>
  <c r="T238" i="248"/>
  <c r="T221" i="248"/>
  <c r="T203" i="248"/>
  <c r="T218" i="248"/>
  <c r="T225" i="248"/>
  <c r="T211" i="248"/>
  <c r="X204" i="248"/>
  <c r="X219" i="248"/>
  <c r="X242" i="248"/>
  <c r="X200" i="248"/>
  <c r="K230" i="248"/>
  <c r="K212" i="248"/>
  <c r="X202" i="248"/>
  <c r="P239" i="248"/>
  <c r="P217" i="248"/>
  <c r="X232" i="248"/>
  <c r="X228" i="248"/>
  <c r="X231" i="248"/>
  <c r="T196" i="248"/>
  <c r="T197" i="248"/>
  <c r="K236" i="248"/>
  <c r="K221" i="248"/>
  <c r="K203" i="248"/>
  <c r="P211" i="248"/>
  <c r="P237" i="248"/>
  <c r="P216" i="248"/>
  <c r="P206" i="248"/>
  <c r="P199" i="248"/>
  <c r="P194" i="248"/>
  <c r="P212" i="248"/>
  <c r="K232" i="248"/>
  <c r="K214" i="248"/>
  <c r="K216" i="248"/>
  <c r="P236" i="248"/>
  <c r="P230" i="248"/>
  <c r="X238" i="248"/>
  <c r="K193" i="248"/>
  <c r="K197" i="248"/>
  <c r="X194" i="248"/>
  <c r="X215" i="248"/>
  <c r="X195" i="248"/>
  <c r="X211" i="248"/>
  <c r="I232" i="248"/>
  <c r="I216" i="248"/>
  <c r="I200" i="248"/>
  <c r="P222" i="248"/>
  <c r="I242" i="248"/>
  <c r="I226" i="248"/>
  <c r="I207" i="248"/>
  <c r="I194" i="248"/>
  <c r="P218" i="248"/>
  <c r="I241" i="248"/>
  <c r="I225" i="248"/>
  <c r="I206" i="248"/>
  <c r="P201" i="248"/>
  <c r="M88" i="43"/>
  <c r="M92" i="43" s="1"/>
  <c r="R62" i="43"/>
  <c r="R9" i="43" s="1"/>
  <c r="K233" i="248"/>
  <c r="K225" i="248"/>
  <c r="K207" i="248"/>
  <c r="K220" i="248"/>
  <c r="K202" i="248"/>
  <c r="Z11" i="43"/>
  <c r="Z46" i="43"/>
  <c r="L117" i="43"/>
  <c r="L118" i="43" s="1"/>
  <c r="L123" i="43" s="1"/>
  <c r="P117" i="43"/>
  <c r="T117" i="43"/>
  <c r="U131" i="43" s="1"/>
  <c r="L109" i="43"/>
  <c r="L108" i="43" s="1"/>
  <c r="P120" i="43"/>
  <c r="T120" i="43"/>
  <c r="I235" i="248"/>
  <c r="I213" i="248"/>
  <c r="I192" i="248"/>
  <c r="I228" i="248"/>
  <c r="I209" i="248"/>
  <c r="I196" i="248"/>
  <c r="I240" i="248"/>
  <c r="I224" i="248"/>
  <c r="I205" i="248"/>
  <c r="I223" i="248"/>
  <c r="I217" i="248"/>
  <c r="I201" i="248"/>
  <c r="I234" i="248"/>
  <c r="M240" i="248"/>
  <c r="M233" i="248"/>
  <c r="M227" i="248"/>
  <c r="M236" i="248"/>
  <c r="M222" i="248"/>
  <c r="M216" i="248"/>
  <c r="M219" i="248"/>
  <c r="M212" i="248"/>
  <c r="M208" i="248"/>
  <c r="M204" i="248"/>
  <c r="M200" i="248"/>
  <c r="M197" i="248"/>
  <c r="M193" i="248"/>
  <c r="M239" i="248"/>
  <c r="M230" i="248"/>
  <c r="M226" i="248"/>
  <c r="M232" i="248"/>
  <c r="M220" i="248"/>
  <c r="M231" i="248"/>
  <c r="M215" i="248"/>
  <c r="M211" i="248"/>
  <c r="M207" i="248"/>
  <c r="M203" i="248"/>
  <c r="M192" i="248"/>
  <c r="M196" i="248"/>
  <c r="M242" i="248"/>
  <c r="M237" i="248"/>
  <c r="M229" i="248"/>
  <c r="M225" i="248"/>
  <c r="M234" i="248"/>
  <c r="M218" i="248"/>
  <c r="M223" i="248"/>
  <c r="M214" i="248"/>
  <c r="M210" i="248"/>
  <c r="M206" i="248"/>
  <c r="M202" i="248"/>
  <c r="M199" i="248"/>
  <c r="M195" i="248"/>
  <c r="M228" i="248"/>
  <c r="M221" i="248"/>
  <c r="M201" i="248"/>
  <c r="M235" i="248"/>
  <c r="M238" i="248"/>
  <c r="M213" i="248"/>
  <c r="M198" i="248"/>
  <c r="M241" i="248"/>
  <c r="M224" i="248"/>
  <c r="M209" i="248"/>
  <c r="M194" i="248"/>
  <c r="M205" i="248"/>
  <c r="M217" i="248"/>
  <c r="Q222" i="248"/>
  <c r="Q238" i="248"/>
  <c r="Q233" i="248"/>
  <c r="Q234" i="248"/>
  <c r="Q227" i="248"/>
  <c r="Q221" i="248"/>
  <c r="Q215" i="248"/>
  <c r="Q211" i="248"/>
  <c r="Q207" i="248"/>
  <c r="Q203" i="248"/>
  <c r="Q220" i="248"/>
  <c r="Q199" i="248"/>
  <c r="Q195" i="248"/>
  <c r="Q242" i="248"/>
  <c r="Q239" i="248"/>
  <c r="Q232" i="248"/>
  <c r="Q230" i="248"/>
  <c r="Q226" i="248"/>
  <c r="Q219" i="248"/>
  <c r="Q214" i="248"/>
  <c r="Q210" i="248"/>
  <c r="Q206" i="248"/>
  <c r="Q202" i="248"/>
  <c r="Q218" i="248"/>
  <c r="Q198" i="248"/>
  <c r="Q194" i="248"/>
  <c r="Q241" i="248"/>
  <c r="Q237" i="248"/>
  <c r="Q231" i="248"/>
  <c r="Q229" i="248"/>
  <c r="Q225" i="248"/>
  <c r="Q217" i="248"/>
  <c r="Q213" i="248"/>
  <c r="Q209" i="248"/>
  <c r="Q205" i="248"/>
  <c r="Q201" i="248"/>
  <c r="Q192" i="248"/>
  <c r="Q197" i="248"/>
  <c r="Q193" i="248"/>
  <c r="Q235" i="248"/>
  <c r="Q216" i="248"/>
  <c r="Q200" i="248"/>
  <c r="Q240" i="248"/>
  <c r="Q204" i="248"/>
  <c r="Q236" i="248"/>
  <c r="Q212" i="248"/>
  <c r="Q224" i="248"/>
  <c r="Q228" i="248"/>
  <c r="Q196" i="248"/>
  <c r="Q223" i="248"/>
  <c r="Q208" i="248"/>
  <c r="U241" i="248"/>
  <c r="U236" i="248"/>
  <c r="U228" i="248"/>
  <c r="U224" i="248"/>
  <c r="U231" i="248"/>
  <c r="U217" i="248"/>
  <c r="U220" i="248"/>
  <c r="U213" i="248"/>
  <c r="U209" i="248"/>
  <c r="U205" i="248"/>
  <c r="U201" i="248"/>
  <c r="U198" i="248"/>
  <c r="U194" i="248"/>
  <c r="U240" i="248"/>
  <c r="U234" i="248"/>
  <c r="U227" i="248"/>
  <c r="U237" i="248"/>
  <c r="U223" i="248"/>
  <c r="U216" i="248"/>
  <c r="U218" i="248"/>
  <c r="U212" i="248"/>
  <c r="U208" i="248"/>
  <c r="U204" i="248"/>
  <c r="U200" i="248"/>
  <c r="U197" i="248"/>
  <c r="U193" i="248"/>
  <c r="U239" i="248"/>
  <c r="U230" i="248"/>
  <c r="U226" i="248"/>
  <c r="U232" i="248"/>
  <c r="U221" i="248"/>
  <c r="U233" i="248"/>
  <c r="U215" i="248"/>
  <c r="U211" i="248"/>
  <c r="U207" i="248"/>
  <c r="U203" i="248"/>
  <c r="U192" i="248"/>
  <c r="U196" i="248"/>
  <c r="U238" i="248"/>
  <c r="U219" i="248"/>
  <c r="U206" i="248"/>
  <c r="U210" i="248"/>
  <c r="U229" i="248"/>
  <c r="U222" i="248"/>
  <c r="U202" i="248"/>
  <c r="U225" i="248"/>
  <c r="U214" i="248"/>
  <c r="U199" i="248"/>
  <c r="U235" i="248"/>
  <c r="U195" i="248"/>
  <c r="U242" i="248"/>
  <c r="S194" i="43"/>
  <c r="W194" i="43"/>
  <c r="AA194" i="43"/>
  <c r="AB364" i="43"/>
  <c r="AB370" i="43" s="1"/>
  <c r="AB382" i="43"/>
  <c r="K242" i="248"/>
  <c r="K226" i="248"/>
  <c r="K208" i="248"/>
  <c r="P205" i="248"/>
  <c r="P234" i="248"/>
  <c r="P226" i="248"/>
  <c r="X222" i="248"/>
  <c r="X217" i="248"/>
  <c r="T198" i="248"/>
  <c r="T199" i="248"/>
  <c r="K241" i="248"/>
  <c r="K215" i="248"/>
  <c r="K217" i="248"/>
  <c r="P233" i="248"/>
  <c r="X235" i="248"/>
  <c r="P193" i="248"/>
  <c r="P208" i="248"/>
  <c r="P196" i="248"/>
  <c r="K228" i="248"/>
  <c r="K210" i="248"/>
  <c r="X206" i="248"/>
  <c r="P232" i="248"/>
  <c r="P229" i="248"/>
  <c r="X220" i="248"/>
  <c r="K194" i="248"/>
  <c r="K198" i="248"/>
  <c r="X196" i="248"/>
  <c r="X201" i="248"/>
  <c r="X197" i="248"/>
  <c r="I233" i="248"/>
  <c r="I212" i="248"/>
  <c r="I199" i="248"/>
  <c r="X229" i="248"/>
  <c r="I238" i="248"/>
  <c r="I220" i="248"/>
  <c r="I203" i="248"/>
  <c r="P192" i="248"/>
  <c r="X233" i="248"/>
  <c r="I236" i="248"/>
  <c r="I218" i="248"/>
  <c r="I202" i="248"/>
  <c r="P235" i="248"/>
  <c r="X237" i="248"/>
  <c r="N65" i="43"/>
  <c r="S192" i="248"/>
  <c r="S241" i="248"/>
  <c r="S235" i="248"/>
  <c r="S240" i="248"/>
  <c r="S229" i="248"/>
  <c r="S225" i="248"/>
  <c r="S222" i="248"/>
  <c r="S218" i="248"/>
  <c r="S212" i="248"/>
  <c r="S208" i="248"/>
  <c r="S239" i="248"/>
  <c r="S234" i="248"/>
  <c r="S232" i="248"/>
  <c r="S228" i="248"/>
  <c r="S238" i="248"/>
  <c r="S221" i="248"/>
  <c r="S215" i="248"/>
  <c r="S211" i="248"/>
  <c r="S207" i="248"/>
  <c r="S203" i="248"/>
  <c r="S217" i="248"/>
  <c r="S236" i="248"/>
  <c r="S230" i="248"/>
  <c r="S223" i="248"/>
  <c r="S213" i="248"/>
  <c r="S205" i="248"/>
  <c r="S200" i="248"/>
  <c r="S231" i="248"/>
  <c r="S206" i="248"/>
  <c r="S195" i="248"/>
  <c r="S199" i="248"/>
  <c r="S233" i="248"/>
  <c r="S227" i="248"/>
  <c r="S220" i="248"/>
  <c r="S210" i="248"/>
  <c r="S204" i="248"/>
  <c r="S216" i="248"/>
  <c r="S194" i="248"/>
  <c r="S196" i="248"/>
  <c r="S198" i="248"/>
  <c r="S219" i="248"/>
  <c r="S209" i="248"/>
  <c r="S202" i="248"/>
  <c r="S224" i="248"/>
  <c r="S201" i="248"/>
  <c r="S197" i="248"/>
  <c r="S226" i="248"/>
  <c r="S237" i="248"/>
  <c r="S214" i="248"/>
  <c r="S193" i="248"/>
  <c r="K200" i="248"/>
  <c r="K240" i="248"/>
  <c r="AA11" i="43"/>
  <c r="Q117" i="43"/>
  <c r="Q118" i="43" s="1"/>
  <c r="X57" i="43"/>
  <c r="X7" i="43" s="1"/>
  <c r="X43" i="43" s="1"/>
  <c r="L88" i="43"/>
  <c r="L92" i="43" s="1"/>
  <c r="M109" i="43"/>
  <c r="M112" i="43" s="1"/>
  <c r="Q120" i="43"/>
  <c r="AQ120" i="43" s="1"/>
  <c r="R242" i="248"/>
  <c r="R238" i="248"/>
  <c r="R234" i="248"/>
  <c r="R230" i="248"/>
  <c r="R226" i="248"/>
  <c r="R222" i="248"/>
  <c r="R218" i="248"/>
  <c r="R214" i="248"/>
  <c r="R210" i="248"/>
  <c r="R206" i="248"/>
  <c r="R202" i="248"/>
  <c r="R241" i="248"/>
  <c r="R237" i="248"/>
  <c r="R233" i="248"/>
  <c r="R229" i="248"/>
  <c r="R225" i="248"/>
  <c r="R221" i="248"/>
  <c r="R217" i="248"/>
  <c r="R213" i="248"/>
  <c r="R209" i="248"/>
  <c r="R205" i="248"/>
  <c r="R201" i="248"/>
  <c r="R240" i="248"/>
  <c r="R236" i="248"/>
  <c r="R232" i="248"/>
  <c r="R228" i="248"/>
  <c r="R224" i="248"/>
  <c r="R220" i="248"/>
  <c r="R216" i="248"/>
  <c r="R212" i="248"/>
  <c r="R208" i="248"/>
  <c r="R204" i="248"/>
  <c r="R239" i="248"/>
  <c r="R223" i="248"/>
  <c r="R207" i="248"/>
  <c r="R194" i="248"/>
  <c r="R198" i="248"/>
  <c r="R235" i="248"/>
  <c r="R219" i="248"/>
  <c r="R203" i="248"/>
  <c r="R193" i="248"/>
  <c r="R195" i="248"/>
  <c r="R197" i="248"/>
  <c r="R199" i="248"/>
  <c r="R192" i="248"/>
  <c r="R231" i="248"/>
  <c r="R196" i="248"/>
  <c r="R215" i="248"/>
  <c r="R227" i="248"/>
  <c r="R211" i="248"/>
  <c r="R200" i="248"/>
  <c r="V200" i="248"/>
  <c r="V240" i="248"/>
  <c r="V236" i="248"/>
  <c r="V232" i="248"/>
  <c r="V228" i="248"/>
  <c r="V222" i="248"/>
  <c r="V218" i="248"/>
  <c r="V215" i="248"/>
  <c r="V211" i="248"/>
  <c r="V207" i="248"/>
  <c r="V203" i="248"/>
  <c r="V239" i="248"/>
  <c r="V235" i="248"/>
  <c r="V231" i="248"/>
  <c r="V227" i="248"/>
  <c r="V221" i="248"/>
  <c r="V217" i="248"/>
  <c r="V214" i="248"/>
  <c r="V210" i="248"/>
  <c r="V206" i="248"/>
  <c r="V202" i="248"/>
  <c r="V242" i="248"/>
  <c r="V238" i="248"/>
  <c r="V234" i="248"/>
  <c r="V230" i="248"/>
  <c r="V226" i="248"/>
  <c r="V220" i="248"/>
  <c r="V216" i="248"/>
  <c r="V213" i="248"/>
  <c r="V209" i="248"/>
  <c r="V205" i="248"/>
  <c r="V201" i="248"/>
  <c r="V233" i="248"/>
  <c r="V225" i="248"/>
  <c r="V224" i="248"/>
  <c r="V194" i="248"/>
  <c r="V196" i="248"/>
  <c r="V198" i="248"/>
  <c r="V195" i="248"/>
  <c r="V199" i="248"/>
  <c r="V192" i="248"/>
  <c r="V229" i="248"/>
  <c r="V212" i="248"/>
  <c r="V241" i="248"/>
  <c r="V223" i="248"/>
  <c r="V208" i="248"/>
  <c r="V197" i="248"/>
  <c r="V204" i="248"/>
  <c r="V193" i="248"/>
  <c r="V237" i="248"/>
  <c r="V219" i="248"/>
  <c r="T194" i="43"/>
  <c r="X194" i="43"/>
  <c r="AB194" i="43"/>
  <c r="AA367" i="43"/>
  <c r="AA382" i="43"/>
  <c r="K237" i="248"/>
  <c r="K222" i="248"/>
  <c r="K204" i="248"/>
  <c r="X210" i="248"/>
  <c r="P238" i="248"/>
  <c r="X241" i="248"/>
  <c r="X218" i="248"/>
  <c r="P225" i="248"/>
  <c r="X226" i="248"/>
  <c r="T193" i="248"/>
  <c r="X192" i="248"/>
  <c r="K229" i="248"/>
  <c r="K211" i="248"/>
  <c r="P203" i="248"/>
  <c r="P224" i="248"/>
  <c r="X221" i="248"/>
  <c r="P195" i="248"/>
  <c r="P202" i="248"/>
  <c r="P198" i="248"/>
  <c r="K239" i="248"/>
  <c r="K224" i="248"/>
  <c r="K206" i="248"/>
  <c r="P209" i="248"/>
  <c r="P223" i="248"/>
  <c r="X239" i="248"/>
  <c r="X216" i="248"/>
  <c r="K195" i="248"/>
  <c r="X205" i="248"/>
  <c r="X198" i="248"/>
  <c r="X209" i="248"/>
  <c r="X199" i="248"/>
  <c r="I227" i="248"/>
  <c r="I208" i="248"/>
  <c r="I195" i="248"/>
  <c r="I231" i="248"/>
  <c r="I215" i="248"/>
  <c r="I221" i="248"/>
  <c r="X212" i="248"/>
  <c r="X230" i="248"/>
  <c r="I237" i="248"/>
  <c r="I214" i="248"/>
  <c r="I219" i="248"/>
  <c r="P228" i="248"/>
  <c r="I239" i="248"/>
  <c r="D258" i="248"/>
  <c r="D272" i="248" s="1"/>
  <c r="D271" i="248"/>
  <c r="D256" i="248"/>
  <c r="D270" i="248" s="1"/>
  <c r="F258" i="248"/>
  <c r="F272" i="248" s="1"/>
  <c r="F271" i="248"/>
  <c r="F256" i="248"/>
  <c r="F270" i="248" s="1"/>
  <c r="G258" i="248"/>
  <c r="G272" i="248" s="1"/>
  <c r="G271" i="248"/>
  <c r="G256" i="248"/>
  <c r="G270" i="248" s="1"/>
  <c r="E258" i="248"/>
  <c r="E272" i="248" s="1"/>
  <c r="E256" i="248"/>
  <c r="E270" i="248" s="1"/>
  <c r="E271" i="248"/>
  <c r="G2" i="248"/>
  <c r="F1" i="248"/>
  <c r="K192" i="248"/>
  <c r="K231" i="248"/>
  <c r="K213" i="248"/>
  <c r="K201" i="248"/>
  <c r="K227" i="248"/>
  <c r="K209" i="248"/>
  <c r="K219" i="248"/>
  <c r="K238" i="248"/>
  <c r="K223" i="248"/>
  <c r="K205" i="248"/>
  <c r="K234" i="248"/>
  <c r="AA90" i="248"/>
  <c r="AA124" i="248"/>
  <c r="H213" i="248"/>
  <c r="H205" i="248"/>
  <c r="H199" i="248"/>
  <c r="H197" i="248"/>
  <c r="H195" i="248"/>
  <c r="H193" i="248"/>
  <c r="H211" i="248"/>
  <c r="H203" i="248"/>
  <c r="H209" i="248"/>
  <c r="H201" i="248"/>
  <c r="H198" i="248"/>
  <c r="H196" i="248"/>
  <c r="H194" i="248"/>
  <c r="H215" i="248"/>
  <c r="H207" i="248"/>
  <c r="H208" i="248"/>
  <c r="H242" i="248"/>
  <c r="H238" i="248"/>
  <c r="H234" i="248"/>
  <c r="H224" i="248"/>
  <c r="H220" i="248"/>
  <c r="H216" i="248"/>
  <c r="H230" i="248"/>
  <c r="H214" i="248"/>
  <c r="H235" i="248"/>
  <c r="H217" i="248"/>
  <c r="H192" i="248"/>
  <c r="H206" i="248"/>
  <c r="H241" i="248"/>
  <c r="H237" i="248"/>
  <c r="H233" i="248"/>
  <c r="H223" i="248"/>
  <c r="H219" i="248"/>
  <c r="H229" i="248"/>
  <c r="H228" i="248"/>
  <c r="H202" i="248"/>
  <c r="H210" i="248"/>
  <c r="H239" i="248"/>
  <c r="H231" i="248"/>
  <c r="H225" i="248"/>
  <c r="H200" i="248"/>
  <c r="H226" i="248"/>
  <c r="H204" i="248"/>
  <c r="H212" i="248"/>
  <c r="H240" i="248"/>
  <c r="H236" i="248"/>
  <c r="H232" i="248"/>
  <c r="H222" i="248"/>
  <c r="H218" i="248"/>
  <c r="H227" i="248"/>
  <c r="H221" i="248"/>
  <c r="O217" i="248"/>
  <c r="O192" i="248"/>
  <c r="O237" i="248"/>
  <c r="O233" i="248"/>
  <c r="O229" i="248"/>
  <c r="O225" i="248"/>
  <c r="O231" i="248"/>
  <c r="O221" i="248"/>
  <c r="O215" i="248"/>
  <c r="O211" i="248"/>
  <c r="O207" i="248"/>
  <c r="O203" i="248"/>
  <c r="O230" i="248"/>
  <c r="O232" i="248"/>
  <c r="O212" i="248"/>
  <c r="O200" i="248"/>
  <c r="O195" i="248"/>
  <c r="O198" i="248"/>
  <c r="O236" i="248"/>
  <c r="O238" i="248"/>
  <c r="O228" i="248"/>
  <c r="O240" i="248"/>
  <c r="O224" i="248"/>
  <c r="O220" i="248"/>
  <c r="O214" i="248"/>
  <c r="O210" i="248"/>
  <c r="O206" i="248"/>
  <c r="O202" i="248"/>
  <c r="O234" i="248"/>
  <c r="O222" i="248"/>
  <c r="O208" i="248"/>
  <c r="O193" i="248"/>
  <c r="O197" i="248"/>
  <c r="O235" i="248"/>
  <c r="O242" i="248"/>
  <c r="O227" i="248"/>
  <c r="O239" i="248"/>
  <c r="O223" i="248"/>
  <c r="O219" i="248"/>
  <c r="O213" i="248"/>
  <c r="O209" i="248"/>
  <c r="O205" i="248"/>
  <c r="O201" i="248"/>
  <c r="O241" i="248"/>
  <c r="O226" i="248"/>
  <c r="O218" i="248"/>
  <c r="O204" i="248"/>
  <c r="O194" i="248"/>
  <c r="O196" i="248"/>
  <c r="O199" i="248"/>
  <c r="O216" i="248"/>
  <c r="AA82" i="248"/>
  <c r="AA113" i="248"/>
  <c r="AI85" i="248"/>
  <c r="AA112" i="248"/>
  <c r="AA95" i="248"/>
  <c r="AA86" i="248"/>
  <c r="AA102" i="248"/>
  <c r="AA118" i="248"/>
  <c r="AA77" i="248"/>
  <c r="AA105" i="248"/>
  <c r="N200" i="248"/>
  <c r="N241" i="248"/>
  <c r="N237" i="248"/>
  <c r="N233" i="248"/>
  <c r="N229" i="248"/>
  <c r="N224" i="248"/>
  <c r="N220" i="248"/>
  <c r="N216" i="248"/>
  <c r="N212" i="248"/>
  <c r="N208" i="248"/>
  <c r="N204" i="248"/>
  <c r="N225" i="248"/>
  <c r="N242" i="248"/>
  <c r="N234" i="248"/>
  <c r="N226" i="248"/>
  <c r="N217" i="248"/>
  <c r="N209" i="248"/>
  <c r="N205" i="248"/>
  <c r="N240" i="248"/>
  <c r="N236" i="248"/>
  <c r="N232" i="248"/>
  <c r="N228" i="248"/>
  <c r="N223" i="248"/>
  <c r="N219" i="248"/>
  <c r="N215" i="248"/>
  <c r="N211" i="248"/>
  <c r="N207" i="248"/>
  <c r="N203" i="248"/>
  <c r="N193" i="248"/>
  <c r="N194" i="248"/>
  <c r="N195" i="248"/>
  <c r="N196" i="248"/>
  <c r="N197" i="248"/>
  <c r="N198" i="248"/>
  <c r="N199" i="248"/>
  <c r="N238" i="248"/>
  <c r="N230" i="248"/>
  <c r="N221" i="248"/>
  <c r="N213" i="248"/>
  <c r="N201" i="248"/>
  <c r="N239" i="248"/>
  <c r="N235" i="248"/>
  <c r="N231" i="248"/>
  <c r="N227" i="248"/>
  <c r="N222" i="248"/>
  <c r="N218" i="248"/>
  <c r="N214" i="248"/>
  <c r="N210" i="248"/>
  <c r="N206" i="248"/>
  <c r="N202" i="248"/>
  <c r="N192" i="248"/>
  <c r="AA273" i="248"/>
  <c r="AD96" i="248"/>
  <c r="AA119" i="248"/>
  <c r="AA108" i="248"/>
  <c r="Z38" i="248"/>
  <c r="AI81" i="248"/>
  <c r="AA120" i="248"/>
  <c r="AA121" i="248"/>
  <c r="AA115" i="248"/>
  <c r="Z45" i="248"/>
  <c r="AA116" i="248"/>
  <c r="J239" i="248"/>
  <c r="J235" i="248"/>
  <c r="J231" i="248"/>
  <c r="J227" i="248"/>
  <c r="J223" i="248"/>
  <c r="J219" i="248"/>
  <c r="J215" i="248"/>
  <c r="J211" i="248"/>
  <c r="J207" i="248"/>
  <c r="J203" i="248"/>
  <c r="J193" i="248"/>
  <c r="J194" i="248"/>
  <c r="J195" i="248"/>
  <c r="J196" i="248"/>
  <c r="J197" i="248"/>
  <c r="J198" i="248"/>
  <c r="J199" i="248"/>
  <c r="J200" i="248"/>
  <c r="J236" i="248"/>
  <c r="J228" i="248"/>
  <c r="J224" i="248"/>
  <c r="J216" i="248"/>
  <c r="J208" i="248"/>
  <c r="J242" i="248"/>
  <c r="J238" i="248"/>
  <c r="J234" i="248"/>
  <c r="J230" i="248"/>
  <c r="J226" i="248"/>
  <c r="J222" i="248"/>
  <c r="J218" i="248"/>
  <c r="J214" i="248"/>
  <c r="J210" i="248"/>
  <c r="J206" i="248"/>
  <c r="J202" i="248"/>
  <c r="J240" i="248"/>
  <c r="J232" i="248"/>
  <c r="J220" i="248"/>
  <c r="J212" i="248"/>
  <c r="J204" i="248"/>
  <c r="J241" i="248"/>
  <c r="J237" i="248"/>
  <c r="J233" i="248"/>
  <c r="J229" i="248"/>
  <c r="J225" i="248"/>
  <c r="J221" i="248"/>
  <c r="J217" i="248"/>
  <c r="J213" i="248"/>
  <c r="J209" i="248"/>
  <c r="J205" i="248"/>
  <c r="J201" i="248"/>
  <c r="J192" i="248"/>
  <c r="AA79" i="248"/>
  <c r="AD92" i="248"/>
  <c r="AA75" i="248"/>
  <c r="Z125" i="248"/>
  <c r="Z187" i="248" s="1"/>
  <c r="Z189" i="248" s="1"/>
  <c r="L198" i="248"/>
  <c r="L196" i="248"/>
  <c r="L194" i="248"/>
  <c r="L199" i="248"/>
  <c r="L193" i="248"/>
  <c r="L197" i="248"/>
  <c r="L195" i="248"/>
  <c r="L215" i="248"/>
  <c r="L240" i="248"/>
  <c r="L236" i="248"/>
  <c r="L232" i="248"/>
  <c r="L225" i="248"/>
  <c r="L221" i="248"/>
  <c r="L217" i="248"/>
  <c r="L226" i="248"/>
  <c r="L202" i="248"/>
  <c r="L206" i="248"/>
  <c r="L214" i="248"/>
  <c r="L203" i="248"/>
  <c r="L211" i="248"/>
  <c r="L237" i="248"/>
  <c r="L222" i="248"/>
  <c r="L204" i="248"/>
  <c r="L212" i="248"/>
  <c r="L201" i="248"/>
  <c r="L205" i="248"/>
  <c r="L209" i="248"/>
  <c r="L213" i="248"/>
  <c r="L239" i="248"/>
  <c r="L235" i="248"/>
  <c r="L231" i="248"/>
  <c r="L224" i="248"/>
  <c r="L220" i="248"/>
  <c r="L216" i="248"/>
  <c r="L210" i="248"/>
  <c r="L207" i="248"/>
  <c r="L233" i="248"/>
  <c r="L218" i="248"/>
  <c r="L192" i="248"/>
  <c r="L242" i="248"/>
  <c r="L238" i="248"/>
  <c r="L234" i="248"/>
  <c r="L229" i="248"/>
  <c r="L223" i="248"/>
  <c r="L219" i="248"/>
  <c r="L230" i="248"/>
  <c r="L200" i="248"/>
  <c r="L241" i="248"/>
  <c r="L227" i="248"/>
  <c r="L228" i="248"/>
  <c r="L208" i="248"/>
  <c r="AA107" i="248"/>
  <c r="AA123" i="248"/>
  <c r="AA104" i="248"/>
  <c r="AA87" i="248"/>
  <c r="AA83" i="248"/>
  <c r="AA114" i="248"/>
  <c r="AA97" i="248"/>
  <c r="AA98" i="248"/>
  <c r="AA257" i="248"/>
  <c r="AA271" i="248" s="1"/>
  <c r="AB188" i="248"/>
  <c r="X180" i="248"/>
  <c r="AA122" i="248"/>
  <c r="Z52" i="248"/>
  <c r="AI103" i="248"/>
  <c r="AI99" i="248"/>
  <c r="AD88" i="248"/>
  <c r="AA106" i="248"/>
  <c r="AI101" i="248"/>
  <c r="AA80" i="248"/>
  <c r="AA78" i="248"/>
  <c r="Z8" i="248"/>
  <c r="AA94" i="248"/>
  <c r="AA110" i="248"/>
  <c r="AA93" i="248"/>
  <c r="AA117" i="248"/>
  <c r="AB259" i="248"/>
  <c r="AC185" i="248"/>
  <c r="AA91" i="248"/>
  <c r="AA111" i="248"/>
  <c r="AA84" i="248"/>
  <c r="AA76" i="248"/>
  <c r="Z6" i="248"/>
  <c r="AI109" i="248"/>
  <c r="AA100" i="248"/>
  <c r="Z30" i="248"/>
  <c r="AA89" i="248"/>
  <c r="Z271" i="248"/>
  <c r="Z258" i="248"/>
  <c r="Z272" i="248" s="1"/>
  <c r="AB355" i="43"/>
  <c r="AB357" i="43" s="1"/>
  <c r="S361" i="43"/>
  <c r="R366" i="43"/>
  <c r="R430" i="43" s="1"/>
  <c r="AB367" i="43"/>
  <c r="AC367" i="43" s="1"/>
  <c r="AD367" i="43" s="1"/>
  <c r="AE367" i="43" s="1"/>
  <c r="AF367" i="43" s="1"/>
  <c r="AG367" i="43" s="1"/>
  <c r="AH367" i="43" s="1"/>
  <c r="AI367" i="43" s="1"/>
  <c r="AJ367" i="43" s="1"/>
  <c r="AK367" i="43" s="1"/>
  <c r="AL367" i="43" s="1"/>
  <c r="AM367" i="43" s="1"/>
  <c r="V361" i="43"/>
  <c r="Z361" i="43"/>
  <c r="W361" i="43"/>
  <c r="T361" i="43"/>
  <c r="X361" i="43"/>
  <c r="X362" i="43" s="1"/>
  <c r="X363" i="43" s="1"/>
  <c r="AA364" i="43"/>
  <c r="AA377" i="43" s="1"/>
  <c r="AA361" i="43"/>
  <c r="Z371" i="43"/>
  <c r="Z370" i="43"/>
  <c r="T267" i="43"/>
  <c r="X267" i="43"/>
  <c r="AB267" i="43"/>
  <c r="Z194" i="43"/>
  <c r="N257" i="43"/>
  <c r="N270" i="43" s="1"/>
  <c r="P108" i="43"/>
  <c r="T108" i="43"/>
  <c r="X108" i="43"/>
  <c r="AB108" i="43"/>
  <c r="L198" i="43"/>
  <c r="L199" i="43" s="1"/>
  <c r="P198" i="43"/>
  <c r="P199" i="43" s="1"/>
  <c r="T198" i="43"/>
  <c r="T199" i="43" s="1"/>
  <c r="X198" i="43"/>
  <c r="X199" i="43" s="1"/>
  <c r="AB198" i="43"/>
  <c r="AB199" i="43" s="1"/>
  <c r="Q236" i="43"/>
  <c r="T257" i="43"/>
  <c r="Y400" i="43"/>
  <c r="S397" i="43"/>
  <c r="S405" i="43" s="1"/>
  <c r="Z131" i="43"/>
  <c r="R405" i="43"/>
  <c r="W130" i="43"/>
  <c r="S267" i="43"/>
  <c r="AB322" i="43"/>
  <c r="AB323" i="43" s="1"/>
  <c r="W67" i="43"/>
  <c r="Y316" i="43"/>
  <c r="P322" i="43"/>
  <c r="P323" i="43" s="1"/>
  <c r="U8" i="43"/>
  <c r="Y8" i="43"/>
  <c r="S112" i="43"/>
  <c r="W112" i="43"/>
  <c r="X145" i="43"/>
  <c r="X148" i="43" s="1"/>
  <c r="U257" i="43"/>
  <c r="N322" i="43"/>
  <c r="N323" i="43" s="1"/>
  <c r="R322" i="43"/>
  <c r="R323" i="43" s="1"/>
  <c r="V322" i="43"/>
  <c r="V323" i="43" s="1"/>
  <c r="Z322" i="43"/>
  <c r="Z323" i="43" s="1"/>
  <c r="AB415" i="43"/>
  <c r="AB433" i="43" s="1"/>
  <c r="S130" i="43"/>
  <c r="R311" i="43"/>
  <c r="O438" i="43"/>
  <c r="O440" i="43" s="1"/>
  <c r="S438" i="43"/>
  <c r="AA438" i="43"/>
  <c r="L322" i="43"/>
  <c r="L323" i="43" s="1"/>
  <c r="W7" i="43"/>
  <c r="W205" i="43" s="1"/>
  <c r="X112" i="43"/>
  <c r="N198" i="43"/>
  <c r="N199" i="43" s="1"/>
  <c r="R267" i="43"/>
  <c r="O322" i="43"/>
  <c r="O323" i="43" s="1"/>
  <c r="S322" i="43"/>
  <c r="S323" i="43" s="1"/>
  <c r="W322" i="43"/>
  <c r="W323" i="43" s="1"/>
  <c r="AA322" i="43"/>
  <c r="AA323" i="43" s="1"/>
  <c r="M64" i="43"/>
  <c r="P112" i="43"/>
  <c r="R161" i="43"/>
  <c r="M322" i="43"/>
  <c r="M323" i="43" s="1"/>
  <c r="Y322" i="43"/>
  <c r="Y323" i="43" s="1"/>
  <c r="C38" i="22"/>
  <c r="D38" i="22" s="1"/>
  <c r="U322" i="43"/>
  <c r="U323" i="43" s="1"/>
  <c r="V35" i="43"/>
  <c r="V39" i="43"/>
  <c r="T66" i="43"/>
  <c r="V108" i="43"/>
  <c r="AB112" i="43"/>
  <c r="O117" i="43"/>
  <c r="O118" i="43" s="1"/>
  <c r="AB164" i="43"/>
  <c r="AF236" i="43"/>
  <c r="W267" i="43"/>
  <c r="T311" i="43"/>
  <c r="Q161" i="43"/>
  <c r="Y161" i="43"/>
  <c r="V161" i="43"/>
  <c r="Z161" i="43"/>
  <c r="Q322" i="43"/>
  <c r="Q323" i="43" s="1"/>
  <c r="R39" i="43"/>
  <c r="Z39" i="43"/>
  <c r="R108" i="43"/>
  <c r="Z108" i="43"/>
  <c r="T112" i="43"/>
  <c r="O403" i="43"/>
  <c r="P57" i="43"/>
  <c r="P7" i="43" s="1"/>
  <c r="P47" i="43" s="1"/>
  <c r="Q62" i="43"/>
  <c r="Q9" i="43" s="1"/>
  <c r="AB67" i="43"/>
  <c r="L65" i="43"/>
  <c r="AA130" i="43"/>
  <c r="S117" i="43"/>
  <c r="U400" i="43"/>
  <c r="S257" i="43"/>
  <c r="AA316" i="43"/>
  <c r="T322" i="43"/>
  <c r="T323" i="43" s="1"/>
  <c r="X322" i="43"/>
  <c r="X323" i="43" s="1"/>
  <c r="X366" i="43"/>
  <c r="X66" i="43"/>
  <c r="R198" i="43"/>
  <c r="R199" i="43" s="1"/>
  <c r="V198" i="43"/>
  <c r="V199" i="43" s="1"/>
  <c r="O236" i="43"/>
  <c r="S236" i="43"/>
  <c r="W236" i="43"/>
  <c r="AA236" i="43"/>
  <c r="AE236" i="43"/>
  <c r="U311" i="43"/>
  <c r="P445" i="43"/>
  <c r="Q57" i="43"/>
  <c r="Q7" i="43" s="1"/>
  <c r="Q402" i="43" s="1"/>
  <c r="Y145" i="43"/>
  <c r="Y148" i="43" s="1"/>
  <c r="AD236" i="43"/>
  <c r="AH236" i="43"/>
  <c r="X311" i="43"/>
  <c r="N88" i="43"/>
  <c r="N92" i="43" s="1"/>
  <c r="O112" i="43"/>
  <c r="T130" i="43"/>
  <c r="R120" i="43"/>
  <c r="S39" i="43"/>
  <c r="W39" i="43"/>
  <c r="AA39" i="43"/>
  <c r="U83" i="43"/>
  <c r="U84" i="43" s="1"/>
  <c r="U87" i="43"/>
  <c r="Q87" i="43"/>
  <c r="Y92" i="43"/>
  <c r="Q92" i="43"/>
  <c r="AE102" i="43"/>
  <c r="R104" i="43"/>
  <c r="R105" i="43" s="1"/>
  <c r="Z104" i="43"/>
  <c r="Z105" i="43" s="1"/>
  <c r="W111" i="43"/>
  <c r="AA112" i="43"/>
  <c r="U161" i="43"/>
  <c r="O198" i="43"/>
  <c r="O199" i="43" s="1"/>
  <c r="S198" i="43"/>
  <c r="S199" i="43" s="1"/>
  <c r="W198" i="43"/>
  <c r="W199" i="43" s="1"/>
  <c r="AA198" i="43"/>
  <c r="AA199" i="43" s="1"/>
  <c r="AP251" i="43"/>
  <c r="Y257" i="43"/>
  <c r="V267" i="43"/>
  <c r="Z267" i="43"/>
  <c r="M351" i="43"/>
  <c r="M353" i="43" s="1"/>
  <c r="M338" i="43" s="1"/>
  <c r="M299" i="43"/>
  <c r="M306" i="43" s="1"/>
  <c r="M311" i="43" s="1"/>
  <c r="M312" i="43" s="1"/>
  <c r="N61" i="43"/>
  <c r="S111" i="43"/>
  <c r="P130" i="43"/>
  <c r="AB130" i="43"/>
  <c r="AB9" i="43"/>
  <c r="Z35" i="43"/>
  <c r="T39" i="43"/>
  <c r="X39" i="43"/>
  <c r="V41" i="43"/>
  <c r="V43" i="43"/>
  <c r="M117" i="43"/>
  <c r="M57" i="43"/>
  <c r="M7" i="43" s="1"/>
  <c r="M47" i="43" s="1"/>
  <c r="T57" i="43"/>
  <c r="T7" i="43" s="1"/>
  <c r="T43" i="43" s="1"/>
  <c r="W83" i="43"/>
  <c r="W84" i="43" s="1"/>
  <c r="Y87" i="43"/>
  <c r="U92" i="43"/>
  <c r="W118" i="43"/>
  <c r="W119" i="43" s="1"/>
  <c r="W122" i="43" s="1"/>
  <c r="AA145" i="43"/>
  <c r="AA148" i="43" s="1"/>
  <c r="V194" i="43"/>
  <c r="U194" i="43"/>
  <c r="L270" i="43"/>
  <c r="AA267" i="43"/>
  <c r="Q299" i="43"/>
  <c r="Q306" i="43" s="1"/>
  <c r="Q311" i="43" s="1"/>
  <c r="P438" i="43"/>
  <c r="P440" i="43" s="1"/>
  <c r="T438" i="43"/>
  <c r="T439" i="43" s="1"/>
  <c r="AB438" i="43"/>
  <c r="AB440" i="43" s="1"/>
  <c r="Q405" i="43"/>
  <c r="AC421" i="43"/>
  <c r="AC426" i="43" s="1"/>
  <c r="V42" i="43"/>
  <c r="X130" i="43"/>
  <c r="V44" i="43"/>
  <c r="L57" i="43"/>
  <c r="L7" i="43" s="1"/>
  <c r="L47" i="43" s="1"/>
  <c r="AA67" i="43"/>
  <c r="P66" i="43"/>
  <c r="O92" i="43"/>
  <c r="S92" i="43"/>
  <c r="W92" i="43"/>
  <c r="AA92" i="43"/>
  <c r="V104" i="43"/>
  <c r="V105" i="43" s="1"/>
  <c r="R112" i="43"/>
  <c r="V112" i="43"/>
  <c r="Z112" i="43"/>
  <c r="O130" i="43"/>
  <c r="W145" i="43"/>
  <c r="W148" i="43" s="1"/>
  <c r="AB145" i="43"/>
  <c r="AB148" i="43" s="1"/>
  <c r="Y194" i="43"/>
  <c r="Z198" i="43"/>
  <c r="Z199" i="43" s="1"/>
  <c r="Q257" i="43"/>
  <c r="N299" i="43"/>
  <c r="N306" i="43" s="1"/>
  <c r="N311" i="43" s="1"/>
  <c r="S311" i="43"/>
  <c r="W311" i="43"/>
  <c r="Y90" i="43"/>
  <c r="O108" i="43"/>
  <c r="S108" i="43"/>
  <c r="W108" i="43"/>
  <c r="AA108" i="43"/>
  <c r="T111" i="43"/>
  <c r="AB111" i="43"/>
  <c r="V131" i="43"/>
  <c r="AA118" i="43"/>
  <c r="AA131" i="43"/>
  <c r="S161" i="43"/>
  <c r="W161" i="43"/>
  <c r="AA161" i="43"/>
  <c r="M198" i="43"/>
  <c r="M199" i="43" s="1"/>
  <c r="Q198" i="43"/>
  <c r="Q199" i="43" s="1"/>
  <c r="U198" i="43"/>
  <c r="U199" i="43" s="1"/>
  <c r="Y198" i="43"/>
  <c r="Y199" i="43" s="1"/>
  <c r="R400" i="43"/>
  <c r="R257" i="43"/>
  <c r="Q267" i="43"/>
  <c r="U267" i="43"/>
  <c r="Y267" i="43"/>
  <c r="Z67" i="43"/>
  <c r="Z9" i="43"/>
  <c r="N117" i="43"/>
  <c r="N57" i="43"/>
  <c r="N7" i="43" s="1"/>
  <c r="N47" i="43" s="1"/>
  <c r="R117" i="43"/>
  <c r="R57" i="43"/>
  <c r="R7" i="43" s="1"/>
  <c r="U402" i="43"/>
  <c r="U205" i="43"/>
  <c r="U44" i="43"/>
  <c r="U43" i="43"/>
  <c r="U42" i="43"/>
  <c r="U41" i="43"/>
  <c r="U45" i="43"/>
  <c r="R66" i="43"/>
  <c r="U108" i="43"/>
  <c r="Q112" i="43"/>
  <c r="Q111" i="43"/>
  <c r="U112" i="43"/>
  <c r="U111" i="43"/>
  <c r="Y112" i="43"/>
  <c r="Y111" i="43"/>
  <c r="Y19" i="43"/>
  <c r="L64" i="43"/>
  <c r="V67" i="43"/>
  <c r="V9" i="43"/>
  <c r="W131" i="43"/>
  <c r="S29" i="43"/>
  <c r="S34" i="43"/>
  <c r="S35" i="43" s="1"/>
  <c r="AB35" i="43"/>
  <c r="AA35" i="43"/>
  <c r="U39" i="43"/>
  <c r="Y39" i="43"/>
  <c r="O66" i="43"/>
  <c r="O120" i="43"/>
  <c r="O62" i="43"/>
  <c r="S66" i="43"/>
  <c r="S120" i="43"/>
  <c r="S62" i="43"/>
  <c r="N130" i="43"/>
  <c r="N83" i="43"/>
  <c r="N84" i="43" s="1"/>
  <c r="R130" i="43"/>
  <c r="R83" i="43"/>
  <c r="R84" i="43" s="1"/>
  <c r="R92" i="43"/>
  <c r="R87" i="43"/>
  <c r="V130" i="43"/>
  <c r="V83" i="43"/>
  <c r="V84" i="43" s="1"/>
  <c r="V92" i="43"/>
  <c r="V87" i="43"/>
  <c r="Z130" i="43"/>
  <c r="Z83" i="43"/>
  <c r="Z84" i="43" s="1"/>
  <c r="Z92" i="43"/>
  <c r="Z87" i="43"/>
  <c r="Y108" i="43"/>
  <c r="L236" i="43"/>
  <c r="M236" i="43"/>
  <c r="P236" i="43"/>
  <c r="T236" i="43"/>
  <c r="U236" i="43"/>
  <c r="X236" i="43"/>
  <c r="Y236" i="43"/>
  <c r="AB236" i="43"/>
  <c r="AC236" i="43"/>
  <c r="AG236" i="43"/>
  <c r="J3" i="43"/>
  <c r="AB39" i="43"/>
  <c r="AC38" i="43"/>
  <c r="AD38" i="43" s="1"/>
  <c r="AE38" i="43" s="1"/>
  <c r="AF38" i="43" s="1"/>
  <c r="AG38" i="43" s="1"/>
  <c r="AH38" i="43" s="1"/>
  <c r="AI38" i="43" s="1"/>
  <c r="AJ38" i="43" s="1"/>
  <c r="AK38" i="43" s="1"/>
  <c r="AL38" i="43" s="1"/>
  <c r="AM38" i="43" s="1"/>
  <c r="Y402" i="43"/>
  <c r="Y44" i="43"/>
  <c r="Y43" i="43"/>
  <c r="Y42" i="43"/>
  <c r="Y41" i="43"/>
  <c r="Y205" i="43"/>
  <c r="Y45" i="43"/>
  <c r="M61" i="43"/>
  <c r="M65" i="43"/>
  <c r="AC81" i="43"/>
  <c r="Q108" i="43"/>
  <c r="U19" i="43"/>
  <c r="W29" i="43"/>
  <c r="W34" i="43"/>
  <c r="W35" i="43" s="1"/>
  <c r="U67" i="43"/>
  <c r="Y67" i="43"/>
  <c r="P92" i="43"/>
  <c r="P87" i="43"/>
  <c r="P90" i="43"/>
  <c r="T92" i="43"/>
  <c r="T87" i="43"/>
  <c r="T90" i="43"/>
  <c r="X92" i="43"/>
  <c r="X87" i="43"/>
  <c r="X90" i="43"/>
  <c r="AB92" i="43"/>
  <c r="AB87" i="43"/>
  <c r="AB90" i="43"/>
  <c r="M130" i="43"/>
  <c r="Q130" i="43"/>
  <c r="U130" i="43"/>
  <c r="U118" i="43"/>
  <c r="U123" i="43" s="1"/>
  <c r="Y130" i="43"/>
  <c r="Y118" i="43"/>
  <c r="W316" i="43"/>
  <c r="R338" i="43"/>
  <c r="S355" i="43"/>
  <c r="S357" i="43" s="1"/>
  <c r="R354" i="43"/>
  <c r="T29" i="43"/>
  <c r="X29" i="43"/>
  <c r="T34" i="43"/>
  <c r="U35" i="43" s="1"/>
  <c r="X34" i="43"/>
  <c r="L61" i="43"/>
  <c r="AP61" i="43" s="1"/>
  <c r="N64" i="43"/>
  <c r="Q66" i="43"/>
  <c r="O90" i="43"/>
  <c r="S90" i="43"/>
  <c r="W90" i="43"/>
  <c r="AA90" i="43"/>
  <c r="N109" i="43"/>
  <c r="X117" i="43"/>
  <c r="X118" i="43" s="1"/>
  <c r="AB118" i="43"/>
  <c r="AB131" i="43"/>
  <c r="T161" i="43"/>
  <c r="X161" i="43"/>
  <c r="AB161" i="43"/>
  <c r="P398" i="43"/>
  <c r="P257" i="43"/>
  <c r="P270" i="43" s="1"/>
  <c r="V398" i="43"/>
  <c r="V400" i="43" s="1"/>
  <c r="V257" i="43"/>
  <c r="Z398" i="43"/>
  <c r="Z400" i="43" s="1"/>
  <c r="Z257" i="43"/>
  <c r="N445" i="43"/>
  <c r="N444" i="43"/>
  <c r="N281" i="43"/>
  <c r="N290" i="43" s="1"/>
  <c r="N451" i="43" s="1"/>
  <c r="R445" i="43"/>
  <c r="R444" i="43"/>
  <c r="R281" i="43"/>
  <c r="O351" i="43"/>
  <c r="O353" i="43" s="1"/>
  <c r="O299" i="43"/>
  <c r="O306" i="43" s="1"/>
  <c r="O311" i="43" s="1"/>
  <c r="Y445" i="43"/>
  <c r="Y444" i="43"/>
  <c r="Y351" i="43"/>
  <c r="Y353" i="43" s="1"/>
  <c r="W445" i="43"/>
  <c r="W444" i="43"/>
  <c r="W438" i="43"/>
  <c r="U339" i="43"/>
  <c r="Q29" i="43"/>
  <c r="AQ29" i="43" s="1"/>
  <c r="U29" i="43"/>
  <c r="P62" i="43"/>
  <c r="T62" i="43"/>
  <c r="O87" i="43"/>
  <c r="S87" i="43"/>
  <c r="W87" i="43"/>
  <c r="AA87" i="43"/>
  <c r="P104" i="43"/>
  <c r="P105" i="43" s="1"/>
  <c r="T104" i="43"/>
  <c r="T105" i="43" s="1"/>
  <c r="X104" i="43"/>
  <c r="X105" i="43" s="1"/>
  <c r="AB104" i="43"/>
  <c r="AB105" i="43" s="1"/>
  <c r="R111" i="43"/>
  <c r="V111" i="43"/>
  <c r="Z111" i="43"/>
  <c r="Z164" i="43"/>
  <c r="Z145" i="43"/>
  <c r="Z148" i="43" s="1"/>
  <c r="N314" i="43"/>
  <c r="AA354" i="43"/>
  <c r="Z316" i="43"/>
  <c r="V402" i="43"/>
  <c r="V205" i="43"/>
  <c r="Z402" i="43"/>
  <c r="Z205" i="43"/>
  <c r="R29" i="43"/>
  <c r="V29" i="43"/>
  <c r="V118" i="43"/>
  <c r="V119" i="43" s="1"/>
  <c r="V122" i="43" s="1"/>
  <c r="Z118" i="43"/>
  <c r="Z119" i="43" s="1"/>
  <c r="Z122" i="43" s="1"/>
  <c r="M270" i="43"/>
  <c r="Q354" i="43"/>
  <c r="R314" i="43"/>
  <c r="T366" i="43"/>
  <c r="U361" i="43"/>
  <c r="Y361" i="43"/>
  <c r="N236" i="43"/>
  <c r="R236" i="43"/>
  <c r="V236" i="43"/>
  <c r="Z236" i="43"/>
  <c r="O445" i="43"/>
  <c r="O444" i="43"/>
  <c r="S445" i="43"/>
  <c r="S444" i="43"/>
  <c r="Z338" i="43"/>
  <c r="Z445" i="43"/>
  <c r="Z444" i="43"/>
  <c r="Z299" i="43"/>
  <c r="Z306" i="43" s="1"/>
  <c r="Z311" i="43" s="1"/>
  <c r="L440" i="43"/>
  <c r="L439" i="43"/>
  <c r="X444" i="43"/>
  <c r="X438" i="43"/>
  <c r="X445" i="43"/>
  <c r="O314" i="43"/>
  <c r="S314" i="43"/>
  <c r="X316" i="43"/>
  <c r="AB316" i="43"/>
  <c r="W339" i="43"/>
  <c r="X354" i="43"/>
  <c r="X338" i="43"/>
  <c r="O400" i="43"/>
  <c r="P397" i="43"/>
  <c r="S403" i="43"/>
  <c r="T397" i="43"/>
  <c r="T405" i="43" s="1"/>
  <c r="W400" i="43"/>
  <c r="X397" i="43"/>
  <c r="X405" i="43" s="1"/>
  <c r="AA400" i="43"/>
  <c r="AA403" i="43"/>
  <c r="AB397" i="43"/>
  <c r="AB405" i="43" s="1"/>
  <c r="W403" i="43"/>
  <c r="O257" i="43"/>
  <c r="O270" i="43" s="1"/>
  <c r="W257" i="43"/>
  <c r="AA257" i="43"/>
  <c r="L444" i="43"/>
  <c r="L445" i="43"/>
  <c r="P444" i="43"/>
  <c r="T444" i="43"/>
  <c r="T445" i="43"/>
  <c r="AA445" i="43"/>
  <c r="AA444" i="43"/>
  <c r="AB444" i="43"/>
  <c r="AB445" i="43"/>
  <c r="AA299" i="43"/>
  <c r="AA306" i="43" s="1"/>
  <c r="AA311" i="43" s="1"/>
  <c r="M439" i="43"/>
  <c r="M440" i="43"/>
  <c r="Q438" i="43"/>
  <c r="U438" i="43"/>
  <c r="Y438" i="43"/>
  <c r="AC307" i="43"/>
  <c r="AD307" i="43" s="1"/>
  <c r="AE307" i="43" s="1"/>
  <c r="AF307" i="43" s="1"/>
  <c r="AG307" i="43" s="1"/>
  <c r="AH307" i="43" s="1"/>
  <c r="AI307" i="43" s="1"/>
  <c r="AJ307" i="43" s="1"/>
  <c r="AK307" i="43" s="1"/>
  <c r="AL307" i="43" s="1"/>
  <c r="AM307" i="43" s="1"/>
  <c r="L314" i="43"/>
  <c r="P314" i="43"/>
  <c r="T314" i="43"/>
  <c r="T354" i="43"/>
  <c r="T338" i="43"/>
  <c r="T355" i="43"/>
  <c r="T357" i="43" s="1"/>
  <c r="S354" i="43"/>
  <c r="Q355" i="43"/>
  <c r="X257" i="43"/>
  <c r="AB257" i="43"/>
  <c r="M445" i="43"/>
  <c r="M444" i="43"/>
  <c r="Q445" i="43"/>
  <c r="U445" i="43"/>
  <c r="U444" i="43"/>
  <c r="O281" i="43"/>
  <c r="O290" i="43" s="1"/>
  <c r="O451" i="43" s="1"/>
  <c r="S281" i="43"/>
  <c r="N338" i="43"/>
  <c r="V445" i="43"/>
  <c r="V444" i="43"/>
  <c r="V351" i="43"/>
  <c r="V353" i="43" s="1"/>
  <c r="AC296" i="43"/>
  <c r="AD296" i="43" s="1"/>
  <c r="AE296" i="43" s="1"/>
  <c r="AF296" i="43" s="1"/>
  <c r="AG296" i="43" s="1"/>
  <c r="AH296" i="43" s="1"/>
  <c r="AI296" i="43" s="1"/>
  <c r="AJ296" i="43" s="1"/>
  <c r="AK296" i="43" s="1"/>
  <c r="AL296" i="43" s="1"/>
  <c r="AM296" i="43" s="1"/>
  <c r="L299" i="43"/>
  <c r="L306" i="43" s="1"/>
  <c r="L311" i="43" s="1"/>
  <c r="L312" i="43" s="1"/>
  <c r="P299" i="43"/>
  <c r="P306" i="43" s="1"/>
  <c r="P311" i="43" s="1"/>
  <c r="P312" i="43" s="1"/>
  <c r="AB299" i="43"/>
  <c r="AB306" i="43" s="1"/>
  <c r="AB311" i="43" s="1"/>
  <c r="N438" i="43"/>
  <c r="R438" i="43"/>
  <c r="V438" i="43"/>
  <c r="Z438" i="43"/>
  <c r="M314" i="43"/>
  <c r="Q314" i="43"/>
  <c r="U314" i="43"/>
  <c r="S339" i="43"/>
  <c r="U354" i="43"/>
  <c r="AB354" i="43"/>
  <c r="X355" i="43"/>
  <c r="X357" i="43" s="1"/>
  <c r="W354" i="43"/>
  <c r="U355" i="43"/>
  <c r="U357" i="43" s="1"/>
  <c r="S366" i="43"/>
  <c r="W366" i="43"/>
  <c r="W367" i="43"/>
  <c r="V367" i="43" s="1"/>
  <c r="S433" i="43"/>
  <c r="Q444" i="43"/>
  <c r="U366" i="43"/>
  <c r="Y366" i="43"/>
  <c r="P403" i="43"/>
  <c r="X403" i="43"/>
  <c r="AB414" i="43"/>
  <c r="AB427" i="43" s="1"/>
  <c r="V366" i="43"/>
  <c r="Z366" i="43"/>
  <c r="Q403" i="43"/>
  <c r="U403" i="43"/>
  <c r="Y403" i="43"/>
  <c r="S421" i="43"/>
  <c r="R403" i="43"/>
  <c r="V403" i="43"/>
  <c r="Z403" i="43"/>
  <c r="T403" i="43"/>
  <c r="AB403" i="43"/>
  <c r="AC403" i="43" s="1"/>
  <c r="S415" i="43"/>
  <c r="AA419" i="43"/>
  <c r="AB419" i="43"/>
  <c r="C12" i="22"/>
  <c r="C14" i="22"/>
  <c r="V404" i="43" l="1"/>
  <c r="L338" i="43"/>
  <c r="L354" i="43"/>
  <c r="AA41" i="43"/>
  <c r="O355" i="43"/>
  <c r="U91" i="43"/>
  <c r="AP90" i="43"/>
  <c r="Q91" i="43"/>
  <c r="AG112" i="43"/>
  <c r="AQ90" i="43"/>
  <c r="AP109" i="43"/>
  <c r="P338" i="43"/>
  <c r="AA45" i="43"/>
  <c r="Q338" i="43"/>
  <c r="Q339" i="43" s="1"/>
  <c r="V315" i="43"/>
  <c r="V450" i="43"/>
  <c r="U365" i="43"/>
  <c r="U450" i="43"/>
  <c r="W315" i="43"/>
  <c r="W450" i="43"/>
  <c r="AA48" i="43"/>
  <c r="Z315" i="43"/>
  <c r="Z450" i="43"/>
  <c r="Y365" i="43"/>
  <c r="Y450" i="43"/>
  <c r="Z48" i="43"/>
  <c r="AA402" i="43"/>
  <c r="AA42" i="43"/>
  <c r="AA205" i="43"/>
  <c r="AA450" i="43" s="1"/>
  <c r="AA46" i="43"/>
  <c r="AA43" i="43"/>
  <c r="AA8" i="43"/>
  <c r="AA206" i="43" s="1"/>
  <c r="AP11" i="43"/>
  <c r="AB48" i="43"/>
  <c r="AC213" i="43"/>
  <c r="AC242" i="43" s="1"/>
  <c r="AC433" i="43"/>
  <c r="AA19" i="43"/>
  <c r="U189" i="43"/>
  <c r="AC130" i="43"/>
  <c r="AD130" i="43" s="1"/>
  <c r="AE130" i="43" s="1"/>
  <c r="AF130" i="43" s="1"/>
  <c r="AG130" i="43" s="1"/>
  <c r="AH130" i="43" s="1"/>
  <c r="AI130" i="43" s="1"/>
  <c r="AJ130" i="43" s="1"/>
  <c r="AK130" i="43" s="1"/>
  <c r="AL130" i="43" s="1"/>
  <c r="AM130" i="43" s="1"/>
  <c r="D12" i="22"/>
  <c r="Y206" i="43"/>
  <c r="Y207" i="43" s="1"/>
  <c r="U206" i="43"/>
  <c r="U207" i="43" s="1"/>
  <c r="AB42" i="43"/>
  <c r="AB402" i="43"/>
  <c r="AA312" i="43"/>
  <c r="AB44" i="43"/>
  <c r="AB43" i="43"/>
  <c r="AB41" i="43"/>
  <c r="AB205" i="43"/>
  <c r="AC119" i="43"/>
  <c r="AP117" i="43"/>
  <c r="AP111" i="43"/>
  <c r="AB123" i="43"/>
  <c r="AP118" i="43"/>
  <c r="AB19" i="43"/>
  <c r="AA123" i="43"/>
  <c r="AQ118" i="43"/>
  <c r="AP57" i="43"/>
  <c r="AQ117" i="43"/>
  <c r="AQ57" i="43"/>
  <c r="AQ62" i="43"/>
  <c r="AQ111" i="43"/>
  <c r="AQ9" i="43"/>
  <c r="AD117" i="43"/>
  <c r="AE117" i="43" s="1"/>
  <c r="AB45" i="43"/>
  <c r="AP7" i="43"/>
  <c r="R188" i="43"/>
  <c r="R189" i="43" s="1"/>
  <c r="AQ7" i="43"/>
  <c r="T189" i="43"/>
  <c r="AD266" i="43"/>
  <c r="T312" i="43"/>
  <c r="AB312" i="43"/>
  <c r="W188" i="43"/>
  <c r="AB188" i="43"/>
  <c r="AC188" i="43" s="1"/>
  <c r="V188" i="43"/>
  <c r="Z188" i="43"/>
  <c r="Y188" i="43"/>
  <c r="AA188" i="43"/>
  <c r="X188" i="43"/>
  <c r="S43" i="43"/>
  <c r="R404" i="43"/>
  <c r="W312" i="43"/>
  <c r="Y312" i="43"/>
  <c r="Z312" i="43"/>
  <c r="V312" i="43"/>
  <c r="U312" i="43"/>
  <c r="Q312" i="43"/>
  <c r="M87" i="43"/>
  <c r="X312" i="43"/>
  <c r="X44" i="43"/>
  <c r="AA439" i="43"/>
  <c r="S290" i="43"/>
  <c r="S451" i="43" s="1"/>
  <c r="Z404" i="43"/>
  <c r="R290" i="43"/>
  <c r="R451" i="43" s="1"/>
  <c r="S439" i="43"/>
  <c r="W287" i="248"/>
  <c r="AA91" i="43"/>
  <c r="S287" i="248"/>
  <c r="W91" i="43"/>
  <c r="X287" i="248"/>
  <c r="AD477" i="43" s="1"/>
  <c r="AB91" i="43"/>
  <c r="O47" i="43"/>
  <c r="M305" i="248"/>
  <c r="N305" i="248"/>
  <c r="N296" i="248"/>
  <c r="O287" i="248"/>
  <c r="S91" i="43"/>
  <c r="L287" i="248"/>
  <c r="P91" i="43"/>
  <c r="U287" i="248"/>
  <c r="V296" i="248" s="1"/>
  <c r="Y91" i="43"/>
  <c r="Z91" i="43"/>
  <c r="T287" i="248"/>
  <c r="X91" i="43"/>
  <c r="K287" i="248"/>
  <c r="O91" i="43"/>
  <c r="P287" i="248"/>
  <c r="Q296" i="248" s="1"/>
  <c r="T91" i="43"/>
  <c r="Q305" i="248"/>
  <c r="R305" i="248"/>
  <c r="R296" i="248"/>
  <c r="V305" i="248"/>
  <c r="AI152" i="248"/>
  <c r="AI29" i="248" s="1"/>
  <c r="AH29" i="248"/>
  <c r="AH33" i="248"/>
  <c r="AI156" i="248"/>
  <c r="AI33" i="248" s="1"/>
  <c r="AH31" i="248"/>
  <c r="AI154" i="248"/>
  <c r="AI31" i="248" s="1"/>
  <c r="AH39" i="248"/>
  <c r="AI162" i="248"/>
  <c r="AI39" i="248" s="1"/>
  <c r="AB210" i="43"/>
  <c r="AB47" i="43"/>
  <c r="AA210" i="43"/>
  <c r="AA47" i="43"/>
  <c r="Z210" i="43"/>
  <c r="Z47" i="43"/>
  <c r="Y210" i="43"/>
  <c r="Y47" i="43"/>
  <c r="Q119" i="43"/>
  <c r="Q122" i="43" s="1"/>
  <c r="AB372" i="43"/>
  <c r="AC372" i="43" s="1"/>
  <c r="AD372" i="43" s="1"/>
  <c r="AE372" i="43" s="1"/>
  <c r="AF372" i="43" s="1"/>
  <c r="AG372" i="43" s="1"/>
  <c r="AH372" i="43" s="1"/>
  <c r="AI372" i="43" s="1"/>
  <c r="AJ372" i="43" s="1"/>
  <c r="AK372" i="43" s="1"/>
  <c r="AL372" i="43" s="1"/>
  <c r="AM372" i="43" s="1"/>
  <c r="AC361" i="43"/>
  <c r="AC362" i="43" s="1"/>
  <c r="AC380" i="43" s="1"/>
  <c r="T118" i="43"/>
  <c r="T121" i="43" s="1"/>
  <c r="AA366" i="43"/>
  <c r="AA430" i="43" s="1"/>
  <c r="L87" i="43"/>
  <c r="AB366" i="43"/>
  <c r="AB430" i="43" s="1"/>
  <c r="M131" i="43"/>
  <c r="AB377" i="43"/>
  <c r="AC377" i="43" s="1"/>
  <c r="AD377" i="43" s="1"/>
  <c r="AE377" i="43" s="1"/>
  <c r="AF377" i="43" s="1"/>
  <c r="AG377" i="43" s="1"/>
  <c r="AH377" i="43" s="1"/>
  <c r="AI377" i="43" s="1"/>
  <c r="AJ377" i="43" s="1"/>
  <c r="AK377" i="43" s="1"/>
  <c r="AL377" i="43" s="1"/>
  <c r="AM377" i="43" s="1"/>
  <c r="AB356" i="43"/>
  <c r="AB358" i="43" s="1"/>
  <c r="S440" i="43"/>
  <c r="Q131" i="43"/>
  <c r="V11" i="43"/>
  <c r="V46" i="43"/>
  <c r="Q11" i="43"/>
  <c r="Q46" i="43"/>
  <c r="P118" i="43"/>
  <c r="P121" i="43" s="1"/>
  <c r="X11" i="43"/>
  <c r="X46" i="43"/>
  <c r="X45" i="43"/>
  <c r="Y13" i="43"/>
  <c r="Y15" i="43" s="1"/>
  <c r="S44" i="43"/>
  <c r="M108" i="43"/>
  <c r="Z372" i="43"/>
  <c r="Z382" i="43"/>
  <c r="R11" i="43"/>
  <c r="R48" i="43" s="1"/>
  <c r="R46" i="43"/>
  <c r="AA13" i="43"/>
  <c r="L62" i="43"/>
  <c r="T11" i="43"/>
  <c r="T46" i="43"/>
  <c r="X19" i="43"/>
  <c r="M62" i="43"/>
  <c r="M9" i="43" s="1"/>
  <c r="M48" i="43" s="1"/>
  <c r="L112" i="43"/>
  <c r="X67" i="43"/>
  <c r="S45" i="43"/>
  <c r="X41" i="43"/>
  <c r="X42" i="43"/>
  <c r="N120" i="43"/>
  <c r="P205" i="43"/>
  <c r="P450" i="43" s="1"/>
  <c r="P46" i="43"/>
  <c r="AA362" i="43"/>
  <c r="AA379" i="43" s="1"/>
  <c r="O205" i="43"/>
  <c r="O450" i="43" s="1"/>
  <c r="O46" i="43"/>
  <c r="U11" i="43"/>
  <c r="U48" i="43" s="1"/>
  <c r="U46" i="43"/>
  <c r="N205" i="43"/>
  <c r="N46" i="43"/>
  <c r="X402" i="43"/>
  <c r="S402" i="43"/>
  <c r="X8" i="43"/>
  <c r="W11" i="43"/>
  <c r="W48" i="43" s="1"/>
  <c r="W46" i="43"/>
  <c r="X205" i="43"/>
  <c r="S11" i="43"/>
  <c r="S46" i="43"/>
  <c r="S42" i="43"/>
  <c r="S205" i="43"/>
  <c r="L205" i="43"/>
  <c r="L450" i="43" s="1"/>
  <c r="L46" i="43"/>
  <c r="M205" i="43"/>
  <c r="M450" i="43" s="1"/>
  <c r="M46" i="43"/>
  <c r="H2" i="248"/>
  <c r="G1" i="248"/>
  <c r="AB84" i="248"/>
  <c r="AB91" i="248"/>
  <c r="AB273" i="248"/>
  <c r="AB117" i="248"/>
  <c r="AB98" i="248"/>
  <c r="AA6" i="248"/>
  <c r="AB76" i="248"/>
  <c r="AB110" i="248"/>
  <c r="AB78" i="248"/>
  <c r="AA8" i="248"/>
  <c r="AB80" i="248"/>
  <c r="AB122" i="248"/>
  <c r="AB257" i="248"/>
  <c r="AB271" i="248" s="1"/>
  <c r="AC188" i="248"/>
  <c r="AB97" i="248"/>
  <c r="AB115" i="248"/>
  <c r="AA45" i="248"/>
  <c r="AB105" i="248"/>
  <c r="AB118" i="248"/>
  <c r="AB86" i="248"/>
  <c r="AB100" i="248"/>
  <c r="AB82" i="248"/>
  <c r="AB89" i="248"/>
  <c r="AB111" i="248"/>
  <c r="AC259" i="248"/>
  <c r="AD185" i="248"/>
  <c r="AB93" i="248"/>
  <c r="AE88" i="248"/>
  <c r="AI15" i="248"/>
  <c r="AB83" i="248"/>
  <c r="AB87" i="248"/>
  <c r="AB104" i="248"/>
  <c r="AB123" i="248"/>
  <c r="AE92" i="248"/>
  <c r="AB116" i="248"/>
  <c r="AB120" i="248"/>
  <c r="AE96" i="248"/>
  <c r="AB112" i="248"/>
  <c r="AB113" i="248"/>
  <c r="AB107" i="248"/>
  <c r="AA125" i="248"/>
  <c r="AA187" i="248" s="1"/>
  <c r="AA189" i="248" s="1"/>
  <c r="AB75" i="248"/>
  <c r="AB79" i="248"/>
  <c r="AA38" i="248"/>
  <c r="AB108" i="248"/>
  <c r="AB119" i="248"/>
  <c r="AB95" i="248"/>
  <c r="AB90" i="248"/>
  <c r="AB94" i="248"/>
  <c r="AB106" i="248"/>
  <c r="AB114" i="248"/>
  <c r="AI11" i="248"/>
  <c r="AB121" i="248"/>
  <c r="AH11" i="248"/>
  <c r="AA258" i="248"/>
  <c r="AA272" i="248" s="1"/>
  <c r="AB77" i="248"/>
  <c r="AB102" i="248"/>
  <c r="AH15" i="248"/>
  <c r="AB124" i="248"/>
  <c r="AB425" i="43"/>
  <c r="AB428" i="43"/>
  <c r="AA355" i="43"/>
  <c r="Z362" i="43"/>
  <c r="Z380" i="43" s="1"/>
  <c r="AA372" i="43"/>
  <c r="AA370" i="43"/>
  <c r="AB361" i="43"/>
  <c r="AB362" i="43" s="1"/>
  <c r="AA440" i="43"/>
  <c r="M118" i="43"/>
  <c r="M123" i="43" s="1"/>
  <c r="N355" i="43"/>
  <c r="W19" i="43"/>
  <c r="P131" i="43"/>
  <c r="W43" i="43"/>
  <c r="M354" i="43"/>
  <c r="T270" i="43"/>
  <c r="S400" i="43"/>
  <c r="O439" i="43"/>
  <c r="W44" i="43"/>
  <c r="X270" i="43"/>
  <c r="S270" i="43"/>
  <c r="AB270" i="43"/>
  <c r="U270" i="43"/>
  <c r="AF102" i="43"/>
  <c r="N66" i="43"/>
  <c r="W402" i="43"/>
  <c r="M355" i="43"/>
  <c r="W41" i="43"/>
  <c r="O123" i="43"/>
  <c r="W8" i="43"/>
  <c r="W45" i="43"/>
  <c r="R270" i="43"/>
  <c r="R67" i="43"/>
  <c r="W42" i="43"/>
  <c r="Y270" i="43"/>
  <c r="T44" i="43"/>
  <c r="W121" i="43"/>
  <c r="Q404" i="43"/>
  <c r="P400" i="43"/>
  <c r="N87" i="43"/>
  <c r="X404" i="43"/>
  <c r="T400" i="43"/>
  <c r="W362" i="43"/>
  <c r="W363" i="43" s="1"/>
  <c r="Q42" i="43"/>
  <c r="N62" i="43"/>
  <c r="N9" i="43" s="1"/>
  <c r="AB13" i="43"/>
  <c r="Q45" i="43"/>
  <c r="Q43" i="43"/>
  <c r="W123" i="43"/>
  <c r="T205" i="43"/>
  <c r="T450" i="43" s="1"/>
  <c r="Q67" i="43"/>
  <c r="P404" i="43"/>
  <c r="T402" i="43"/>
  <c r="AA270" i="43"/>
  <c r="T440" i="43"/>
  <c r="AB8" i="43"/>
  <c r="V270" i="43"/>
  <c r="Q205" i="43"/>
  <c r="Q44" i="43"/>
  <c r="Q19" i="43"/>
  <c r="T42" i="43"/>
  <c r="Q8" i="43"/>
  <c r="P402" i="43"/>
  <c r="W270" i="43"/>
  <c r="AA121" i="43"/>
  <c r="Q41" i="43"/>
  <c r="T45" i="43"/>
  <c r="T41" i="43"/>
  <c r="T131" i="43"/>
  <c r="D37" i="22"/>
  <c r="D36" i="22"/>
  <c r="S118" i="43"/>
  <c r="S123" i="43" s="1"/>
  <c r="AA119" i="43"/>
  <c r="X400" i="43"/>
  <c r="P439" i="43"/>
  <c r="Q270" i="43"/>
  <c r="T404" i="43"/>
  <c r="AB400" i="43"/>
  <c r="W365" i="43"/>
  <c r="AB439" i="43"/>
  <c r="V123" i="43"/>
  <c r="Z270" i="43"/>
  <c r="Y404" i="43"/>
  <c r="W404" i="43"/>
  <c r="T35" i="43"/>
  <c r="N312" i="43"/>
  <c r="S426" i="43"/>
  <c r="S414" i="43"/>
  <c r="S427" i="43" s="1"/>
  <c r="S428" i="43" s="1"/>
  <c r="N440" i="43"/>
  <c r="N439" i="43"/>
  <c r="O316" i="43"/>
  <c r="R316" i="43"/>
  <c r="Y119" i="43"/>
  <c r="Y122" i="43" s="1"/>
  <c r="Y121" i="43"/>
  <c r="Q121" i="43"/>
  <c r="U367" i="43"/>
  <c r="T367" i="43" s="1"/>
  <c r="V362" i="43"/>
  <c r="Z440" i="43"/>
  <c r="Z439" i="43"/>
  <c r="V338" i="43"/>
  <c r="W355" i="43"/>
  <c r="W357" i="43" s="1"/>
  <c r="V354" i="43"/>
  <c r="N339" i="43"/>
  <c r="X339" i="43"/>
  <c r="P339" i="43"/>
  <c r="AA339" i="43"/>
  <c r="T9" i="43"/>
  <c r="T67" i="43"/>
  <c r="X35" i="43"/>
  <c r="Y35" i="43"/>
  <c r="Z121" i="43"/>
  <c r="O9" i="43"/>
  <c r="O48" i="43" s="1"/>
  <c r="O67" i="43"/>
  <c r="N131" i="43"/>
  <c r="N118" i="43"/>
  <c r="Z19" i="43"/>
  <c r="Z13" i="43"/>
  <c r="Z8" i="43"/>
  <c r="O131" i="43"/>
  <c r="T339" i="43"/>
  <c r="X440" i="43"/>
  <c r="X439" i="43"/>
  <c r="N112" i="43"/>
  <c r="N108" i="43"/>
  <c r="R19" i="43"/>
  <c r="R8" i="43"/>
  <c r="U404" i="43"/>
  <c r="V355" i="43"/>
  <c r="V357" i="43" s="1"/>
  <c r="U316" i="43"/>
  <c r="U315" i="43"/>
  <c r="V440" i="43"/>
  <c r="V439" i="43"/>
  <c r="T316" i="43"/>
  <c r="Y439" i="43"/>
  <c r="Y440" i="43"/>
  <c r="Y362" i="43"/>
  <c r="Y380" i="43" s="1"/>
  <c r="V365" i="43"/>
  <c r="N316" i="43"/>
  <c r="P9" i="43"/>
  <c r="P48" i="43" s="1"/>
  <c r="P67" i="43"/>
  <c r="AF381" i="43"/>
  <c r="AE266" i="43"/>
  <c r="W440" i="43"/>
  <c r="W439" i="43"/>
  <c r="O312" i="43"/>
  <c r="V316" i="43"/>
  <c r="U119" i="43"/>
  <c r="U122" i="43" s="1"/>
  <c r="U121" i="43"/>
  <c r="Y315" i="43"/>
  <c r="K3" i="43"/>
  <c r="V121" i="43"/>
  <c r="S9" i="43"/>
  <c r="S67" i="43"/>
  <c r="O121" i="43"/>
  <c r="O119" i="43"/>
  <c r="O122" i="43" s="1"/>
  <c r="R402" i="43"/>
  <c r="R205" i="43"/>
  <c r="R45" i="43"/>
  <c r="R44" i="43"/>
  <c r="R41" i="43"/>
  <c r="R42" i="43"/>
  <c r="R43" i="43"/>
  <c r="AB339" i="43"/>
  <c r="M316" i="43"/>
  <c r="Q439" i="43"/>
  <c r="Q440" i="43"/>
  <c r="Z339" i="43"/>
  <c r="Z365" i="43"/>
  <c r="X121" i="43"/>
  <c r="X119" i="43"/>
  <c r="X122" i="43" s="1"/>
  <c r="L120" i="43"/>
  <c r="AP120" i="43" s="1"/>
  <c r="L66" i="43"/>
  <c r="Q123" i="43"/>
  <c r="AB404" i="43"/>
  <c r="AB423" i="43"/>
  <c r="AB416" i="43"/>
  <c r="Q316" i="43"/>
  <c r="R440" i="43"/>
  <c r="R439" i="43"/>
  <c r="P316" i="43"/>
  <c r="U439" i="43"/>
  <c r="U440" i="43"/>
  <c r="AA404" i="43"/>
  <c r="S404" i="43"/>
  <c r="S316" i="43"/>
  <c r="L339" i="43"/>
  <c r="M339" i="43"/>
  <c r="Z123" i="43"/>
  <c r="Y123" i="43"/>
  <c r="Y354" i="43"/>
  <c r="Z355" i="43"/>
  <c r="Z357" i="43" s="1"/>
  <c r="Y338" i="43"/>
  <c r="Y355" i="43"/>
  <c r="Y357" i="43" s="1"/>
  <c r="P355" i="43"/>
  <c r="O354" i="43"/>
  <c r="O338" i="43"/>
  <c r="AB121" i="43"/>
  <c r="AB119" i="43"/>
  <c r="X131" i="43"/>
  <c r="X123" i="43"/>
  <c r="R339" i="43"/>
  <c r="AC159" i="43"/>
  <c r="AC160" i="43" s="1"/>
  <c r="AD81" i="43"/>
  <c r="M120" i="43"/>
  <c r="M66" i="43"/>
  <c r="V19" i="43"/>
  <c r="V8" i="43"/>
  <c r="Y131" i="43"/>
  <c r="R131" i="43"/>
  <c r="R118" i="43"/>
  <c r="S131" i="43"/>
  <c r="AH112" i="43" l="1"/>
  <c r="AA418" i="43"/>
  <c r="Q315" i="43"/>
  <c r="Q450" i="43"/>
  <c r="AB418" i="43"/>
  <c r="AB450" i="43"/>
  <c r="S365" i="43"/>
  <c r="S450" i="43"/>
  <c r="R365" i="43"/>
  <c r="R450" i="43"/>
  <c r="X315" i="43"/>
  <c r="X450" i="43"/>
  <c r="N315" i="43"/>
  <c r="N450" i="43"/>
  <c r="AA207" i="43"/>
  <c r="AA315" i="43"/>
  <c r="AA365" i="43"/>
  <c r="AB365" i="43"/>
  <c r="V13" i="43"/>
  <c r="V48" i="43"/>
  <c r="S48" i="43"/>
  <c r="AB315" i="43"/>
  <c r="AP205" i="43"/>
  <c r="Q13" i="43"/>
  <c r="AQ13" i="43" s="1"/>
  <c r="Q48" i="43"/>
  <c r="N19" i="43"/>
  <c r="N48" i="43"/>
  <c r="T48" i="43"/>
  <c r="X13" i="43"/>
  <c r="X15" i="43" s="1"/>
  <c r="X17" i="43" s="1"/>
  <c r="X48" i="43"/>
  <c r="AQ205" i="43"/>
  <c r="AD188" i="43"/>
  <c r="AE188" i="43" s="1"/>
  <c r="AF188" i="43" s="1"/>
  <c r="AG188" i="43" s="1"/>
  <c r="AH188" i="43" s="1"/>
  <c r="AI188" i="43" s="1"/>
  <c r="AJ188" i="43" s="1"/>
  <c r="AK188" i="43" s="1"/>
  <c r="AL188" i="43" s="1"/>
  <c r="AM188" i="43" s="1"/>
  <c r="Z206" i="43"/>
  <c r="Z207" i="43" s="1"/>
  <c r="V206" i="43"/>
  <c r="V207" i="43" s="1"/>
  <c r="W206" i="43"/>
  <c r="W207" i="43" s="1"/>
  <c r="R206" i="43"/>
  <c r="R207" i="43" s="1"/>
  <c r="Q206" i="43"/>
  <c r="Q207" i="43" s="1"/>
  <c r="X206" i="43"/>
  <c r="X207" i="43" s="1"/>
  <c r="S189" i="43"/>
  <c r="AD119" i="43"/>
  <c r="AD56" i="43"/>
  <c r="AQ119" i="43"/>
  <c r="AA122" i="43"/>
  <c r="AB206" i="43"/>
  <c r="AB207" i="43" s="1"/>
  <c r="AB15" i="43"/>
  <c r="AB21" i="43" s="1"/>
  <c r="AA15" i="43"/>
  <c r="AQ8" i="43"/>
  <c r="L67" i="43"/>
  <c r="AP62" i="43"/>
  <c r="AB122" i="43"/>
  <c r="W189" i="43"/>
  <c r="AQ11" i="43"/>
  <c r="AA189" i="43"/>
  <c r="X189" i="43"/>
  <c r="V189" i="43"/>
  <c r="Z189" i="43"/>
  <c r="AB189" i="43"/>
  <c r="Y189" i="43"/>
  <c r="T119" i="43"/>
  <c r="T122" i="43" s="1"/>
  <c r="R312" i="43"/>
  <c r="S312" i="43"/>
  <c r="M315" i="43"/>
  <c r="L9" i="43"/>
  <c r="L48" i="43" s="1"/>
  <c r="L315" i="43"/>
  <c r="T123" i="43"/>
  <c r="O315" i="43"/>
  <c r="AA380" i="43"/>
  <c r="Z419" i="43"/>
  <c r="Y419" i="43" s="1"/>
  <c r="Y20" i="43"/>
  <c r="P315" i="43"/>
  <c r="AC370" i="43"/>
  <c r="K305" i="248"/>
  <c r="K296" i="248"/>
  <c r="L305" i="248"/>
  <c r="L296" i="248"/>
  <c r="M296" i="248"/>
  <c r="S305" i="248"/>
  <c r="S296" i="248"/>
  <c r="AA20" i="43"/>
  <c r="P305" i="248"/>
  <c r="P296" i="248"/>
  <c r="T305" i="248"/>
  <c r="T296" i="248"/>
  <c r="U305" i="248"/>
  <c r="U296" i="248"/>
  <c r="O305" i="248"/>
  <c r="O296" i="248"/>
  <c r="X305" i="248"/>
  <c r="X296" i="248"/>
  <c r="W305" i="248"/>
  <c r="W296" i="248"/>
  <c r="U210" i="43"/>
  <c r="U212" i="43" s="1"/>
  <c r="U47" i="43"/>
  <c r="Z377" i="43"/>
  <c r="W210" i="43"/>
  <c r="W47" i="43"/>
  <c r="R210" i="43"/>
  <c r="R47" i="43"/>
  <c r="V210" i="43"/>
  <c r="V212" i="43" s="1"/>
  <c r="V47" i="43"/>
  <c r="T210" i="43"/>
  <c r="T47" i="43"/>
  <c r="S210" i="43"/>
  <c r="S47" i="43"/>
  <c r="X210" i="43"/>
  <c r="X47" i="43"/>
  <c r="U13" i="43"/>
  <c r="U20" i="43" s="1"/>
  <c r="Q210" i="43"/>
  <c r="Q47" i="43"/>
  <c r="T365" i="43"/>
  <c r="AA363" i="43"/>
  <c r="M67" i="43"/>
  <c r="R13" i="43"/>
  <c r="R20" i="43" s="1"/>
  <c r="P123" i="43"/>
  <c r="P119" i="43"/>
  <c r="P122" i="43" s="1"/>
  <c r="W13" i="43"/>
  <c r="W20" i="43" s="1"/>
  <c r="S315" i="43"/>
  <c r="X365" i="43"/>
  <c r="I2" i="248"/>
  <c r="H1" i="248"/>
  <c r="AC77" i="248"/>
  <c r="AC94" i="248"/>
  <c r="AC95" i="248"/>
  <c r="AC273" i="248"/>
  <c r="AC98" i="248"/>
  <c r="AC117" i="248"/>
  <c r="AC119" i="248"/>
  <c r="AC107" i="248"/>
  <c r="AF88" i="248"/>
  <c r="AC86" i="248"/>
  <c r="AC105" i="248"/>
  <c r="AC78" i="248"/>
  <c r="AB8" i="248"/>
  <c r="AC91" i="248"/>
  <c r="AC79" i="248"/>
  <c r="AC104" i="248"/>
  <c r="AC100" i="248"/>
  <c r="AC124" i="248"/>
  <c r="AC102" i="248"/>
  <c r="AC121" i="248"/>
  <c r="AC114" i="248"/>
  <c r="AC90" i="248"/>
  <c r="AC108" i="248"/>
  <c r="AB38" i="248"/>
  <c r="AC75" i="248"/>
  <c r="AB125" i="248"/>
  <c r="AB187" i="248" s="1"/>
  <c r="AB189" i="248" s="1"/>
  <c r="AC112" i="248"/>
  <c r="AC111" i="248"/>
  <c r="AC97" i="248"/>
  <c r="AC257" i="248"/>
  <c r="AC271" i="248" s="1"/>
  <c r="AD188" i="248"/>
  <c r="AC80" i="248"/>
  <c r="AC76" i="248"/>
  <c r="AB258" i="248"/>
  <c r="AB272" i="248" s="1"/>
  <c r="AC84" i="248"/>
  <c r="AC113" i="248"/>
  <c r="AC120" i="248"/>
  <c r="AC116" i="248"/>
  <c r="AC106" i="248"/>
  <c r="AF96" i="248"/>
  <c r="AF92" i="248"/>
  <c r="AC123" i="248"/>
  <c r="AC87" i="248"/>
  <c r="AC83" i="248"/>
  <c r="AC93" i="248"/>
  <c r="AD259" i="248"/>
  <c r="AE185" i="248"/>
  <c r="AC89" i="248"/>
  <c r="AC82" i="248"/>
  <c r="AC118" i="248"/>
  <c r="AC115" i="248"/>
  <c r="AB45" i="248"/>
  <c r="AC122" i="248"/>
  <c r="AC110" i="248"/>
  <c r="AB380" i="43"/>
  <c r="AB379" i="43"/>
  <c r="AA357" i="43"/>
  <c r="AA356" i="43"/>
  <c r="AB363" i="43"/>
  <c r="Y377" i="43"/>
  <c r="Z376" i="43"/>
  <c r="Z363" i="43"/>
  <c r="AD370" i="43"/>
  <c r="S119" i="43"/>
  <c r="S122" i="43" s="1"/>
  <c r="AB20" i="43"/>
  <c r="N8" i="43"/>
  <c r="AG102" i="43"/>
  <c r="AH102" i="43" s="1"/>
  <c r="N13" i="43"/>
  <c r="N15" i="43" s="1"/>
  <c r="N67" i="43"/>
  <c r="T315" i="43"/>
  <c r="C40" i="22"/>
  <c r="C42" i="22" s="1"/>
  <c r="S121" i="43"/>
  <c r="S425" i="43"/>
  <c r="U362" i="43"/>
  <c r="U363" i="43" s="1"/>
  <c r="Z15" i="43"/>
  <c r="Z20" i="43"/>
  <c r="R418" i="43"/>
  <c r="Y456" i="43"/>
  <c r="Y212" i="43"/>
  <c r="R315" i="43"/>
  <c r="O19" i="43"/>
  <c r="O13" i="43"/>
  <c r="O8" i="43"/>
  <c r="Z456" i="43"/>
  <c r="Z212" i="43"/>
  <c r="Y17" i="43"/>
  <c r="Y21" i="43"/>
  <c r="AD403" i="43"/>
  <c r="AE403" i="43" s="1"/>
  <c r="AF403" i="43" s="1"/>
  <c r="AG403" i="43" s="1"/>
  <c r="AH403" i="43" s="1"/>
  <c r="AI403" i="43" s="1"/>
  <c r="AJ403" i="43" s="1"/>
  <c r="AK403" i="43" s="1"/>
  <c r="AL403" i="43" s="1"/>
  <c r="AM403" i="43" s="1"/>
  <c r="AC404" i="43"/>
  <c r="M8" i="43"/>
  <c r="M13" i="43"/>
  <c r="M19" i="43"/>
  <c r="L121" i="43"/>
  <c r="L119" i="43"/>
  <c r="L122" i="43" s="1"/>
  <c r="L3" i="43"/>
  <c r="AG381" i="43"/>
  <c r="AF266" i="43"/>
  <c r="P19" i="43"/>
  <c r="P13" i="43"/>
  <c r="P8" i="43"/>
  <c r="N119" i="43"/>
  <c r="N122" i="43" s="1"/>
  <c r="N121" i="43"/>
  <c r="V339" i="43"/>
  <c r="V363" i="43"/>
  <c r="R121" i="43"/>
  <c r="R119" i="43"/>
  <c r="R122" i="43" s="1"/>
  <c r="M119" i="43"/>
  <c r="M122" i="43" s="1"/>
  <c r="M121" i="43"/>
  <c r="X21" i="43"/>
  <c r="S19" i="43"/>
  <c r="S13" i="43"/>
  <c r="S8" i="43"/>
  <c r="T19" i="43"/>
  <c r="T13" i="43"/>
  <c r="T8" i="43"/>
  <c r="R123" i="43"/>
  <c r="V15" i="43"/>
  <c r="V20" i="43"/>
  <c r="AD159" i="43"/>
  <c r="AD160" i="43" s="1"/>
  <c r="AE81" i="43"/>
  <c r="O339" i="43"/>
  <c r="Y339" i="43"/>
  <c r="U456" i="43"/>
  <c r="Y363" i="43"/>
  <c r="N123" i="43"/>
  <c r="AE56" i="43"/>
  <c r="AE119" i="43"/>
  <c r="AF117" i="43"/>
  <c r="T362" i="43"/>
  <c r="S367" i="43"/>
  <c r="S423" i="43"/>
  <c r="AA212" i="43" l="1"/>
  <c r="AA456" i="43"/>
  <c r="AI112" i="43"/>
  <c r="L19" i="43"/>
  <c r="Q15" i="43"/>
  <c r="AQ15" i="43" s="1"/>
  <c r="V456" i="43"/>
  <c r="L13" i="43"/>
  <c r="AP13" i="43" s="1"/>
  <c r="X456" i="43"/>
  <c r="AQ207" i="43"/>
  <c r="W456" i="43"/>
  <c r="X20" i="43"/>
  <c r="Q20" i="43"/>
  <c r="Z430" i="43"/>
  <c r="AB17" i="43"/>
  <c r="W212" i="43"/>
  <c r="W218" i="43" s="1"/>
  <c r="AB456" i="43"/>
  <c r="S206" i="43"/>
  <c r="S207" i="43" s="1"/>
  <c r="O206" i="43"/>
  <c r="O207" i="43" s="1"/>
  <c r="M206" i="43"/>
  <c r="M207" i="43" s="1"/>
  <c r="T206" i="43"/>
  <c r="T207" i="43" s="1"/>
  <c r="P206" i="43"/>
  <c r="P207" i="43" s="1"/>
  <c r="N206" i="43"/>
  <c r="N207" i="43" s="1"/>
  <c r="N212" i="43" s="1"/>
  <c r="N457" i="43" s="1"/>
  <c r="L8" i="43"/>
  <c r="AP9" i="43"/>
  <c r="AB212" i="43"/>
  <c r="AB218" i="43" s="1"/>
  <c r="AA21" i="43"/>
  <c r="AA17" i="43"/>
  <c r="AP119" i="43"/>
  <c r="Q212" i="43"/>
  <c r="AQ212" i="43" s="1"/>
  <c r="W15" i="43"/>
  <c r="W21" i="43" s="1"/>
  <c r="L2" i="43"/>
  <c r="Z417" i="43"/>
  <c r="AA413" i="43" s="1"/>
  <c r="X212" i="43"/>
  <c r="X340" i="43" s="1"/>
  <c r="R15" i="43"/>
  <c r="R17" i="43" s="1"/>
  <c r="U15" i="43"/>
  <c r="U21" i="43" s="1"/>
  <c r="AC258" i="248"/>
  <c r="AC272" i="248" s="1"/>
  <c r="I1" i="248"/>
  <c r="J2" i="248"/>
  <c r="AD123" i="248"/>
  <c r="AD113" i="248"/>
  <c r="AD102" i="248"/>
  <c r="AD79" i="248"/>
  <c r="AD86" i="248"/>
  <c r="AD107" i="248"/>
  <c r="AD117" i="248"/>
  <c r="AD122" i="248"/>
  <c r="AD118" i="248"/>
  <c r="AD89" i="248"/>
  <c r="AG92" i="248"/>
  <c r="AD76" i="248"/>
  <c r="AD111" i="248"/>
  <c r="AD112" i="248"/>
  <c r="AG88" i="248"/>
  <c r="AD94" i="248"/>
  <c r="AD273" i="248"/>
  <c r="AD116" i="248"/>
  <c r="AD257" i="248"/>
  <c r="AD271" i="248" s="1"/>
  <c r="AE188" i="248"/>
  <c r="AD75" i="248"/>
  <c r="AC125" i="248"/>
  <c r="AC187" i="248" s="1"/>
  <c r="AC189" i="248" s="1"/>
  <c r="AD90" i="248"/>
  <c r="AD93" i="248"/>
  <c r="AD87" i="248"/>
  <c r="AD106" i="248"/>
  <c r="AD120" i="248"/>
  <c r="AD84" i="248"/>
  <c r="AD108" i="248"/>
  <c r="AC38" i="248"/>
  <c r="AD114" i="248"/>
  <c r="AD121" i="248"/>
  <c r="AD124" i="248"/>
  <c r="AD104" i="248"/>
  <c r="AD91" i="248"/>
  <c r="AD105" i="248"/>
  <c r="AD119" i="248"/>
  <c r="AD98" i="248"/>
  <c r="AD83" i="248"/>
  <c r="AD100" i="248"/>
  <c r="AD78" i="248"/>
  <c r="AC8" i="248"/>
  <c r="AD110" i="248"/>
  <c r="AD115" i="248"/>
  <c r="AC45" i="248"/>
  <c r="AD82" i="248"/>
  <c r="AE259" i="248"/>
  <c r="AF185" i="248"/>
  <c r="AG96" i="248"/>
  <c r="AD80" i="248"/>
  <c r="AD97" i="248"/>
  <c r="AD95" i="248"/>
  <c r="AD77" i="248"/>
  <c r="Z356" i="43"/>
  <c r="Z358" i="43" s="1"/>
  <c r="Z379" i="43"/>
  <c r="AA358" i="43"/>
  <c r="S362" i="43"/>
  <c r="S363" i="43" s="1"/>
  <c r="R367" i="43"/>
  <c r="X377" i="43"/>
  <c r="Y376" i="43"/>
  <c r="AE370" i="43"/>
  <c r="W17" i="43"/>
  <c r="Q456" i="43"/>
  <c r="N20" i="43"/>
  <c r="K38" i="22"/>
  <c r="K40" i="22" s="1"/>
  <c r="L38" i="22"/>
  <c r="L40" i="22" s="1"/>
  <c r="L37" i="22" s="1"/>
  <c r="C46" i="22"/>
  <c r="C72" i="22" s="1"/>
  <c r="J38" i="22"/>
  <c r="J40" i="22" s="1"/>
  <c r="J37" i="22" s="1"/>
  <c r="T363" i="43"/>
  <c r="U457" i="43"/>
  <c r="U340" i="43"/>
  <c r="U218" i="43"/>
  <c r="N21" i="43"/>
  <c r="N17" i="43"/>
  <c r="V21" i="43"/>
  <c r="V17" i="43"/>
  <c r="T15" i="43"/>
  <c r="T20" i="43"/>
  <c r="AA457" i="43"/>
  <c r="AA218" i="43"/>
  <c r="AA340" i="43"/>
  <c r="V457" i="43"/>
  <c r="V340" i="43"/>
  <c r="V341" i="43" s="1"/>
  <c r="V218" i="43"/>
  <c r="Y430" i="43"/>
  <c r="X419" i="43"/>
  <c r="Y417" i="43"/>
  <c r="W340" i="43"/>
  <c r="R456" i="43"/>
  <c r="R212" i="43"/>
  <c r="AF56" i="43"/>
  <c r="AF119" i="43"/>
  <c r="AG117" i="43"/>
  <c r="AE159" i="43"/>
  <c r="AE160" i="43" s="1"/>
  <c r="AF81" i="43"/>
  <c r="S20" i="43"/>
  <c r="S15" i="43"/>
  <c r="M3" i="43"/>
  <c r="M15" i="43"/>
  <c r="M20" i="43"/>
  <c r="Z457" i="43"/>
  <c r="Z340" i="43"/>
  <c r="Z218" i="43"/>
  <c r="Y457" i="43"/>
  <c r="Y340" i="43"/>
  <c r="Y341" i="43" s="1"/>
  <c r="Y218" i="43"/>
  <c r="P15" i="43"/>
  <c r="P20" i="43"/>
  <c r="AI102" i="43"/>
  <c r="AH381" i="43"/>
  <c r="AG266" i="43"/>
  <c r="O20" i="43"/>
  <c r="O15" i="43"/>
  <c r="Z21" i="43"/>
  <c r="Z17" i="43"/>
  <c r="Q340" i="43" l="1"/>
  <c r="O456" i="43"/>
  <c r="L20" i="43"/>
  <c r="Q21" i="43"/>
  <c r="Q457" i="43"/>
  <c r="W457" i="43"/>
  <c r="Q17" i="43"/>
  <c r="AQ17" i="43" s="1"/>
  <c r="M212" i="43"/>
  <c r="M456" i="43"/>
  <c r="Q218" i="43"/>
  <c r="O212" i="43"/>
  <c r="O457" i="43" s="1"/>
  <c r="L15" i="43"/>
  <c r="AP15" i="43" s="1"/>
  <c r="AJ112" i="43"/>
  <c r="P212" i="43"/>
  <c r="P457" i="43" s="1"/>
  <c r="S212" i="43"/>
  <c r="P456" i="43"/>
  <c r="S456" i="43"/>
  <c r="T456" i="43"/>
  <c r="N456" i="43"/>
  <c r="T212" i="43"/>
  <c r="T457" i="43" s="1"/>
  <c r="AB457" i="43"/>
  <c r="AB340" i="43"/>
  <c r="AB341" i="43" s="1"/>
  <c r="L206" i="43"/>
  <c r="L207" i="43" s="1"/>
  <c r="AP8" i="43"/>
  <c r="U17" i="43"/>
  <c r="R21" i="43"/>
  <c r="Z418" i="43"/>
  <c r="X218" i="43"/>
  <c r="X457" i="43"/>
  <c r="M2" i="43"/>
  <c r="AD258" i="248"/>
  <c r="AD272" i="248" s="1"/>
  <c r="J1" i="248"/>
  <c r="K2" i="248"/>
  <c r="AE82" i="248"/>
  <c r="AE98" i="248"/>
  <c r="AE108" i="248"/>
  <c r="AD38" i="248"/>
  <c r="AE80" i="248"/>
  <c r="AH88" i="248"/>
  <c r="AE111" i="248"/>
  <c r="AH92" i="248"/>
  <c r="AE118" i="248"/>
  <c r="AE117" i="248"/>
  <c r="AE107" i="248"/>
  <c r="AE79" i="248"/>
  <c r="AE113" i="248"/>
  <c r="AE77" i="248"/>
  <c r="AE110" i="248"/>
  <c r="AE105" i="248"/>
  <c r="AE121" i="248"/>
  <c r="AE120" i="248"/>
  <c r="AE87" i="248"/>
  <c r="AE257" i="248"/>
  <c r="AE271" i="248" s="1"/>
  <c r="AF188" i="248"/>
  <c r="AE94" i="248"/>
  <c r="AE95" i="248"/>
  <c r="AE273" i="248"/>
  <c r="AE115" i="248"/>
  <c r="AE78" i="248"/>
  <c r="AE83" i="248"/>
  <c r="AE119" i="248"/>
  <c r="AE91" i="248"/>
  <c r="AE124" i="248"/>
  <c r="AE114" i="248"/>
  <c r="AE84" i="248"/>
  <c r="AE106" i="248"/>
  <c r="AE93" i="248"/>
  <c r="AF259" i="248"/>
  <c r="AG185" i="248"/>
  <c r="AE100" i="248"/>
  <c r="AE104" i="248"/>
  <c r="AE90" i="248"/>
  <c r="AE97" i="248"/>
  <c r="AH96" i="248"/>
  <c r="AE75" i="248"/>
  <c r="AD125" i="248"/>
  <c r="AD187" i="248" s="1"/>
  <c r="AD189" i="248" s="1"/>
  <c r="AE116" i="248"/>
  <c r="AE112" i="248"/>
  <c r="AE76" i="248"/>
  <c r="AE89" i="248"/>
  <c r="AE122" i="248"/>
  <c r="AE86" i="248"/>
  <c r="AE102" i="248"/>
  <c r="AE123" i="248"/>
  <c r="Y356" i="43"/>
  <c r="Y358" i="43" s="1"/>
  <c r="Y379" i="43"/>
  <c r="W377" i="43"/>
  <c r="X376" i="43"/>
  <c r="N218" i="43"/>
  <c r="N340" i="43"/>
  <c r="N341" i="43" s="1"/>
  <c r="AF370" i="43"/>
  <c r="Y342" i="43"/>
  <c r="K37" i="22"/>
  <c r="L17" i="22"/>
  <c r="AF159" i="43"/>
  <c r="AF160" i="43" s="1"/>
  <c r="AG81" i="43"/>
  <c r="AB458" i="43"/>
  <c r="AB221" i="43"/>
  <c r="AI381" i="43"/>
  <c r="AH266" i="43"/>
  <c r="AJ102" i="43"/>
  <c r="P17" i="43"/>
  <c r="P21" i="43"/>
  <c r="Y458" i="43"/>
  <c r="Y221" i="43"/>
  <c r="N3" i="43"/>
  <c r="W341" i="43"/>
  <c r="W342" i="43"/>
  <c r="W419" i="43"/>
  <c r="X430" i="43"/>
  <c r="X417" i="43"/>
  <c r="O17" i="43"/>
  <c r="O21" i="43"/>
  <c r="Q341" i="43"/>
  <c r="Q342" i="43"/>
  <c r="AG119" i="43"/>
  <c r="AH117" i="43"/>
  <c r="AG56" i="43"/>
  <c r="M457" i="43"/>
  <c r="M340" i="43"/>
  <c r="M218" i="43"/>
  <c r="Z458" i="43"/>
  <c r="Z221" i="43"/>
  <c r="M17" i="43"/>
  <c r="M21" i="43"/>
  <c r="S17" i="43"/>
  <c r="S21" i="43"/>
  <c r="W458" i="43"/>
  <c r="W221" i="43"/>
  <c r="L17" i="43"/>
  <c r="AP17" i="43" s="1"/>
  <c r="L21" i="43"/>
  <c r="V342" i="43"/>
  <c r="T17" i="43"/>
  <c r="T21" i="43"/>
  <c r="U458" i="43"/>
  <c r="U221" i="43"/>
  <c r="Y418" i="43"/>
  <c r="Z413" i="43"/>
  <c r="AA458" i="43"/>
  <c r="AA221" i="43"/>
  <c r="AA421" i="43"/>
  <c r="AA415" i="43"/>
  <c r="AA433" i="43" s="1"/>
  <c r="Q458" i="43"/>
  <c r="Q221" i="43"/>
  <c r="Z341" i="43"/>
  <c r="Z342" i="43"/>
  <c r="R457" i="43"/>
  <c r="R340" i="43"/>
  <c r="R218" i="43"/>
  <c r="X341" i="43"/>
  <c r="X342" i="43"/>
  <c r="V458" i="43"/>
  <c r="V221" i="43"/>
  <c r="AA341" i="43"/>
  <c r="AA342" i="43"/>
  <c r="S457" i="43"/>
  <c r="S218" i="43"/>
  <c r="S340" i="43"/>
  <c r="U341" i="43"/>
  <c r="U342" i="43"/>
  <c r="P218" i="43" l="1"/>
  <c r="P340" i="43"/>
  <c r="P341" i="43" s="1"/>
  <c r="O340" i="43"/>
  <c r="O342" i="43" s="1"/>
  <c r="O218" i="43"/>
  <c r="AQ218" i="43"/>
  <c r="AK112" i="43"/>
  <c r="AQ221" i="43"/>
  <c r="N221" i="43"/>
  <c r="N226" i="43" s="1"/>
  <c r="AP207" i="43"/>
  <c r="X221" i="43"/>
  <c r="X225" i="43" s="1"/>
  <c r="T218" i="43"/>
  <c r="T340" i="43"/>
  <c r="T342" i="43" s="1"/>
  <c r="AB342" i="43"/>
  <c r="X458" i="43"/>
  <c r="L212" i="43"/>
  <c r="AP212" i="43" s="1"/>
  <c r="L456" i="43"/>
  <c r="N458" i="43"/>
  <c r="N2" i="43"/>
  <c r="N342" i="43"/>
  <c r="L2" i="248"/>
  <c r="K1" i="248"/>
  <c r="AG259" i="248"/>
  <c r="AH185" i="248"/>
  <c r="AF93" i="248"/>
  <c r="AF84" i="248"/>
  <c r="AF124" i="248"/>
  <c r="AF119" i="248"/>
  <c r="AF78" i="248"/>
  <c r="AE258" i="248"/>
  <c r="AE272" i="248" s="1"/>
  <c r="AF108" i="248"/>
  <c r="AF82" i="248"/>
  <c r="AF123" i="248"/>
  <c r="AF86" i="248"/>
  <c r="AF89" i="248"/>
  <c r="AF112" i="248"/>
  <c r="AF90" i="248"/>
  <c r="AF100" i="248"/>
  <c r="AF95" i="248"/>
  <c r="AF120" i="248"/>
  <c r="AF105" i="248"/>
  <c r="AF77" i="248"/>
  <c r="AF79" i="248"/>
  <c r="AF117" i="248"/>
  <c r="AI92" i="248"/>
  <c r="AI22" i="248" s="1"/>
  <c r="AH22" i="248"/>
  <c r="AI88" i="248"/>
  <c r="AI18" i="248" s="1"/>
  <c r="AH18" i="248"/>
  <c r="AF80" i="248"/>
  <c r="AE125" i="248"/>
  <c r="AE187" i="248" s="1"/>
  <c r="AE189" i="248" s="1"/>
  <c r="AF75" i="248"/>
  <c r="AF97" i="248"/>
  <c r="AF104" i="248"/>
  <c r="AF94" i="248"/>
  <c r="AF87" i="248"/>
  <c r="AF121" i="248"/>
  <c r="AF110" i="248"/>
  <c r="AF113" i="248"/>
  <c r="AF107" i="248"/>
  <c r="AF118" i="248"/>
  <c r="AF111" i="248"/>
  <c r="AF102" i="248"/>
  <c r="AF122" i="248"/>
  <c r="AF76" i="248"/>
  <c r="AF116" i="248"/>
  <c r="AI96" i="248"/>
  <c r="AI26" i="248" s="1"/>
  <c r="AH26" i="248"/>
  <c r="AF273" i="248"/>
  <c r="AF106" i="248"/>
  <c r="AF114" i="248"/>
  <c r="AF91" i="248"/>
  <c r="AF83" i="248"/>
  <c r="AF115" i="248"/>
  <c r="AF257" i="248"/>
  <c r="AF271" i="248" s="1"/>
  <c r="AG188" i="248"/>
  <c r="AF98" i="248"/>
  <c r="X356" i="43"/>
  <c r="X358" i="43" s="1"/>
  <c r="X379" i="43"/>
  <c r="V377" i="43"/>
  <c r="W376" i="43"/>
  <c r="AG370" i="43"/>
  <c r="AA426" i="43"/>
  <c r="AA414" i="43"/>
  <c r="AA427" i="43" s="1"/>
  <c r="AA428" i="43" s="1"/>
  <c r="O3" i="43"/>
  <c r="AG159" i="43"/>
  <c r="AG160" i="43" s="1"/>
  <c r="AH81" i="43"/>
  <c r="S341" i="43"/>
  <c r="S342" i="43"/>
  <c r="T341" i="43"/>
  <c r="AA226" i="43"/>
  <c r="AA225" i="43"/>
  <c r="AA223" i="43"/>
  <c r="U223" i="43"/>
  <c r="U226" i="43"/>
  <c r="U225" i="43"/>
  <c r="P458" i="43"/>
  <c r="M341" i="43"/>
  <c r="M342" i="43"/>
  <c r="O458" i="43"/>
  <c r="O221" i="43"/>
  <c r="X418" i="43"/>
  <c r="Y413" i="43"/>
  <c r="Y223" i="43"/>
  <c r="Y226" i="43"/>
  <c r="Y225" i="43"/>
  <c r="S458" i="43"/>
  <c r="S221" i="43"/>
  <c r="V226" i="43"/>
  <c r="V225" i="43"/>
  <c r="V223" i="43"/>
  <c r="Q223" i="43"/>
  <c r="Q226" i="43"/>
  <c r="Q225" i="43"/>
  <c r="P342" i="43"/>
  <c r="AH56" i="43"/>
  <c r="AI117" i="43"/>
  <c r="AH119" i="43"/>
  <c r="AJ381" i="43"/>
  <c r="AI266" i="43"/>
  <c r="R341" i="43"/>
  <c r="R342" i="43"/>
  <c r="M458" i="43"/>
  <c r="M221" i="43"/>
  <c r="O341" i="43"/>
  <c r="R458" i="43"/>
  <c r="R221" i="43"/>
  <c r="Z415" i="43"/>
  <c r="Z421" i="43"/>
  <c r="W226" i="43"/>
  <c r="W225" i="43"/>
  <c r="W223" i="43"/>
  <c r="Z226" i="43"/>
  <c r="Z225" i="43"/>
  <c r="Z223" i="43"/>
  <c r="V419" i="43"/>
  <c r="W430" i="43"/>
  <c r="W417" i="43"/>
  <c r="AK102" i="43"/>
  <c r="AB225" i="43"/>
  <c r="AB223" i="43"/>
  <c r="AB226" i="43"/>
  <c r="P221" i="43" l="1"/>
  <c r="T221" i="43"/>
  <c r="T458" i="43"/>
  <c r="AL112" i="43"/>
  <c r="N223" i="43"/>
  <c r="N225" i="43"/>
  <c r="X226" i="43"/>
  <c r="X459" i="43" s="1"/>
  <c r="X449" i="43" s="1"/>
  <c r="X452" i="43" s="1"/>
  <c r="X223" i="43"/>
  <c r="X446" i="43" s="1"/>
  <c r="AQ226" i="43"/>
  <c r="L218" i="43"/>
  <c r="L340" i="43"/>
  <c r="L457" i="43"/>
  <c r="O2" i="43"/>
  <c r="M2" i="248"/>
  <c r="L1" i="248"/>
  <c r="AG257" i="248"/>
  <c r="AG271" i="248" s="1"/>
  <c r="AH188" i="248"/>
  <c r="AG114" i="248"/>
  <c r="AG113" i="248"/>
  <c r="AG86" i="248"/>
  <c r="AG83" i="248"/>
  <c r="AG116" i="248"/>
  <c r="AG122" i="248"/>
  <c r="AG118" i="248"/>
  <c r="AG94" i="248"/>
  <c r="AG80" i="248"/>
  <c r="AG89" i="248"/>
  <c r="AG108" i="248"/>
  <c r="AG119" i="248"/>
  <c r="AH259" i="248"/>
  <c r="AI185" i="248"/>
  <c r="AG121" i="248"/>
  <c r="AG97" i="248"/>
  <c r="AG106" i="248"/>
  <c r="AF258" i="248"/>
  <c r="AF272" i="248" s="1"/>
  <c r="AG104" i="248"/>
  <c r="AG79" i="248"/>
  <c r="AG105" i="248"/>
  <c r="AG95" i="248"/>
  <c r="AG90" i="248"/>
  <c r="AG123" i="248"/>
  <c r="AG124" i="248"/>
  <c r="AG93" i="248"/>
  <c r="AG273" i="248"/>
  <c r="AG77" i="248"/>
  <c r="AG84" i="248"/>
  <c r="AG98" i="248"/>
  <c r="AG115" i="248"/>
  <c r="AG91" i="248"/>
  <c r="AG76" i="248"/>
  <c r="AG102" i="248"/>
  <c r="AG111" i="248"/>
  <c r="AG107" i="248"/>
  <c r="AG110" i="248"/>
  <c r="AG87" i="248"/>
  <c r="AG75" i="248"/>
  <c r="AF125" i="248"/>
  <c r="AF187" i="248" s="1"/>
  <c r="AF189" i="248" s="1"/>
  <c r="AG117" i="248"/>
  <c r="AG120" i="248"/>
  <c r="AG100" i="248"/>
  <c r="AG112" i="248"/>
  <c r="AG82" i="248"/>
  <c r="AG78" i="248"/>
  <c r="W356" i="43"/>
  <c r="W358" i="43" s="1"/>
  <c r="W379" i="43"/>
  <c r="U377" i="43"/>
  <c r="V376" i="43"/>
  <c r="AH370" i="43"/>
  <c r="AA425" i="43"/>
  <c r="AI56" i="43"/>
  <c r="AI119" i="43"/>
  <c r="AJ117" i="43"/>
  <c r="Q446" i="43"/>
  <c r="Q447" i="43"/>
  <c r="S226" i="43"/>
  <c r="S225" i="43"/>
  <c r="S223" i="43"/>
  <c r="AL102" i="43"/>
  <c r="N459" i="43"/>
  <c r="N449" i="43" s="1"/>
  <c r="N452" i="43" s="1"/>
  <c r="N230" i="43"/>
  <c r="W446" i="43"/>
  <c r="W447" i="43"/>
  <c r="X447" i="43"/>
  <c r="AK381" i="43"/>
  <c r="AJ266" i="43"/>
  <c r="V447" i="43"/>
  <c r="V446" i="43"/>
  <c r="Y415" i="43"/>
  <c r="Y421" i="43"/>
  <c r="O226" i="43"/>
  <c r="O225" i="43"/>
  <c r="O223" i="43"/>
  <c r="AH159" i="43"/>
  <c r="AH160" i="43" s="1"/>
  <c r="AI81" i="43"/>
  <c r="V430" i="43"/>
  <c r="U419" i="43"/>
  <c r="V417" i="43"/>
  <c r="Z447" i="43"/>
  <c r="Z446" i="43"/>
  <c r="R226" i="43"/>
  <c r="R225" i="43"/>
  <c r="R223" i="43"/>
  <c r="M223" i="43"/>
  <c r="M226" i="43"/>
  <c r="M225" i="43"/>
  <c r="Y459" i="43"/>
  <c r="Y449" i="43" s="1"/>
  <c r="Y452" i="43" s="1"/>
  <c r="Y230" i="43"/>
  <c r="P225" i="43"/>
  <c r="P223" i="43"/>
  <c r="P226" i="43"/>
  <c r="AA447" i="43"/>
  <c r="AA446" i="43"/>
  <c r="X413" i="43"/>
  <c r="W418" i="43"/>
  <c r="Z459" i="43"/>
  <c r="Z449" i="43" s="1"/>
  <c r="Z452" i="43" s="1"/>
  <c r="Z230" i="43"/>
  <c r="Z426" i="43"/>
  <c r="Z414" i="43"/>
  <c r="Z427" i="43" s="1"/>
  <c r="Z428" i="43" s="1"/>
  <c r="U447" i="43"/>
  <c r="U446" i="43"/>
  <c r="AA459" i="43"/>
  <c r="AA449" i="43" s="1"/>
  <c r="AA452" i="43" s="1"/>
  <c r="AA230" i="43"/>
  <c r="AA423" i="43"/>
  <c r="AA416" i="43"/>
  <c r="T225" i="43"/>
  <c r="T223" i="43"/>
  <c r="T226" i="43"/>
  <c r="AB459" i="43"/>
  <c r="AB449" i="43" s="1"/>
  <c r="AB452" i="43" s="1"/>
  <c r="AB230" i="43"/>
  <c r="AB447" i="43"/>
  <c r="AB446" i="43"/>
  <c r="N447" i="43"/>
  <c r="N446" i="43"/>
  <c r="W459" i="43"/>
  <c r="W449" i="43" s="1"/>
  <c r="W452" i="43" s="1"/>
  <c r="W230" i="43"/>
  <c r="Q459" i="43"/>
  <c r="Q449" i="43" s="1"/>
  <c r="Q452" i="43" s="1"/>
  <c r="Q230" i="43"/>
  <c r="V459" i="43"/>
  <c r="V449" i="43" s="1"/>
  <c r="V452" i="43" s="1"/>
  <c r="V230" i="43"/>
  <c r="Y447" i="43"/>
  <c r="Y446" i="43"/>
  <c r="U459" i="43"/>
  <c r="U449" i="43" s="1"/>
  <c r="U452" i="43" s="1"/>
  <c r="U230" i="43"/>
  <c r="P3" i="43"/>
  <c r="X230" i="43" l="1"/>
  <c r="AM112" i="43"/>
  <c r="AP218" i="43"/>
  <c r="AQ230" i="43"/>
  <c r="L341" i="43"/>
  <c r="L342" i="43"/>
  <c r="AO102" i="43"/>
  <c r="AR102" i="43"/>
  <c r="L458" i="43"/>
  <c r="L221" i="43"/>
  <c r="AG258" i="248"/>
  <c r="AG272" i="248" s="1"/>
  <c r="P2" i="43"/>
  <c r="N2" i="248"/>
  <c r="M1" i="248"/>
  <c r="AH87" i="248"/>
  <c r="AH107" i="248"/>
  <c r="AH102" i="248"/>
  <c r="AH91" i="248"/>
  <c r="AH98" i="248"/>
  <c r="AH97" i="248"/>
  <c r="AH89" i="248"/>
  <c r="AH116" i="248"/>
  <c r="AH86" i="248"/>
  <c r="AH112" i="248"/>
  <c r="AI259" i="248"/>
  <c r="AH75" i="248"/>
  <c r="AG125" i="248"/>
  <c r="AG187" i="248" s="1"/>
  <c r="AG189" i="248" s="1"/>
  <c r="AH110" i="248"/>
  <c r="AH111" i="248"/>
  <c r="AH76" i="248"/>
  <c r="AH115" i="248"/>
  <c r="AH84" i="248"/>
  <c r="AH77" i="248"/>
  <c r="AH106" i="248"/>
  <c r="AH121" i="248"/>
  <c r="AH273" i="248"/>
  <c r="AH108" i="248"/>
  <c r="AH80" i="248"/>
  <c r="AH118" i="248"/>
  <c r="AH122" i="248"/>
  <c r="AH83" i="248"/>
  <c r="AH113" i="248"/>
  <c r="AH257" i="248"/>
  <c r="AH271" i="248" s="1"/>
  <c r="AI188" i="248"/>
  <c r="AI257" i="248" s="1"/>
  <c r="AI271" i="248" s="1"/>
  <c r="AH119" i="248"/>
  <c r="AH94" i="248"/>
  <c r="AH78" i="248"/>
  <c r="AH120" i="248"/>
  <c r="AH93" i="248"/>
  <c r="AH123" i="248"/>
  <c r="AH95" i="248"/>
  <c r="AH79" i="248"/>
  <c r="AH114" i="248"/>
  <c r="AH82" i="248"/>
  <c r="AH100" i="248"/>
  <c r="AH117" i="248"/>
  <c r="AH124" i="248"/>
  <c r="AH90" i="248"/>
  <c r="AH105" i="248"/>
  <c r="AH104" i="248"/>
  <c r="V356" i="43"/>
  <c r="V358" i="43" s="1"/>
  <c r="V379" i="43"/>
  <c r="T377" i="43"/>
  <c r="U376" i="43"/>
  <c r="AI370" i="43"/>
  <c r="Q233" i="43"/>
  <c r="Q241" i="43"/>
  <c r="Q246" i="43" s="1"/>
  <c r="W241" i="43"/>
  <c r="W246" i="43" s="1"/>
  <c r="W233" i="43"/>
  <c r="AB241" i="43"/>
  <c r="AB246" i="43" s="1"/>
  <c r="AB233" i="43"/>
  <c r="AA241" i="43"/>
  <c r="AA246" i="43" s="1"/>
  <c r="AA233" i="43"/>
  <c r="M459" i="43"/>
  <c r="M449" i="43" s="1"/>
  <c r="M452" i="43" s="1"/>
  <c r="I406" i="248" s="1"/>
  <c r="M230" i="43"/>
  <c r="Q3" i="43"/>
  <c r="Z423" i="43"/>
  <c r="Z416" i="43"/>
  <c r="Y233" i="43"/>
  <c r="Y241" i="43"/>
  <c r="Y246" i="43" s="1"/>
  <c r="M446" i="43"/>
  <c r="M447" i="43"/>
  <c r="W413" i="43"/>
  <c r="V418" i="43"/>
  <c r="O459" i="43"/>
  <c r="O449" i="43" s="1"/>
  <c r="O452" i="43" s="1"/>
  <c r="O230" i="43"/>
  <c r="N233" i="43"/>
  <c r="N241" i="43"/>
  <c r="N246" i="43" s="1"/>
  <c r="S447" i="43"/>
  <c r="S446" i="43"/>
  <c r="AJ56" i="43"/>
  <c r="AJ119" i="43"/>
  <c r="AK117" i="43"/>
  <c r="X241" i="43"/>
  <c r="X246" i="43" s="1"/>
  <c r="X233" i="43"/>
  <c r="R447" i="43"/>
  <c r="R446" i="43"/>
  <c r="AI159" i="43"/>
  <c r="AI160" i="43" s="1"/>
  <c r="AJ81" i="43"/>
  <c r="AL381" i="43"/>
  <c r="AK266" i="43"/>
  <c r="U233" i="43"/>
  <c r="U241" i="43"/>
  <c r="U246" i="43" s="1"/>
  <c r="V233" i="43"/>
  <c r="V241" i="43"/>
  <c r="V246" i="43" s="1"/>
  <c r="T459" i="43"/>
  <c r="T449" i="43" s="1"/>
  <c r="T452" i="43" s="1"/>
  <c r="T230" i="43"/>
  <c r="Z425" i="43"/>
  <c r="Z233" i="43"/>
  <c r="Z241" i="43"/>
  <c r="Z246" i="43" s="1"/>
  <c r="X421" i="43"/>
  <c r="X415" i="43"/>
  <c r="P459" i="43"/>
  <c r="P449" i="43" s="1"/>
  <c r="P452" i="43" s="1"/>
  <c r="P230" i="43"/>
  <c r="R459" i="43"/>
  <c r="R449" i="43" s="1"/>
  <c r="R452" i="43" s="1"/>
  <c r="R230" i="43"/>
  <c r="U430" i="43"/>
  <c r="T419" i="43"/>
  <c r="U417" i="43"/>
  <c r="T447" i="43"/>
  <c r="T446" i="43"/>
  <c r="P446" i="43"/>
  <c r="P447" i="43"/>
  <c r="O446" i="43"/>
  <c r="O447" i="43"/>
  <c r="Y414" i="43"/>
  <c r="Y426" i="43"/>
  <c r="AM102" i="43"/>
  <c r="S459" i="43"/>
  <c r="S449" i="43" s="1"/>
  <c r="S452" i="43" s="1"/>
  <c r="S230" i="43"/>
  <c r="AQ233" i="43" l="1"/>
  <c r="L225" i="43"/>
  <c r="AP221" i="43"/>
  <c r="L223" i="43"/>
  <c r="L226" i="43"/>
  <c r="AP226" i="43" s="1"/>
  <c r="Q2" i="43"/>
  <c r="N1" i="248"/>
  <c r="O2" i="248"/>
  <c r="AI90" i="248"/>
  <c r="AI20" i="248" s="1"/>
  <c r="AH20" i="248"/>
  <c r="AI82" i="248"/>
  <c r="AI12" i="248" s="1"/>
  <c r="AH12" i="248"/>
  <c r="AI123" i="248"/>
  <c r="AI53" i="248" s="1"/>
  <c r="AH53" i="248"/>
  <c r="AI76" i="248"/>
  <c r="AI6" i="248" s="1"/>
  <c r="AH6" i="248"/>
  <c r="AI94" i="248"/>
  <c r="AI24" i="248" s="1"/>
  <c r="AH24" i="248"/>
  <c r="AI83" i="248"/>
  <c r="AI13" i="248" s="1"/>
  <c r="AH13" i="248"/>
  <c r="AI118" i="248"/>
  <c r="AI48" i="248" s="1"/>
  <c r="AH48" i="248"/>
  <c r="AI108" i="248"/>
  <c r="AI38" i="248" s="1"/>
  <c r="AH38" i="248"/>
  <c r="AI273" i="248"/>
  <c r="AI258" i="248"/>
  <c r="AI272" i="248" s="1"/>
  <c r="AI112" i="248"/>
  <c r="AI42" i="248" s="1"/>
  <c r="AH42" i="248"/>
  <c r="AI116" i="248"/>
  <c r="AI46" i="248" s="1"/>
  <c r="AH46" i="248"/>
  <c r="AI89" i="248"/>
  <c r="AI19" i="248" s="1"/>
  <c r="AH19" i="248"/>
  <c r="AI91" i="248"/>
  <c r="AI21" i="248" s="1"/>
  <c r="AH21" i="248"/>
  <c r="AI107" i="248"/>
  <c r="AI37" i="248" s="1"/>
  <c r="AH37" i="248"/>
  <c r="AI104" i="248"/>
  <c r="AI34" i="248" s="1"/>
  <c r="AH34" i="248"/>
  <c r="AI117" i="248"/>
  <c r="AI47" i="248" s="1"/>
  <c r="AH47" i="248"/>
  <c r="AI79" i="248"/>
  <c r="AI9" i="248" s="1"/>
  <c r="AH9" i="248"/>
  <c r="AI120" i="248"/>
  <c r="AI50" i="248" s="1"/>
  <c r="AH50" i="248"/>
  <c r="AI106" i="248"/>
  <c r="AI36" i="248" s="1"/>
  <c r="AH36" i="248"/>
  <c r="AI84" i="248"/>
  <c r="AI14" i="248" s="1"/>
  <c r="AH14" i="248"/>
  <c r="AI110" i="248"/>
  <c r="AI40" i="248" s="1"/>
  <c r="AH40" i="248"/>
  <c r="AI105" i="248"/>
  <c r="AI35" i="248" s="1"/>
  <c r="AH35" i="248"/>
  <c r="AI124" i="248"/>
  <c r="AI54" i="248" s="1"/>
  <c r="AH54" i="248"/>
  <c r="AI100" i="248"/>
  <c r="AI30" i="248" s="1"/>
  <c r="AH30" i="248"/>
  <c r="AI114" i="248"/>
  <c r="AI44" i="248" s="1"/>
  <c r="AH44" i="248"/>
  <c r="AI95" i="248"/>
  <c r="AI25" i="248" s="1"/>
  <c r="AH25" i="248"/>
  <c r="AI93" i="248"/>
  <c r="AI23" i="248" s="1"/>
  <c r="AH23" i="248"/>
  <c r="AI78" i="248"/>
  <c r="AI8" i="248" s="1"/>
  <c r="AH8" i="248"/>
  <c r="AH258" i="248"/>
  <c r="AH272" i="248" s="1"/>
  <c r="AI121" i="248"/>
  <c r="AI51" i="248" s="1"/>
  <c r="AH51" i="248"/>
  <c r="AI77" i="248"/>
  <c r="AI7" i="248" s="1"/>
  <c r="AH7" i="248"/>
  <c r="AI115" i="248"/>
  <c r="AI45" i="248" s="1"/>
  <c r="AH45" i="248"/>
  <c r="AI111" i="248"/>
  <c r="AI41" i="248" s="1"/>
  <c r="AH41" i="248"/>
  <c r="AI119" i="248"/>
  <c r="AI49" i="248" s="1"/>
  <c r="AH49" i="248"/>
  <c r="AI113" i="248"/>
  <c r="AI43" i="248" s="1"/>
  <c r="AH43" i="248"/>
  <c r="AI122" i="248"/>
  <c r="AI52" i="248" s="1"/>
  <c r="AH52" i="248"/>
  <c r="AI80" i="248"/>
  <c r="AI10" i="248" s="1"/>
  <c r="AH10" i="248"/>
  <c r="AI75" i="248"/>
  <c r="AH125" i="248"/>
  <c r="AH187" i="248" s="1"/>
  <c r="AH189" i="248" s="1"/>
  <c r="AH5" i="248"/>
  <c r="AI86" i="248"/>
  <c r="AI16" i="248" s="1"/>
  <c r="AH16" i="248"/>
  <c r="AI97" i="248"/>
  <c r="AI27" i="248" s="1"/>
  <c r="AH27" i="248"/>
  <c r="AI98" i="248"/>
  <c r="AI28" i="248" s="1"/>
  <c r="AH28" i="248"/>
  <c r="AI102" i="248"/>
  <c r="AI32" i="248" s="1"/>
  <c r="AH32" i="248"/>
  <c r="AI87" i="248"/>
  <c r="AI17" i="248" s="1"/>
  <c r="AH17" i="248"/>
  <c r="U356" i="43"/>
  <c r="U358" i="43" s="1"/>
  <c r="U379" i="43"/>
  <c r="S377" i="43"/>
  <c r="S376" i="43" s="1"/>
  <c r="T376" i="43"/>
  <c r="AJ370" i="43"/>
  <c r="S241" i="43"/>
  <c r="S246" i="43" s="1"/>
  <c r="S233" i="43"/>
  <c r="R233" i="43"/>
  <c r="R241" i="43"/>
  <c r="R246" i="43" s="1"/>
  <c r="P241" i="43"/>
  <c r="P246" i="43" s="1"/>
  <c r="P233" i="43"/>
  <c r="Q234" i="43" s="1"/>
  <c r="X414" i="43"/>
  <c r="X427" i="43" s="1"/>
  <c r="X428" i="43" s="1"/>
  <c r="X426" i="43"/>
  <c r="T241" i="43"/>
  <c r="T246" i="43" s="1"/>
  <c r="T233" i="43"/>
  <c r="U234" i="43" s="1"/>
  <c r="AK81" i="43"/>
  <c r="AJ159" i="43"/>
  <c r="AJ160" i="43" s="1"/>
  <c r="X331" i="43"/>
  <c r="X333" i="43" s="1"/>
  <c r="X441" i="43"/>
  <c r="X324" i="43"/>
  <c r="X234" i="43"/>
  <c r="X237" i="43"/>
  <c r="N441" i="43"/>
  <c r="N324" i="43"/>
  <c r="N331" i="43"/>
  <c r="N333" i="43" s="1"/>
  <c r="N237" i="43"/>
  <c r="M233" i="43"/>
  <c r="N234" i="43" s="1"/>
  <c r="M241" i="43"/>
  <c r="M246" i="43" s="1"/>
  <c r="Y423" i="43"/>
  <c r="Y416" i="43"/>
  <c r="Y427" i="43"/>
  <c r="U418" i="43"/>
  <c r="V413" i="43"/>
  <c r="U441" i="43"/>
  <c r="U331" i="43"/>
  <c r="U333" i="43" s="1"/>
  <c r="U324" i="43"/>
  <c r="U237" i="43"/>
  <c r="O241" i="43"/>
  <c r="O246" i="43" s="1"/>
  <c r="O233" i="43"/>
  <c r="W421" i="43"/>
  <c r="W415" i="43"/>
  <c r="R3" i="43"/>
  <c r="AB331" i="43"/>
  <c r="AB333" i="43" s="1"/>
  <c r="AB441" i="43"/>
  <c r="AB324" i="43"/>
  <c r="AB234" i="43"/>
  <c r="AB237" i="43"/>
  <c r="V441" i="43"/>
  <c r="V324" i="43"/>
  <c r="V331" i="43"/>
  <c r="V333" i="43" s="1"/>
  <c r="V234" i="43"/>
  <c r="V237" i="43"/>
  <c r="AM381" i="43"/>
  <c r="AM266" i="43" s="1"/>
  <c r="AL266" i="43"/>
  <c r="W441" i="43"/>
  <c r="W324" i="43"/>
  <c r="W234" i="43"/>
  <c r="W237" i="43"/>
  <c r="W331" i="43"/>
  <c r="W333" i="43" s="1"/>
  <c r="S419" i="43"/>
  <c r="T430" i="43"/>
  <c r="T417" i="43"/>
  <c r="Z441" i="43"/>
  <c r="Z324" i="43"/>
  <c r="Z331" i="43"/>
  <c r="Z333" i="43" s="1"/>
  <c r="Z234" i="43"/>
  <c r="Z237" i="43"/>
  <c r="AK119" i="43"/>
  <c r="AL117" i="43"/>
  <c r="AK56" i="43"/>
  <c r="Y441" i="43"/>
  <c r="Y331" i="43"/>
  <c r="Y333" i="43" s="1"/>
  <c r="Y234" i="43"/>
  <c r="Y324" i="43"/>
  <c r="Y237" i="43"/>
  <c r="AA441" i="43"/>
  <c r="AA331" i="43"/>
  <c r="AA333" i="43" s="1"/>
  <c r="AA234" i="43"/>
  <c r="AA324" i="43"/>
  <c r="AA237" i="43"/>
  <c r="Q441" i="43"/>
  <c r="Q331" i="43"/>
  <c r="Q333" i="43" s="1"/>
  <c r="Q324" i="43"/>
  <c r="Q237" i="43"/>
  <c r="L230" i="43" l="1"/>
  <c r="AP230" i="43" s="1"/>
  <c r="L459" i="43"/>
  <c r="L449" i="43" s="1"/>
  <c r="L452" i="43" s="1"/>
  <c r="H406" i="248" s="1"/>
  <c r="L446" i="43"/>
  <c r="L447" i="43"/>
  <c r="AO117" i="43"/>
  <c r="AR117" i="43"/>
  <c r="R2" i="43"/>
  <c r="P2" i="248"/>
  <c r="O1" i="248"/>
  <c r="AI125" i="248"/>
  <c r="AI187" i="248" s="1"/>
  <c r="AI189" i="248" s="1"/>
  <c r="AI5" i="248"/>
  <c r="AH179" i="248"/>
  <c r="AI179" i="248" s="1"/>
  <c r="AH58" i="248"/>
  <c r="AH55" i="248"/>
  <c r="T356" i="43"/>
  <c r="T358" i="43" s="1"/>
  <c r="T379" i="43"/>
  <c r="S356" i="43"/>
  <c r="S358" i="43" s="1"/>
  <c r="S379" i="43"/>
  <c r="Y425" i="43"/>
  <c r="Y428" i="43"/>
  <c r="AK370" i="43"/>
  <c r="X425" i="43"/>
  <c r="AA443" i="43"/>
  <c r="AA442" i="43"/>
  <c r="Y443" i="43"/>
  <c r="Y442" i="43"/>
  <c r="Z442" i="43"/>
  <c r="Z443" i="43"/>
  <c r="W443" i="43"/>
  <c r="W442" i="43"/>
  <c r="S430" i="43"/>
  <c r="S417" i="43"/>
  <c r="S3" i="43"/>
  <c r="O441" i="43"/>
  <c r="O324" i="43"/>
  <c r="O234" i="43"/>
  <c r="O237" i="43"/>
  <c r="O331" i="43"/>
  <c r="O333" i="43" s="1"/>
  <c r="V415" i="43"/>
  <c r="V421" i="43"/>
  <c r="R441" i="43"/>
  <c r="R324" i="43"/>
  <c r="R331" i="43"/>
  <c r="R333" i="43" s="1"/>
  <c r="R234" i="43"/>
  <c r="R237" i="43"/>
  <c r="W426" i="43"/>
  <c r="W414" i="43"/>
  <c r="W427" i="43" s="1"/>
  <c r="W428" i="43" s="1"/>
  <c r="N442" i="43"/>
  <c r="N443" i="43"/>
  <c r="X443" i="43"/>
  <c r="X442" i="43"/>
  <c r="T331" i="43"/>
  <c r="T333" i="43" s="1"/>
  <c r="T324" i="43"/>
  <c r="T234" i="43"/>
  <c r="T441" i="43"/>
  <c r="T237" i="43"/>
  <c r="X423" i="43"/>
  <c r="X416" i="43"/>
  <c r="Q443" i="43"/>
  <c r="Q442" i="43"/>
  <c r="AL56" i="43"/>
  <c r="AM117" i="43"/>
  <c r="AL119" i="43"/>
  <c r="P441" i="43"/>
  <c r="P331" i="43"/>
  <c r="P333" i="43" s="1"/>
  <c r="P324" i="43"/>
  <c r="P234" i="43"/>
  <c r="P237" i="43"/>
  <c r="S441" i="43"/>
  <c r="S331" i="43"/>
  <c r="S333" i="43" s="1"/>
  <c r="S234" i="43"/>
  <c r="S324" i="43"/>
  <c r="S237" i="43"/>
  <c r="T418" i="43"/>
  <c r="U413" i="43"/>
  <c r="V442" i="43"/>
  <c r="V443" i="43"/>
  <c r="AB443" i="43"/>
  <c r="AB442" i="43"/>
  <c r="U443" i="43"/>
  <c r="U442" i="43"/>
  <c r="M441" i="43"/>
  <c r="M331" i="43"/>
  <c r="M333" i="43" s="1"/>
  <c r="M324" i="43"/>
  <c r="M237" i="43"/>
  <c r="AK159" i="43"/>
  <c r="AK160" i="43" s="1"/>
  <c r="AL81" i="43"/>
  <c r="AO119" i="43" l="1"/>
  <c r="AR119" i="43"/>
  <c r="AO81" i="43"/>
  <c r="AR81" i="43"/>
  <c r="L241" i="43"/>
  <c r="L246" i="43" s="1"/>
  <c r="L233" i="43"/>
  <c r="AP233" i="43" s="1"/>
  <c r="AO56" i="43"/>
  <c r="AR56" i="43"/>
  <c r="S2" i="43"/>
  <c r="T3" i="43"/>
  <c r="P1" i="248"/>
  <c r="Q2" i="248"/>
  <c r="AL76" i="43"/>
  <c r="AI58" i="248"/>
  <c r="AI55" i="248"/>
  <c r="AH178" i="248"/>
  <c r="AI178" i="248" s="1"/>
  <c r="AH60" i="248"/>
  <c r="W425" i="43"/>
  <c r="AM370" i="43"/>
  <c r="AL370" i="43"/>
  <c r="AL159" i="43"/>
  <c r="AL160" i="43" s="1"/>
  <c r="AM81" i="43"/>
  <c r="U415" i="43"/>
  <c r="U421" i="43"/>
  <c r="P443" i="43"/>
  <c r="P442" i="43"/>
  <c r="V426" i="43"/>
  <c r="V414" i="43"/>
  <c r="M443" i="43"/>
  <c r="M442" i="43"/>
  <c r="AM56" i="43"/>
  <c r="AM119" i="43"/>
  <c r="T443" i="43"/>
  <c r="T442" i="43"/>
  <c r="R442" i="43"/>
  <c r="R443" i="43"/>
  <c r="S416" i="43"/>
  <c r="T413" i="43"/>
  <c r="S418" i="43"/>
  <c r="S443" i="43"/>
  <c r="S442" i="43"/>
  <c r="W423" i="43"/>
  <c r="W416" i="43"/>
  <c r="O443" i="43"/>
  <c r="O442" i="43"/>
  <c r="L441" i="43" l="1"/>
  <c r="M234" i="43"/>
  <c r="L324" i="43"/>
  <c r="L237" i="43"/>
  <c r="L234" i="43"/>
  <c r="L331" i="43"/>
  <c r="L333" i="43" s="1"/>
  <c r="AH57" i="248"/>
  <c r="AR76" i="43"/>
  <c r="AO76" i="43"/>
  <c r="T2" i="43"/>
  <c r="AH62" i="248"/>
  <c r="AH72" i="248"/>
  <c r="U3" i="43"/>
  <c r="Q1" i="248"/>
  <c r="R2" i="248"/>
  <c r="AL409" i="43"/>
  <c r="AL407" i="43" s="1"/>
  <c r="AL410" i="43" s="1"/>
  <c r="AL411" i="43" s="1"/>
  <c r="AL431" i="43" s="1"/>
  <c r="AM76" i="43"/>
  <c r="AI57" i="248" s="1"/>
  <c r="AH63" i="248"/>
  <c r="AI60" i="248"/>
  <c r="AI56" i="248"/>
  <c r="T421" i="43"/>
  <c r="T415" i="43"/>
  <c r="V423" i="43"/>
  <c r="V416" i="43"/>
  <c r="V427" i="43"/>
  <c r="AM159" i="43"/>
  <c r="AM160" i="43" s="1"/>
  <c r="U414" i="43"/>
  <c r="U427" i="43" s="1"/>
  <c r="U428" i="43" s="1"/>
  <c r="U426" i="43"/>
  <c r="L442" i="43" l="1"/>
  <c r="L443" i="43"/>
  <c r="U2" i="43"/>
  <c r="AI62" i="248"/>
  <c r="AI72" i="248"/>
  <c r="AH65" i="248"/>
  <c r="AH66" i="248" s="1"/>
  <c r="AH73" i="248"/>
  <c r="V3" i="43"/>
  <c r="R1" i="248"/>
  <c r="S2" i="248"/>
  <c r="AM77" i="43"/>
  <c r="AM78" i="43"/>
  <c r="AM409" i="43"/>
  <c r="AM407" i="43" s="1"/>
  <c r="AM410" i="43" s="1"/>
  <c r="AM411" i="43" s="1"/>
  <c r="AM431" i="43" s="1"/>
  <c r="AI63" i="248"/>
  <c r="V425" i="43"/>
  <c r="V428" i="43"/>
  <c r="U425" i="43"/>
  <c r="U423" i="43"/>
  <c r="U416" i="43"/>
  <c r="T414" i="43"/>
  <c r="T426" i="43"/>
  <c r="AL37" i="43" l="1"/>
  <c r="AL401" i="43" s="1"/>
  <c r="V2" i="43"/>
  <c r="AI65" i="248"/>
  <c r="AI66" i="248" s="1"/>
  <c r="AM37" i="43" s="1"/>
  <c r="AI73" i="248"/>
  <c r="W3" i="43"/>
  <c r="S1" i="248"/>
  <c r="T2" i="248"/>
  <c r="T423" i="43"/>
  <c r="T416" i="43"/>
  <c r="T427" i="43"/>
  <c r="AL26" i="43" l="1"/>
  <c r="AR26" i="43" s="1"/>
  <c r="W2" i="43"/>
  <c r="X3" i="43"/>
  <c r="U2" i="248"/>
  <c r="T1" i="248"/>
  <c r="AL282" i="43"/>
  <c r="AM397" i="43"/>
  <c r="AM399" i="43" s="1"/>
  <c r="AM401" i="43"/>
  <c r="AM26" i="43"/>
  <c r="T425" i="43"/>
  <c r="T428" i="43"/>
  <c r="AO26" i="43" l="1"/>
  <c r="AM282" i="43"/>
  <c r="X2" i="43"/>
  <c r="Y3" i="43"/>
  <c r="U1" i="248"/>
  <c r="V2" i="248"/>
  <c r="Y2" i="43" l="1"/>
  <c r="Z3" i="43"/>
  <c r="W2" i="248"/>
  <c r="V1" i="248"/>
  <c r="Z2" i="43" l="1"/>
  <c r="AA3" i="43"/>
  <c r="W1" i="248"/>
  <c r="X2" i="248"/>
  <c r="AA2" i="43" l="1"/>
  <c r="AB3" i="43"/>
  <c r="Y2" i="248"/>
  <c r="Z2" i="248" s="1"/>
  <c r="AA2" i="248" s="1"/>
  <c r="AB2" i="248" s="1"/>
  <c r="AC2" i="248" s="1"/>
  <c r="AD2" i="248" s="1"/>
  <c r="AE2" i="248" s="1"/>
  <c r="AF2" i="248" s="1"/>
  <c r="AG2" i="248" s="1"/>
  <c r="AH2" i="248" s="1"/>
  <c r="AI2" i="248" s="1"/>
  <c r="X1" i="248"/>
  <c r="C62" i="22" l="1"/>
  <c r="C64" i="22"/>
  <c r="AB2" i="43"/>
  <c r="AC3" i="43"/>
  <c r="AD3" i="43" l="1"/>
  <c r="D62" i="22"/>
  <c r="AE3" i="43" l="1"/>
  <c r="F62" i="22" s="1"/>
  <c r="E62" i="22"/>
  <c r="AF3" i="43" l="1"/>
  <c r="AG3" i="43" l="1"/>
  <c r="H62" i="22"/>
  <c r="G62" i="22"/>
  <c r="AH3" i="43" l="1"/>
  <c r="AI3" i="43" l="1"/>
  <c r="I62" i="22"/>
  <c r="J62" i="22"/>
  <c r="AJ3" i="43" l="1"/>
  <c r="AK3" i="43" l="1"/>
  <c r="L62" i="22"/>
  <c r="K62" i="22"/>
  <c r="AL3" i="43" l="1"/>
  <c r="AM3" i="43" l="1"/>
  <c r="M62" i="22"/>
  <c r="AH68" i="248" l="1"/>
  <c r="AI68" i="248"/>
  <c r="AI71" i="248" s="1"/>
  <c r="AH247" i="248" l="1"/>
  <c r="AH261" i="248" s="1"/>
  <c r="AL71" i="43"/>
  <c r="AI247" i="248"/>
  <c r="AI261" i="248" s="1"/>
  <c r="AM71" i="43"/>
  <c r="AI69" i="248"/>
  <c r="AR71" i="43" l="1"/>
  <c r="AO71" i="43"/>
  <c r="AM134" i="43"/>
  <c r="AM138" i="43" s="1"/>
  <c r="AM135" i="43"/>
  <c r="AM139" i="43" s="1"/>
  <c r="AL134" i="43"/>
  <c r="AL138" i="43" s="1"/>
  <c r="AL135" i="43"/>
  <c r="AL139" i="43" s="1"/>
  <c r="AM79" i="43"/>
  <c r="AI190" i="248" s="1"/>
  <c r="AI195" i="248" s="1"/>
  <c r="AM95" i="43"/>
  <c r="AL79" i="43"/>
  <c r="AH190" i="248" s="1"/>
  <c r="AH198" i="248" s="1"/>
  <c r="AL95" i="43"/>
  <c r="AM83" i="43"/>
  <c r="AM86" i="43" s="1"/>
  <c r="AM115" i="43" s="1"/>
  <c r="AL83" i="43"/>
  <c r="AL86" i="43" s="1"/>
  <c r="AL115" i="43" s="1"/>
  <c r="AL125" i="43" s="1"/>
  <c r="AM74" i="43"/>
  <c r="AL31" i="43"/>
  <c r="AM73" i="43"/>
  <c r="AM31" i="43"/>
  <c r="AM54" i="43" l="1"/>
  <c r="AM125" i="43"/>
  <c r="AR115" i="43"/>
  <c r="AO115" i="43"/>
  <c r="AR95" i="43"/>
  <c r="AO95" i="43"/>
  <c r="AR31" i="43"/>
  <c r="AO31" i="43"/>
  <c r="AM141" i="43"/>
  <c r="AM116" i="43" s="1"/>
  <c r="AM126" i="43" s="1"/>
  <c r="AL141" i="43"/>
  <c r="AL116" i="43" s="1"/>
  <c r="AL126" i="43" s="1"/>
  <c r="AI238" i="248"/>
  <c r="AI229" i="248"/>
  <c r="AI212" i="248"/>
  <c r="AI200" i="248"/>
  <c r="AI201" i="248"/>
  <c r="AI214" i="248"/>
  <c r="AI237" i="248"/>
  <c r="AI241" i="248"/>
  <c r="AI224" i="248"/>
  <c r="AI236" i="248"/>
  <c r="AI225" i="248"/>
  <c r="AI210" i="248"/>
  <c r="AI207" i="248"/>
  <c r="AI203" i="248"/>
  <c r="AI226" i="248"/>
  <c r="AI199" i="248"/>
  <c r="AI232" i="248"/>
  <c r="AI205" i="248"/>
  <c r="AI230" i="248"/>
  <c r="AI240" i="248"/>
  <c r="AI218" i="248"/>
  <c r="AI197" i="248"/>
  <c r="AI233" i="248"/>
  <c r="AI211" i="248"/>
  <c r="AI213" i="248"/>
  <c r="AI239" i="248"/>
  <c r="AH234" i="248"/>
  <c r="AH218" i="248"/>
  <c r="AH232" i="248"/>
  <c r="AH216" i="248"/>
  <c r="AH230" i="248"/>
  <c r="AH222" i="248"/>
  <c r="AH211" i="248"/>
  <c r="AH213" i="248"/>
  <c r="AH221" i="248"/>
  <c r="AH225" i="248"/>
  <c r="AH197" i="248"/>
  <c r="AH214" i="248"/>
  <c r="AH199" i="248"/>
  <c r="AH209" i="248"/>
  <c r="AH203" i="248"/>
  <c r="AH240" i="248"/>
  <c r="AH195" i="248"/>
  <c r="AH242" i="248"/>
  <c r="AH219" i="248"/>
  <c r="AH237" i="248"/>
  <c r="AH210" i="248"/>
  <c r="AH207" i="248"/>
  <c r="AH228" i="248"/>
  <c r="AH231" i="248"/>
  <c r="AH208" i="248"/>
  <c r="AH241" i="248"/>
  <c r="AH196" i="248"/>
  <c r="AH227" i="248"/>
  <c r="AH229" i="248"/>
  <c r="AH204" i="248"/>
  <c r="AH235" i="248"/>
  <c r="AH194" i="248"/>
  <c r="AH217" i="248"/>
  <c r="AH193" i="248"/>
  <c r="AH226" i="248"/>
  <c r="AH236" i="248"/>
  <c r="AH238" i="248"/>
  <c r="AH202" i="248"/>
  <c r="AH192" i="248"/>
  <c r="AH212" i="248"/>
  <c r="AH201" i="248"/>
  <c r="AH206" i="248"/>
  <c r="AH220" i="248"/>
  <c r="AH223" i="248"/>
  <c r="AH215" i="248"/>
  <c r="AH233" i="248"/>
  <c r="AH224" i="248"/>
  <c r="AH200" i="248"/>
  <c r="AH205" i="248"/>
  <c r="AH239" i="248"/>
  <c r="AI217" i="248"/>
  <c r="AI215" i="248"/>
  <c r="AI209" i="248"/>
  <c r="AI221" i="248"/>
  <c r="AI219" i="248"/>
  <c r="AI196" i="248"/>
  <c r="AI223" i="248"/>
  <c r="AI192" i="248"/>
  <c r="AI208" i="248"/>
  <c r="AI228" i="248"/>
  <c r="AI216" i="248"/>
  <c r="AI242" i="248"/>
  <c r="AI234" i="248"/>
  <c r="AI194" i="248"/>
  <c r="AI220" i="248"/>
  <c r="AI227" i="248"/>
  <c r="AI202" i="248"/>
  <c r="AI235" i="248"/>
  <c r="AI198" i="248"/>
  <c r="AI222" i="248"/>
  <c r="AI231" i="248"/>
  <c r="AI193" i="248"/>
  <c r="AI204" i="248"/>
  <c r="AI206" i="248"/>
  <c r="AL52" i="43"/>
  <c r="AM52" i="43"/>
  <c r="AM33" i="43" s="1"/>
  <c r="AM88" i="43"/>
  <c r="AM87" i="43" s="1"/>
  <c r="AL88" i="43"/>
  <c r="AL90" i="43" s="1"/>
  <c r="AL54" i="43"/>
  <c r="AL128" i="43" l="1"/>
  <c r="AO128" i="43" s="1"/>
  <c r="AM128" i="43"/>
  <c r="AL55" i="43"/>
  <c r="AR90" i="43"/>
  <c r="AO90" i="43"/>
  <c r="AR54" i="43"/>
  <c r="AO54" i="43"/>
  <c r="AL33" i="43"/>
  <c r="AR52" i="43"/>
  <c r="AO52" i="43"/>
  <c r="AM59" i="43"/>
  <c r="AM64" i="43" s="1"/>
  <c r="AL59" i="43"/>
  <c r="AL118" i="43"/>
  <c r="AL87" i="43"/>
  <c r="AM90" i="43"/>
  <c r="AM91" i="43" s="1"/>
  <c r="AM55" i="43"/>
  <c r="AM118" i="43"/>
  <c r="AR128" i="43" l="1"/>
  <c r="AL120" i="43"/>
  <c r="AL121" i="43" s="1"/>
  <c r="AR118" i="43"/>
  <c r="AO118" i="43"/>
  <c r="AL64" i="43"/>
  <c r="AO59" i="43"/>
  <c r="AR59" i="43"/>
  <c r="AL123" i="43"/>
  <c r="AM120" i="43"/>
  <c r="AM123" i="43"/>
  <c r="AL61" i="43" l="1"/>
  <c r="AR61" i="43" s="1"/>
  <c r="AR120" i="43"/>
  <c r="AO120" i="43"/>
  <c r="AM61" i="43"/>
  <c r="AM121" i="43"/>
  <c r="AO61" i="43" l="1"/>
  <c r="AL66" i="43"/>
  <c r="AM66" i="43"/>
  <c r="Y128" i="248" l="1"/>
  <c r="Y5" i="248" s="1"/>
  <c r="Y130" i="248"/>
  <c r="Y7" i="248" s="1"/>
  <c r="Y132" i="248"/>
  <c r="Y9" i="248" s="1"/>
  <c r="Y133" i="248"/>
  <c r="Y10" i="248" s="1"/>
  <c r="Y134" i="248"/>
  <c r="Y11" i="248" s="1"/>
  <c r="Y135" i="248"/>
  <c r="Y12" i="248" s="1"/>
  <c r="Y136" i="248"/>
  <c r="Y13" i="248" s="1"/>
  <c r="Y137" i="248"/>
  <c r="Y14" i="248" s="1"/>
  <c r="Y139" i="248"/>
  <c r="Y16" i="248" s="1"/>
  <c r="Y140" i="248"/>
  <c r="Y17" i="248" s="1"/>
  <c r="Y141" i="248"/>
  <c r="Y18" i="248" s="1"/>
  <c r="Y142" i="248"/>
  <c r="Y19" i="248" s="1"/>
  <c r="Y143" i="248"/>
  <c r="Y20" i="248" s="1"/>
  <c r="Y144" i="248"/>
  <c r="Y21" i="248" s="1"/>
  <c r="Y145" i="248"/>
  <c r="Y22" i="248" s="1"/>
  <c r="Y146" i="248"/>
  <c r="Y23" i="248" s="1"/>
  <c r="Y147" i="248"/>
  <c r="Y24" i="248" s="1"/>
  <c r="Y148" i="248"/>
  <c r="Y25" i="248" s="1"/>
  <c r="Y149" i="248"/>
  <c r="Y26" i="248" s="1"/>
  <c r="Y150" i="248"/>
  <c r="Y27" i="248" s="1"/>
  <c r="Y151" i="248"/>
  <c r="Y28" i="248" s="1"/>
  <c r="Y152" i="248"/>
  <c r="Y29" i="248" s="1"/>
  <c r="Y154" i="248"/>
  <c r="Y31" i="248" s="1"/>
  <c r="Y155" i="248"/>
  <c r="Y32" i="248" s="1"/>
  <c r="Y156" i="248"/>
  <c r="Y33" i="248" s="1"/>
  <c r="Y157" i="248"/>
  <c r="Y34" i="248" s="1"/>
  <c r="Y158" i="248"/>
  <c r="Y35" i="248" s="1"/>
  <c r="Y159" i="248"/>
  <c r="Y36" i="248" s="1"/>
  <c r="Y160" i="248"/>
  <c r="Y37" i="248" s="1"/>
  <c r="Y162" i="248"/>
  <c r="Y39" i="248" s="1"/>
  <c r="Y163" i="248"/>
  <c r="Y40" i="248" s="1"/>
  <c r="Y164" i="248"/>
  <c r="Y41" i="248" s="1"/>
  <c r="Y165" i="248"/>
  <c r="Y42" i="248" s="1"/>
  <c r="Y166" i="248"/>
  <c r="Y43" i="248" s="1"/>
  <c r="Y167" i="248"/>
  <c r="Y44" i="248" s="1"/>
  <c r="Y169" i="248"/>
  <c r="Y46" i="248" s="1"/>
  <c r="Y170" i="248"/>
  <c r="Y47" i="248" s="1"/>
  <c r="Y171" i="248"/>
  <c r="Y48" i="248" s="1"/>
  <c r="Y172" i="248"/>
  <c r="Y49" i="248" s="1"/>
  <c r="Y173" i="248"/>
  <c r="Y50" i="248" s="1"/>
  <c r="Y174" i="248"/>
  <c r="Y51" i="248" s="1"/>
  <c r="Y176" i="248"/>
  <c r="Y53" i="248" s="1"/>
  <c r="Y177" i="248"/>
  <c r="Y54" i="248" s="1"/>
  <c r="Y179" i="248" l="1"/>
  <c r="Y58" i="248"/>
  <c r="Y55" i="248"/>
  <c r="Y56" i="248" l="1"/>
  <c r="Y178" i="248"/>
  <c r="Y180" i="248" s="1"/>
  <c r="AC76" i="43"/>
  <c r="Y57" i="248" l="1"/>
  <c r="AC77" i="43"/>
  <c r="AC78" i="43"/>
  <c r="AC409" i="43"/>
  <c r="AC407" i="43" s="1"/>
  <c r="AC410" i="43" s="1"/>
  <c r="AC411" i="43" s="1"/>
  <c r="AC366" i="43" l="1"/>
  <c r="AC419" i="43" s="1"/>
  <c r="AC431" i="43"/>
  <c r="AC430" i="43" l="1"/>
  <c r="AM96" i="43"/>
  <c r="AL104" i="43"/>
  <c r="AL107" i="43" s="1"/>
  <c r="AM104" i="43"/>
  <c r="AM107" i="43" s="1"/>
  <c r="AM109" i="43" s="1"/>
  <c r="AO107" i="43" l="1"/>
  <c r="AR107" i="43"/>
  <c r="AL53" i="43"/>
  <c r="AL109" i="43"/>
  <c r="AM60" i="43"/>
  <c r="AM108" i="43"/>
  <c r="AM111" i="43"/>
  <c r="AM53" i="43"/>
  <c r="AM57" i="43" s="1"/>
  <c r="AM7" i="43" s="1"/>
  <c r="AR109" i="43" l="1"/>
  <c r="AO109" i="43"/>
  <c r="AL57" i="43"/>
  <c r="AO53" i="43"/>
  <c r="AR53" i="43"/>
  <c r="AL111" i="43"/>
  <c r="AL60" i="43"/>
  <c r="AL108" i="43"/>
  <c r="AM28" i="43"/>
  <c r="AM27" i="43"/>
  <c r="AM43" i="43"/>
  <c r="AM205" i="43"/>
  <c r="AM402" i="43"/>
  <c r="AM62" i="43"/>
  <c r="AM65" i="43"/>
  <c r="AR111" i="43" l="1"/>
  <c r="AO111" i="43"/>
  <c r="AR60" i="43"/>
  <c r="AO60" i="43"/>
  <c r="AL7" i="43"/>
  <c r="AR7" i="43" s="1"/>
  <c r="AR57" i="43"/>
  <c r="AO57" i="43"/>
  <c r="AL62" i="43"/>
  <c r="AL65" i="43"/>
  <c r="AM314" i="43"/>
  <c r="AM9" i="43"/>
  <c r="AM19" i="43" s="1"/>
  <c r="AM67" i="43"/>
  <c r="AL27" i="43" l="1"/>
  <c r="AR27" i="43" s="1"/>
  <c r="AL43" i="43"/>
  <c r="AR62" i="43"/>
  <c r="AO62" i="43"/>
  <c r="AL205" i="43"/>
  <c r="AR205" i="43" s="1"/>
  <c r="AL28" i="43"/>
  <c r="AR28" i="43" s="1"/>
  <c r="AO7" i="43"/>
  <c r="AL402" i="43"/>
  <c r="AL9" i="43"/>
  <c r="AR9" i="43" s="1"/>
  <c r="AL67" i="43"/>
  <c r="AM8" i="43"/>
  <c r="AL314" i="43" l="1"/>
  <c r="AM316" i="43" s="1"/>
  <c r="AM249" i="43" s="1"/>
  <c r="AO205" i="43"/>
  <c r="AO27" i="43"/>
  <c r="AM206" i="43"/>
  <c r="AM207" i="43" s="1"/>
  <c r="AM456" i="43" s="1"/>
  <c r="AO28" i="43"/>
  <c r="AO9" i="43"/>
  <c r="AL8" i="43"/>
  <c r="AL19" i="43"/>
  <c r="AC170" i="43"/>
  <c r="AD170" i="43"/>
  <c r="AD163" i="43" s="1"/>
  <c r="AE170" i="43"/>
  <c r="AF170" i="43"/>
  <c r="AG170" i="43"/>
  <c r="AG163" i="43" s="1"/>
  <c r="AH170" i="43"/>
  <c r="AH163" i="43" s="1"/>
  <c r="AI170" i="43"/>
  <c r="AJ170" i="43"/>
  <c r="AK170" i="43"/>
  <c r="AK163" i="43" s="1"/>
  <c r="AL170" i="43"/>
  <c r="AL163" i="43" s="1"/>
  <c r="AM170" i="43"/>
  <c r="AR8" i="43" l="1"/>
  <c r="AD174" i="43"/>
  <c r="AO8" i="43"/>
  <c r="AL206" i="43"/>
  <c r="AL207" i="43" s="1"/>
  <c r="AR207" i="43" s="1"/>
  <c r="AH174" i="43"/>
  <c r="AL174" i="43"/>
  <c r="AJ174" i="43"/>
  <c r="AJ163" i="43"/>
  <c r="AF174" i="43"/>
  <c r="AF163" i="43"/>
  <c r="AK174" i="43"/>
  <c r="AM174" i="43"/>
  <c r="AM163" i="43"/>
  <c r="AM162" i="43" s="1"/>
  <c r="AI174" i="43"/>
  <c r="AI163" i="43"/>
  <c r="AE174" i="43"/>
  <c r="AE163" i="43"/>
  <c r="AG174" i="43"/>
  <c r="AC174" i="43"/>
  <c r="AC163" i="43"/>
  <c r="AL162" i="43"/>
  <c r="AL456" i="43" l="1"/>
  <c r="AO207" i="43"/>
  <c r="AL181" i="43"/>
  <c r="AL182" i="43"/>
  <c r="AM181" i="43"/>
  <c r="AM182" i="43"/>
  <c r="AL158" i="43"/>
  <c r="AL145" i="43" s="1"/>
  <c r="AM158" i="43"/>
  <c r="AM145" i="43" s="1"/>
  <c r="Z128" i="248"/>
  <c r="Z5" i="248" s="1"/>
  <c r="Z130" i="248"/>
  <c r="Z7" i="248" s="1"/>
  <c r="Z132" i="248"/>
  <c r="Z9" i="248" s="1"/>
  <c r="Z133" i="248"/>
  <c r="Z10" i="248" s="1"/>
  <c r="Z134" i="248"/>
  <c r="Z11" i="248" s="1"/>
  <c r="Z135" i="248"/>
  <c r="Z12" i="248" s="1"/>
  <c r="Z136" i="248"/>
  <c r="Z13" i="248" s="1"/>
  <c r="Z137" i="248"/>
  <c r="Z14" i="248" s="1"/>
  <c r="Z139" i="248"/>
  <c r="Z16" i="248" s="1"/>
  <c r="Z140" i="248"/>
  <c r="Z17" i="248" s="1"/>
  <c r="Z141" i="248"/>
  <c r="Z18" i="248" s="1"/>
  <c r="Z142" i="248"/>
  <c r="Z19" i="248" s="1"/>
  <c r="Z143" i="248"/>
  <c r="Z20" i="248" s="1"/>
  <c r="Z144" i="248"/>
  <c r="Z21" i="248" s="1"/>
  <c r="Z145" i="248"/>
  <c r="Z22" i="248" s="1"/>
  <c r="Z146" i="248"/>
  <c r="Z23" i="248" s="1"/>
  <c r="Z147" i="248"/>
  <c r="Z24" i="248" s="1"/>
  <c r="Z148" i="248"/>
  <c r="Z25" i="248" s="1"/>
  <c r="Z149" i="248"/>
  <c r="Z26" i="248" s="1"/>
  <c r="Z150" i="248"/>
  <c r="Z27" i="248" s="1"/>
  <c r="Z151" i="248"/>
  <c r="Z28" i="248" s="1"/>
  <c r="Z152" i="248"/>
  <c r="Z29" i="248" s="1"/>
  <c r="Z154" i="248"/>
  <c r="Z31" i="248" s="1"/>
  <c r="Z155" i="248"/>
  <c r="Z32" i="248" s="1"/>
  <c r="Z156" i="248"/>
  <c r="Z33" i="248" s="1"/>
  <c r="Z157" i="248"/>
  <c r="Z34" i="248" s="1"/>
  <c r="Z158" i="248"/>
  <c r="Z35" i="248" s="1"/>
  <c r="Z159" i="248"/>
  <c r="Z36" i="248" s="1"/>
  <c r="Z160" i="248"/>
  <c r="Z37" i="248" s="1"/>
  <c r="Z162" i="248"/>
  <c r="Z39" i="248" s="1"/>
  <c r="Z163" i="248"/>
  <c r="Z40" i="248" s="1"/>
  <c r="Z164" i="248"/>
  <c r="Z41" i="248" s="1"/>
  <c r="Z165" i="248"/>
  <c r="Z42" i="248" s="1"/>
  <c r="Z166" i="248"/>
  <c r="Z43" i="248" s="1"/>
  <c r="Z167" i="248"/>
  <c r="Z44" i="248" s="1"/>
  <c r="Z169" i="248"/>
  <c r="Z46" i="248" s="1"/>
  <c r="Z170" i="248"/>
  <c r="Z47" i="248" s="1"/>
  <c r="Z171" i="248"/>
  <c r="Z48" i="248" s="1"/>
  <c r="Z172" i="248"/>
  <c r="Z49" i="248" s="1"/>
  <c r="Z173" i="248"/>
  <c r="Z50" i="248" s="1"/>
  <c r="Z174" i="248"/>
  <c r="Z51" i="248" s="1"/>
  <c r="Z176" i="248"/>
  <c r="Z53" i="248" s="1"/>
  <c r="Z177" i="248"/>
  <c r="Z54" i="248" s="1"/>
  <c r="Z179" i="248" l="1"/>
  <c r="Z55" i="248"/>
  <c r="Z58" i="248"/>
  <c r="Z56" i="248" l="1"/>
  <c r="Z178" i="248"/>
  <c r="Z180" i="248" s="1"/>
  <c r="AD76" i="43"/>
  <c r="Z57" i="248" l="1"/>
  <c r="AD77" i="43"/>
  <c r="AD78" i="43"/>
  <c r="AD409" i="43"/>
  <c r="AD407" i="43" s="1"/>
  <c r="AD410" i="43" s="1"/>
  <c r="AD411" i="43" s="1"/>
  <c r="AD366" i="43" l="1"/>
  <c r="AD419" i="43" s="1"/>
  <c r="AD431" i="43"/>
  <c r="AD430" i="43" l="1"/>
  <c r="AA128" i="248"/>
  <c r="AA5" i="248" s="1"/>
  <c r="AA130" i="248"/>
  <c r="AA7" i="248" s="1"/>
  <c r="AA132" i="248"/>
  <c r="AA9" i="248" s="1"/>
  <c r="AA133" i="248"/>
  <c r="AA10" i="248" s="1"/>
  <c r="AA134" i="248"/>
  <c r="AA11" i="248" s="1"/>
  <c r="AA135" i="248"/>
  <c r="AA12" i="248" s="1"/>
  <c r="AA136" i="248"/>
  <c r="AA13" i="248" s="1"/>
  <c r="AA137" i="248"/>
  <c r="AA14" i="248" s="1"/>
  <c r="AA139" i="248"/>
  <c r="AA16" i="248" s="1"/>
  <c r="AA140" i="248"/>
  <c r="AA17" i="248" s="1"/>
  <c r="AA141" i="248"/>
  <c r="AA18" i="248" s="1"/>
  <c r="AA142" i="248"/>
  <c r="AA19" i="248" s="1"/>
  <c r="AA143" i="248"/>
  <c r="AA20" i="248" s="1"/>
  <c r="AA144" i="248"/>
  <c r="AA21" i="248" s="1"/>
  <c r="AA145" i="248"/>
  <c r="AA22" i="248" s="1"/>
  <c r="AA146" i="248"/>
  <c r="AA23" i="248" s="1"/>
  <c r="AA147" i="248"/>
  <c r="AA24" i="248" s="1"/>
  <c r="AA148" i="248"/>
  <c r="AA25" i="248" s="1"/>
  <c r="AA149" i="248"/>
  <c r="AA26" i="248" s="1"/>
  <c r="AA150" i="248"/>
  <c r="AA27" i="248" s="1"/>
  <c r="AA151" i="248"/>
  <c r="AA28" i="248" s="1"/>
  <c r="AA152" i="248"/>
  <c r="AA29" i="248" s="1"/>
  <c r="AA153" i="248"/>
  <c r="AA30" i="248" s="1"/>
  <c r="AA154" i="248"/>
  <c r="AA31" i="248" s="1"/>
  <c r="AA155" i="248"/>
  <c r="AA32" i="248" s="1"/>
  <c r="AA156" i="248"/>
  <c r="AA33" i="248" s="1"/>
  <c r="AA157" i="248"/>
  <c r="AA34" i="248" s="1"/>
  <c r="AA158" i="248"/>
  <c r="AA35" i="248" s="1"/>
  <c r="AA159" i="248"/>
  <c r="AA36" i="248" s="1"/>
  <c r="AA160" i="248"/>
  <c r="AA37" i="248" s="1"/>
  <c r="AA162" i="248"/>
  <c r="AA39" i="248" s="1"/>
  <c r="AA163" i="248"/>
  <c r="AA40" i="248" s="1"/>
  <c r="AA164" i="248"/>
  <c r="AA41" i="248" s="1"/>
  <c r="AA165" i="248"/>
  <c r="AA42" i="248" s="1"/>
  <c r="AA166" i="248"/>
  <c r="AA43" i="248" s="1"/>
  <c r="AA167" i="248"/>
  <c r="AA44" i="248" s="1"/>
  <c r="AA169" i="248"/>
  <c r="AA46" i="248" s="1"/>
  <c r="AA170" i="248"/>
  <c r="AA47" i="248" s="1"/>
  <c r="AA171" i="248"/>
  <c r="AA48" i="248" s="1"/>
  <c r="AA172" i="248"/>
  <c r="AA49" i="248" s="1"/>
  <c r="AA173" i="248"/>
  <c r="AA50" i="248" s="1"/>
  <c r="AA174" i="248"/>
  <c r="AA51" i="248" s="1"/>
  <c r="AA175" i="248"/>
  <c r="AA52" i="248" s="1"/>
  <c r="AA176" i="248"/>
  <c r="AA53" i="248" s="1"/>
  <c r="AA177" i="248"/>
  <c r="AA54" i="248" s="1"/>
  <c r="AA179" i="248" l="1"/>
  <c r="AA58" i="248"/>
  <c r="AA55" i="248"/>
  <c r="AA56" i="248" l="1"/>
  <c r="AA178" i="248"/>
  <c r="AA180" i="248" s="1"/>
  <c r="AE76" i="43"/>
  <c r="AA57" i="248" l="1"/>
  <c r="AE77" i="43"/>
  <c r="AE78" i="43"/>
  <c r="AE409" i="43"/>
  <c r="AE407" i="43" s="1"/>
  <c r="AE410" i="43" s="1"/>
  <c r="AE411" i="43" s="1"/>
  <c r="AE366" i="43" l="1"/>
  <c r="AE419" i="43" s="1"/>
  <c r="AE431" i="43"/>
  <c r="AE430" i="43" l="1"/>
  <c r="AC246" i="43"/>
  <c r="L55" i="22" l="1"/>
  <c r="M66" i="22"/>
  <c r="M55" i="22" l="1"/>
  <c r="M56" i="22" s="1"/>
  <c r="E11" i="22"/>
  <c r="M17" i="22"/>
  <c r="I23" i="22"/>
  <c r="K26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C53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C55" i="22"/>
  <c r="D55" i="22"/>
  <c r="E55" i="22"/>
  <c r="F55" i="22"/>
  <c r="G55" i="22"/>
  <c r="H55" i="22"/>
  <c r="I55" i="22"/>
  <c r="J55" i="22"/>
  <c r="K55" i="22"/>
  <c r="D56" i="22"/>
  <c r="E56" i="22"/>
  <c r="F56" i="22"/>
  <c r="G56" i="22"/>
  <c r="H56" i="22"/>
  <c r="I56" i="22"/>
  <c r="J56" i="22"/>
  <c r="K56" i="22"/>
  <c r="L56" i="22"/>
  <c r="C57" i="22"/>
  <c r="D57" i="22"/>
  <c r="E57" i="22"/>
  <c r="F57" i="22"/>
  <c r="G57" i="22"/>
  <c r="H57" i="22"/>
  <c r="I57" i="22"/>
  <c r="J57" i="22"/>
  <c r="K57" i="22"/>
  <c r="L57" i="22"/>
  <c r="M57" i="22"/>
  <c r="D58" i="22"/>
  <c r="E58" i="22"/>
  <c r="F58" i="22"/>
  <c r="G58" i="22"/>
  <c r="H58" i="22"/>
  <c r="I58" i="22"/>
  <c r="J58" i="22"/>
  <c r="K58" i="22"/>
  <c r="L58" i="22"/>
  <c r="M58" i="22"/>
  <c r="C59" i="22"/>
  <c r="D59" i="22"/>
  <c r="E59" i="22"/>
  <c r="F59" i="22"/>
  <c r="G59" i="22"/>
  <c r="H59" i="22"/>
  <c r="I59" i="22"/>
  <c r="J59" i="22"/>
  <c r="K59" i="22"/>
  <c r="L59" i="22"/>
  <c r="M59" i="22"/>
  <c r="C61" i="22"/>
  <c r="D61" i="22"/>
  <c r="E61" i="22"/>
  <c r="F61" i="22"/>
  <c r="G61" i="22"/>
  <c r="H61" i="22"/>
  <c r="I61" i="22"/>
  <c r="J61" i="22"/>
  <c r="K61" i="22"/>
  <c r="L61" i="22"/>
  <c r="M61" i="22"/>
  <c r="C63" i="22"/>
  <c r="D63" i="22"/>
  <c r="E63" i="22"/>
  <c r="F63" i="22"/>
  <c r="G63" i="22"/>
  <c r="H63" i="22"/>
  <c r="I63" i="22"/>
  <c r="J63" i="22"/>
  <c r="K63" i="22"/>
  <c r="L63" i="22"/>
  <c r="M63" i="22"/>
  <c r="D64" i="22"/>
  <c r="E64" i="22"/>
  <c r="F64" i="22"/>
  <c r="G64" i="22"/>
  <c r="H64" i="22"/>
  <c r="I64" i="22"/>
  <c r="J64" i="22"/>
  <c r="K64" i="22"/>
  <c r="L64" i="22"/>
  <c r="M64" i="22"/>
  <c r="C65" i="22"/>
  <c r="D65" i="22"/>
  <c r="E65" i="22"/>
  <c r="F65" i="22"/>
  <c r="G65" i="22"/>
  <c r="H65" i="22"/>
  <c r="I65" i="22"/>
  <c r="J65" i="22"/>
  <c r="K65" i="22"/>
  <c r="L65" i="22"/>
  <c r="M65" i="22"/>
  <c r="C66" i="22"/>
  <c r="D66" i="22"/>
  <c r="E66" i="22"/>
  <c r="F66" i="22"/>
  <c r="G66" i="22"/>
  <c r="H66" i="22"/>
  <c r="I66" i="22"/>
  <c r="J66" i="22"/>
  <c r="K66" i="22"/>
  <c r="L66" i="22"/>
  <c r="C67" i="22"/>
  <c r="D67" i="22"/>
  <c r="E67" i="22"/>
  <c r="F67" i="22"/>
  <c r="G67" i="22"/>
  <c r="H67" i="22"/>
  <c r="I67" i="22"/>
  <c r="J67" i="22"/>
  <c r="K67" i="22"/>
  <c r="L67" i="22"/>
  <c r="M67" i="22"/>
  <c r="C68" i="22"/>
  <c r="D68" i="22"/>
  <c r="E68" i="22"/>
  <c r="F68" i="22"/>
  <c r="G68" i="22"/>
  <c r="H68" i="22"/>
  <c r="I68" i="22"/>
  <c r="J68" i="22"/>
  <c r="K68" i="22"/>
  <c r="L68" i="22"/>
  <c r="M68" i="22"/>
  <c r="D69" i="22"/>
  <c r="E69" i="22"/>
  <c r="F69" i="22"/>
  <c r="G69" i="22"/>
  <c r="H69" i="22"/>
  <c r="I69" i="22"/>
  <c r="J69" i="22"/>
  <c r="K69" i="22"/>
  <c r="L69" i="22"/>
  <c r="M69" i="22"/>
  <c r="C71" i="22"/>
  <c r="D71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C73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L81" i="22"/>
  <c r="C82" i="22"/>
  <c r="L82" i="22"/>
  <c r="L83" i="22"/>
  <c r="L84" i="22"/>
  <c r="B1" i="248"/>
  <c r="AB5" i="248"/>
  <c r="AC5" i="248"/>
  <c r="AD5" i="248"/>
  <c r="AE5" i="248"/>
  <c r="AF5" i="248"/>
  <c r="AG5" i="248"/>
  <c r="AB6" i="248"/>
  <c r="AC6" i="248"/>
  <c r="AD6" i="248"/>
  <c r="AE6" i="248"/>
  <c r="AF6" i="248"/>
  <c r="AG6" i="248"/>
  <c r="AB7" i="248"/>
  <c r="AC7" i="248"/>
  <c r="AD7" i="248"/>
  <c r="AE7" i="248"/>
  <c r="AF7" i="248"/>
  <c r="AG7" i="248"/>
  <c r="AD8" i="248"/>
  <c r="AE8" i="248"/>
  <c r="AF8" i="248"/>
  <c r="AG8" i="248"/>
  <c r="AB9" i="248"/>
  <c r="AC9" i="248"/>
  <c r="AD9" i="248"/>
  <c r="AE9" i="248"/>
  <c r="AF9" i="248"/>
  <c r="AG9" i="248"/>
  <c r="AB10" i="248"/>
  <c r="AC10" i="248"/>
  <c r="AD10" i="248"/>
  <c r="AE10" i="248"/>
  <c r="AF10" i="248"/>
  <c r="AG10" i="248"/>
  <c r="AB11" i="248"/>
  <c r="AC11" i="248"/>
  <c r="AD11" i="248"/>
  <c r="AE11" i="248"/>
  <c r="AF11" i="248"/>
  <c r="AG11" i="248"/>
  <c r="AB12" i="248"/>
  <c r="AC12" i="248"/>
  <c r="AD12" i="248"/>
  <c r="AE12" i="248"/>
  <c r="AF12" i="248"/>
  <c r="AG12" i="248"/>
  <c r="AB13" i="248"/>
  <c r="AC13" i="248"/>
  <c r="AD13" i="248"/>
  <c r="AE13" i="248"/>
  <c r="AF13" i="248"/>
  <c r="AG13" i="248"/>
  <c r="AB14" i="248"/>
  <c r="AC14" i="248"/>
  <c r="AD14" i="248"/>
  <c r="AE14" i="248"/>
  <c r="AF14" i="248"/>
  <c r="AG14" i="248"/>
  <c r="AF15" i="248"/>
  <c r="AG15" i="248"/>
  <c r="AB16" i="248"/>
  <c r="AC16" i="248"/>
  <c r="AD16" i="248"/>
  <c r="AE16" i="248"/>
  <c r="AF16" i="248"/>
  <c r="AG16" i="248"/>
  <c r="AB17" i="248"/>
  <c r="AC17" i="248"/>
  <c r="AD17" i="248"/>
  <c r="AE17" i="248"/>
  <c r="AF17" i="248"/>
  <c r="AG17" i="248"/>
  <c r="AB18" i="248"/>
  <c r="AC18" i="248"/>
  <c r="AD18" i="248"/>
  <c r="AE18" i="248"/>
  <c r="AF18" i="248"/>
  <c r="AG18" i="248"/>
  <c r="AB19" i="248"/>
  <c r="AC19" i="248"/>
  <c r="AD19" i="248"/>
  <c r="AE19" i="248"/>
  <c r="AF19" i="248"/>
  <c r="AG19" i="248"/>
  <c r="AB20" i="248"/>
  <c r="AC20" i="248"/>
  <c r="AD20" i="248"/>
  <c r="AE20" i="248"/>
  <c r="AF20" i="248"/>
  <c r="AG20" i="248"/>
  <c r="AB21" i="248"/>
  <c r="AC21" i="248"/>
  <c r="AD21" i="248"/>
  <c r="AE21" i="248"/>
  <c r="AF21" i="248"/>
  <c r="AG21" i="248"/>
  <c r="AB22" i="248"/>
  <c r="AC22" i="248"/>
  <c r="AD22" i="248"/>
  <c r="AE22" i="248"/>
  <c r="AF22" i="248"/>
  <c r="AG22" i="248"/>
  <c r="AB23" i="248"/>
  <c r="AC23" i="248"/>
  <c r="AD23" i="248"/>
  <c r="AE23" i="248"/>
  <c r="AF23" i="248"/>
  <c r="AG23" i="248"/>
  <c r="AB24" i="248"/>
  <c r="AC24" i="248"/>
  <c r="AD24" i="248"/>
  <c r="AE24" i="248"/>
  <c r="AF24" i="248"/>
  <c r="AG24" i="248"/>
  <c r="AB25" i="248"/>
  <c r="AC25" i="248"/>
  <c r="AD25" i="248"/>
  <c r="AE25" i="248"/>
  <c r="AF25" i="248"/>
  <c r="AG25" i="248"/>
  <c r="AB26" i="248"/>
  <c r="AC26" i="248"/>
  <c r="AD26" i="248"/>
  <c r="AE26" i="248"/>
  <c r="AF26" i="248"/>
  <c r="AG26" i="248"/>
  <c r="AB27" i="248"/>
  <c r="AC27" i="248"/>
  <c r="AD27" i="248"/>
  <c r="AE27" i="248"/>
  <c r="AF27" i="248"/>
  <c r="AG27" i="248"/>
  <c r="AB28" i="248"/>
  <c r="AC28" i="248"/>
  <c r="AD28" i="248"/>
  <c r="AE28" i="248"/>
  <c r="AF28" i="248"/>
  <c r="AG28" i="248"/>
  <c r="AB29" i="248"/>
  <c r="AC29" i="248"/>
  <c r="AD29" i="248"/>
  <c r="AE29" i="248"/>
  <c r="AF29" i="248"/>
  <c r="AG29" i="248"/>
  <c r="AB30" i="248"/>
  <c r="AC30" i="248"/>
  <c r="AD30" i="248"/>
  <c r="AE30" i="248"/>
  <c r="AF30" i="248"/>
  <c r="AG30" i="248"/>
  <c r="AB31" i="248"/>
  <c r="AC31" i="248"/>
  <c r="AD31" i="248"/>
  <c r="AE31" i="248"/>
  <c r="AF31" i="248"/>
  <c r="AG31" i="248"/>
  <c r="AB32" i="248"/>
  <c r="AC32" i="248"/>
  <c r="AD32" i="248"/>
  <c r="AE32" i="248"/>
  <c r="AF32" i="248"/>
  <c r="AG32" i="248"/>
  <c r="AB33" i="248"/>
  <c r="AC33" i="248"/>
  <c r="AD33" i="248"/>
  <c r="AE33" i="248"/>
  <c r="AF33" i="248"/>
  <c r="AG33" i="248"/>
  <c r="AB34" i="248"/>
  <c r="AC34" i="248"/>
  <c r="AD34" i="248"/>
  <c r="AE34" i="248"/>
  <c r="AF34" i="248"/>
  <c r="AG34" i="248"/>
  <c r="AB35" i="248"/>
  <c r="AC35" i="248"/>
  <c r="AD35" i="248"/>
  <c r="AE35" i="248"/>
  <c r="AF35" i="248"/>
  <c r="AG35" i="248"/>
  <c r="AB36" i="248"/>
  <c r="AC36" i="248"/>
  <c r="AD36" i="248"/>
  <c r="AE36" i="248"/>
  <c r="AF36" i="248"/>
  <c r="AG36" i="248"/>
  <c r="AB37" i="248"/>
  <c r="AC37" i="248"/>
  <c r="AD37" i="248"/>
  <c r="AE37" i="248"/>
  <c r="AF37" i="248"/>
  <c r="AG37" i="248"/>
  <c r="AE38" i="248"/>
  <c r="AF38" i="248"/>
  <c r="AG38" i="248"/>
  <c r="AB39" i="248"/>
  <c r="AC39" i="248"/>
  <c r="AD39" i="248"/>
  <c r="AE39" i="248"/>
  <c r="AF39" i="248"/>
  <c r="AG39" i="248"/>
  <c r="AB40" i="248"/>
  <c r="AC40" i="248"/>
  <c r="AD40" i="248"/>
  <c r="AE40" i="248"/>
  <c r="AF40" i="248"/>
  <c r="AG40" i="248"/>
  <c r="AB41" i="248"/>
  <c r="AC41" i="248"/>
  <c r="AD41" i="248"/>
  <c r="AE41" i="248"/>
  <c r="AF41" i="248"/>
  <c r="AG41" i="248"/>
  <c r="AB42" i="248"/>
  <c r="AC42" i="248"/>
  <c r="AD42" i="248"/>
  <c r="AE42" i="248"/>
  <c r="AF42" i="248"/>
  <c r="AG42" i="248"/>
  <c r="AB43" i="248"/>
  <c r="AC43" i="248"/>
  <c r="AD43" i="248"/>
  <c r="AE43" i="248"/>
  <c r="AF43" i="248"/>
  <c r="AG43" i="248"/>
  <c r="AB44" i="248"/>
  <c r="AC44" i="248"/>
  <c r="AD44" i="248"/>
  <c r="AE44" i="248"/>
  <c r="AF44" i="248"/>
  <c r="AG44" i="248"/>
  <c r="AD45" i="248"/>
  <c r="AE45" i="248"/>
  <c r="AF45" i="248"/>
  <c r="AG45" i="248"/>
  <c r="AB46" i="248"/>
  <c r="AC46" i="248"/>
  <c r="AD46" i="248"/>
  <c r="AE46" i="248"/>
  <c r="AF46" i="248"/>
  <c r="AG46" i="248"/>
  <c r="AB47" i="248"/>
  <c r="AC47" i="248"/>
  <c r="AD47" i="248"/>
  <c r="AE47" i="248"/>
  <c r="AF47" i="248"/>
  <c r="AG47" i="248"/>
  <c r="AB48" i="248"/>
  <c r="AC48" i="248"/>
  <c r="AD48" i="248"/>
  <c r="AE48" i="248"/>
  <c r="AF48" i="248"/>
  <c r="AG48" i="248"/>
  <c r="AB49" i="248"/>
  <c r="AC49" i="248"/>
  <c r="AD49" i="248"/>
  <c r="AE49" i="248"/>
  <c r="AF49" i="248"/>
  <c r="AG49" i="248"/>
  <c r="AB50" i="248"/>
  <c r="AC50" i="248"/>
  <c r="AD50" i="248"/>
  <c r="AE50" i="248"/>
  <c r="AF50" i="248"/>
  <c r="AG50" i="248"/>
  <c r="AB51" i="248"/>
  <c r="AC51" i="248"/>
  <c r="AD51" i="248"/>
  <c r="AE51" i="248"/>
  <c r="AF51" i="248"/>
  <c r="AG51" i="248"/>
  <c r="AB52" i="248"/>
  <c r="AC52" i="248"/>
  <c r="AD52" i="248"/>
  <c r="AE52" i="248"/>
  <c r="AF52" i="248"/>
  <c r="AG52" i="248"/>
  <c r="AB53" i="248"/>
  <c r="AC53" i="248"/>
  <c r="AD53" i="248"/>
  <c r="AE53" i="248"/>
  <c r="AF53" i="248"/>
  <c r="AG53" i="248"/>
  <c r="AB54" i="248"/>
  <c r="AC54" i="248"/>
  <c r="AD54" i="248"/>
  <c r="AE54" i="248"/>
  <c r="AF54" i="248"/>
  <c r="AG54" i="248"/>
  <c r="AB55" i="248"/>
  <c r="AC55" i="248"/>
  <c r="AD55" i="248"/>
  <c r="AE55" i="248"/>
  <c r="AF55" i="248"/>
  <c r="AG55" i="248"/>
  <c r="AB56" i="248"/>
  <c r="AC56" i="248"/>
  <c r="AD56" i="248"/>
  <c r="AE56" i="248"/>
  <c r="AF56" i="248"/>
  <c r="AG56" i="248"/>
  <c r="AH56" i="248"/>
  <c r="AB57" i="248"/>
  <c r="AC57" i="248"/>
  <c r="AD57" i="248"/>
  <c r="AE57" i="248"/>
  <c r="AF57" i="248"/>
  <c r="AG57" i="248"/>
  <c r="AB58" i="248"/>
  <c r="AC58" i="248"/>
  <c r="AD58" i="248"/>
  <c r="AE58" i="248"/>
  <c r="AF58" i="248"/>
  <c r="AG58" i="248"/>
  <c r="Y60" i="248"/>
  <c r="Z60" i="248"/>
  <c r="AA60" i="248"/>
  <c r="AB60" i="248"/>
  <c r="AC60" i="248"/>
  <c r="AD60" i="248"/>
  <c r="AE60" i="248"/>
  <c r="AF60" i="248"/>
  <c r="AG60" i="248"/>
  <c r="Y62" i="248"/>
  <c r="Z62" i="248"/>
  <c r="AA62" i="248"/>
  <c r="AB62" i="248"/>
  <c r="AC62" i="248"/>
  <c r="AD62" i="248"/>
  <c r="AE62" i="248"/>
  <c r="AF62" i="248"/>
  <c r="AG62" i="248"/>
  <c r="Y63" i="248"/>
  <c r="Z63" i="248"/>
  <c r="AA63" i="248"/>
  <c r="AB63" i="248"/>
  <c r="AC63" i="248"/>
  <c r="AD63" i="248"/>
  <c r="AE63" i="248"/>
  <c r="AF63" i="248"/>
  <c r="AG63" i="248"/>
  <c r="Y65" i="248"/>
  <c r="Z65" i="248"/>
  <c r="AA65" i="248"/>
  <c r="AB65" i="248"/>
  <c r="AC65" i="248"/>
  <c r="AD65" i="248"/>
  <c r="AE65" i="248"/>
  <c r="AF65" i="248"/>
  <c r="AG65" i="248"/>
  <c r="Y66" i="248"/>
  <c r="Z66" i="248"/>
  <c r="AA66" i="248"/>
  <c r="AB66" i="248"/>
  <c r="AC66" i="248"/>
  <c r="AD66" i="248"/>
  <c r="AE66" i="248"/>
  <c r="AF66" i="248"/>
  <c r="AG66" i="248"/>
  <c r="Y67" i="248"/>
  <c r="Z67" i="248"/>
  <c r="AA67" i="248"/>
  <c r="AB67" i="248"/>
  <c r="AC67" i="248"/>
  <c r="AD67" i="248"/>
  <c r="AE67" i="248"/>
  <c r="AF67" i="248"/>
  <c r="AG67" i="248"/>
  <c r="Y68" i="248"/>
  <c r="Z68" i="248"/>
  <c r="AA68" i="248"/>
  <c r="AB68" i="248"/>
  <c r="AC68" i="248"/>
  <c r="AD68" i="248"/>
  <c r="AE68" i="248"/>
  <c r="AF68" i="248"/>
  <c r="AG68" i="248"/>
  <c r="Y69" i="248"/>
  <c r="Z69" i="248"/>
  <c r="AA69" i="248"/>
  <c r="AB69" i="248"/>
  <c r="AC69" i="248"/>
  <c r="AD69" i="248"/>
  <c r="AE69" i="248"/>
  <c r="AF69" i="248"/>
  <c r="AG69" i="248"/>
  <c r="AH69" i="248"/>
  <c r="Y71" i="248"/>
  <c r="Z71" i="248"/>
  <c r="AA71" i="248"/>
  <c r="AB71" i="248"/>
  <c r="AC71" i="248"/>
  <c r="AD71" i="248"/>
  <c r="AE71" i="248"/>
  <c r="AF71" i="248"/>
  <c r="AG71" i="248"/>
  <c r="AH71" i="248"/>
  <c r="Y72" i="248"/>
  <c r="Z72" i="248"/>
  <c r="AA72" i="248"/>
  <c r="AB72" i="248"/>
  <c r="AC72" i="248"/>
  <c r="AD72" i="248"/>
  <c r="AE72" i="248"/>
  <c r="AF72" i="248"/>
  <c r="AG72" i="248"/>
  <c r="Y73" i="248"/>
  <c r="Z73" i="248"/>
  <c r="AA73" i="248"/>
  <c r="AB73" i="248"/>
  <c r="AC73" i="248"/>
  <c r="AD73" i="248"/>
  <c r="AE73" i="248"/>
  <c r="AF73" i="248"/>
  <c r="AG73" i="248"/>
  <c r="AB128" i="248"/>
  <c r="AC128" i="248"/>
  <c r="AD128" i="248"/>
  <c r="AE128" i="248"/>
  <c r="AF128" i="248"/>
  <c r="AG128" i="248"/>
  <c r="AB129" i="248"/>
  <c r="AC129" i="248"/>
  <c r="AD129" i="248"/>
  <c r="AE129" i="248"/>
  <c r="AF129" i="248"/>
  <c r="AG129" i="248"/>
  <c r="AB130" i="248"/>
  <c r="AC130" i="248"/>
  <c r="AD130" i="248"/>
  <c r="AE130" i="248"/>
  <c r="AF130" i="248"/>
  <c r="AG130" i="248"/>
  <c r="AD131" i="248"/>
  <c r="AE131" i="248"/>
  <c r="AF131" i="248"/>
  <c r="AG131" i="248"/>
  <c r="AB132" i="248"/>
  <c r="AC132" i="248"/>
  <c r="AD132" i="248"/>
  <c r="AE132" i="248"/>
  <c r="AF132" i="248"/>
  <c r="AG132" i="248"/>
  <c r="AB133" i="248"/>
  <c r="AC133" i="248"/>
  <c r="AD133" i="248"/>
  <c r="AE133" i="248"/>
  <c r="AF133" i="248"/>
  <c r="AG133" i="248"/>
  <c r="AB134" i="248"/>
  <c r="AC134" i="248"/>
  <c r="AD134" i="248"/>
  <c r="AE134" i="248"/>
  <c r="AF134" i="248"/>
  <c r="AG134" i="248"/>
  <c r="AB135" i="248"/>
  <c r="AC135" i="248"/>
  <c r="AD135" i="248"/>
  <c r="AE135" i="248"/>
  <c r="AF135" i="248"/>
  <c r="AG135" i="248"/>
  <c r="AB136" i="248"/>
  <c r="AC136" i="248"/>
  <c r="AD136" i="248"/>
  <c r="AE136" i="248"/>
  <c r="AF136" i="248"/>
  <c r="AG136" i="248"/>
  <c r="AB137" i="248"/>
  <c r="AC137" i="248"/>
  <c r="AD137" i="248"/>
  <c r="AE137" i="248"/>
  <c r="AF137" i="248"/>
  <c r="AG137" i="248"/>
  <c r="AF138" i="248"/>
  <c r="AG138" i="248"/>
  <c r="AB139" i="248"/>
  <c r="AC139" i="248"/>
  <c r="AD139" i="248"/>
  <c r="AE139" i="248"/>
  <c r="AF139" i="248"/>
  <c r="AG139" i="248"/>
  <c r="AB140" i="248"/>
  <c r="AC140" i="248"/>
  <c r="AD140" i="248"/>
  <c r="AE140" i="248"/>
  <c r="AF140" i="248"/>
  <c r="AG140" i="248"/>
  <c r="AB141" i="248"/>
  <c r="AC141" i="248"/>
  <c r="AD141" i="248"/>
  <c r="AE141" i="248"/>
  <c r="AF141" i="248"/>
  <c r="AG141" i="248"/>
  <c r="AB142" i="248"/>
  <c r="AC142" i="248"/>
  <c r="AD142" i="248"/>
  <c r="AE142" i="248"/>
  <c r="AF142" i="248"/>
  <c r="AG142" i="248"/>
  <c r="AB143" i="248"/>
  <c r="AC143" i="248"/>
  <c r="AD143" i="248"/>
  <c r="AE143" i="248"/>
  <c r="AF143" i="248"/>
  <c r="AG143" i="248"/>
  <c r="AB144" i="248"/>
  <c r="AC144" i="248"/>
  <c r="AD144" i="248"/>
  <c r="AE144" i="248"/>
  <c r="AF144" i="248"/>
  <c r="AG144" i="248"/>
  <c r="AB145" i="248"/>
  <c r="AC145" i="248"/>
  <c r="AD145" i="248"/>
  <c r="AE145" i="248"/>
  <c r="AF145" i="248"/>
  <c r="AG145" i="248"/>
  <c r="AB146" i="248"/>
  <c r="AC146" i="248"/>
  <c r="AD146" i="248"/>
  <c r="AE146" i="248"/>
  <c r="AF146" i="248"/>
  <c r="AG146" i="248"/>
  <c r="AB147" i="248"/>
  <c r="AC147" i="248"/>
  <c r="AD147" i="248"/>
  <c r="AE147" i="248"/>
  <c r="AF147" i="248"/>
  <c r="AG147" i="248"/>
  <c r="AB148" i="248"/>
  <c r="AC148" i="248"/>
  <c r="AD148" i="248"/>
  <c r="AE148" i="248"/>
  <c r="AF148" i="248"/>
  <c r="AG148" i="248"/>
  <c r="AB149" i="248"/>
  <c r="AC149" i="248"/>
  <c r="AD149" i="248"/>
  <c r="AE149" i="248"/>
  <c r="AF149" i="248"/>
  <c r="AG149" i="248"/>
  <c r="AB150" i="248"/>
  <c r="AC150" i="248"/>
  <c r="AD150" i="248"/>
  <c r="AE150" i="248"/>
  <c r="AF150" i="248"/>
  <c r="AG150" i="248"/>
  <c r="AB151" i="248"/>
  <c r="AC151" i="248"/>
  <c r="AD151" i="248"/>
  <c r="AE151" i="248"/>
  <c r="AF151" i="248"/>
  <c r="AG151" i="248"/>
  <c r="AB152" i="248"/>
  <c r="AC152" i="248"/>
  <c r="AD152" i="248"/>
  <c r="AE152" i="248"/>
  <c r="AF152" i="248"/>
  <c r="AG152" i="248"/>
  <c r="AB153" i="248"/>
  <c r="AC153" i="248"/>
  <c r="AD153" i="248"/>
  <c r="AE153" i="248"/>
  <c r="AF153" i="248"/>
  <c r="AG153" i="248"/>
  <c r="AB154" i="248"/>
  <c r="AC154" i="248"/>
  <c r="AD154" i="248"/>
  <c r="AE154" i="248"/>
  <c r="AF154" i="248"/>
  <c r="AG154" i="248"/>
  <c r="AB155" i="248"/>
  <c r="AC155" i="248"/>
  <c r="AD155" i="248"/>
  <c r="AE155" i="248"/>
  <c r="AF155" i="248"/>
  <c r="AG155" i="248"/>
  <c r="AB156" i="248"/>
  <c r="AC156" i="248"/>
  <c r="AD156" i="248"/>
  <c r="AE156" i="248"/>
  <c r="AF156" i="248"/>
  <c r="AG156" i="248"/>
  <c r="AB157" i="248"/>
  <c r="AC157" i="248"/>
  <c r="AD157" i="248"/>
  <c r="AE157" i="248"/>
  <c r="AF157" i="248"/>
  <c r="AG157" i="248"/>
  <c r="AB158" i="248"/>
  <c r="AC158" i="248"/>
  <c r="AD158" i="248"/>
  <c r="AE158" i="248"/>
  <c r="AF158" i="248"/>
  <c r="AG158" i="248"/>
  <c r="AB159" i="248"/>
  <c r="AC159" i="248"/>
  <c r="AD159" i="248"/>
  <c r="AE159" i="248"/>
  <c r="AF159" i="248"/>
  <c r="AG159" i="248"/>
  <c r="AB160" i="248"/>
  <c r="AC160" i="248"/>
  <c r="AD160" i="248"/>
  <c r="AE160" i="248"/>
  <c r="AF160" i="248"/>
  <c r="AG160" i="248"/>
  <c r="AE161" i="248"/>
  <c r="AF161" i="248"/>
  <c r="AG161" i="248"/>
  <c r="AB162" i="248"/>
  <c r="AC162" i="248"/>
  <c r="AD162" i="248"/>
  <c r="AE162" i="248"/>
  <c r="AF162" i="248"/>
  <c r="AG162" i="248"/>
  <c r="AB163" i="248"/>
  <c r="AC163" i="248"/>
  <c r="AD163" i="248"/>
  <c r="AE163" i="248"/>
  <c r="AF163" i="248"/>
  <c r="AG163" i="248"/>
  <c r="AB164" i="248"/>
  <c r="AC164" i="248"/>
  <c r="AD164" i="248"/>
  <c r="AE164" i="248"/>
  <c r="AF164" i="248"/>
  <c r="AG164" i="248"/>
  <c r="AB165" i="248"/>
  <c r="AC165" i="248"/>
  <c r="AD165" i="248"/>
  <c r="AE165" i="248"/>
  <c r="AF165" i="248"/>
  <c r="AG165" i="248"/>
  <c r="AB166" i="248"/>
  <c r="AC166" i="248"/>
  <c r="AD166" i="248"/>
  <c r="AE166" i="248"/>
  <c r="AF166" i="248"/>
  <c r="AG166" i="248"/>
  <c r="AB167" i="248"/>
  <c r="AC167" i="248"/>
  <c r="AD167" i="248"/>
  <c r="AE167" i="248"/>
  <c r="AF167" i="248"/>
  <c r="AG167" i="248"/>
  <c r="AD168" i="248"/>
  <c r="AE168" i="248"/>
  <c r="AF168" i="248"/>
  <c r="AG168" i="248"/>
  <c r="AB169" i="248"/>
  <c r="AC169" i="248"/>
  <c r="AD169" i="248"/>
  <c r="AE169" i="248"/>
  <c r="AF169" i="248"/>
  <c r="AG169" i="248"/>
  <c r="AB170" i="248"/>
  <c r="AC170" i="248"/>
  <c r="AD170" i="248"/>
  <c r="AE170" i="248"/>
  <c r="AF170" i="248"/>
  <c r="AG170" i="248"/>
  <c r="AB171" i="248"/>
  <c r="AC171" i="248"/>
  <c r="AD171" i="248"/>
  <c r="AE171" i="248"/>
  <c r="AF171" i="248"/>
  <c r="AG171" i="248"/>
  <c r="AB172" i="248"/>
  <c r="AC172" i="248"/>
  <c r="AD172" i="248"/>
  <c r="AE172" i="248"/>
  <c r="AF172" i="248"/>
  <c r="AG172" i="248"/>
  <c r="AB173" i="248"/>
  <c r="AC173" i="248"/>
  <c r="AD173" i="248"/>
  <c r="AE173" i="248"/>
  <c r="AF173" i="248"/>
  <c r="AG173" i="248"/>
  <c r="AB174" i="248"/>
  <c r="AC174" i="248"/>
  <c r="AD174" i="248"/>
  <c r="AE174" i="248"/>
  <c r="AF174" i="248"/>
  <c r="AG174" i="248"/>
  <c r="AB175" i="248"/>
  <c r="AC175" i="248"/>
  <c r="AD175" i="248"/>
  <c r="AE175" i="248"/>
  <c r="AF175" i="248"/>
  <c r="AG175" i="248"/>
  <c r="AB176" i="248"/>
  <c r="AC176" i="248"/>
  <c r="AD176" i="248"/>
  <c r="AE176" i="248"/>
  <c r="AF176" i="248"/>
  <c r="AG176" i="248"/>
  <c r="AB177" i="248"/>
  <c r="AC177" i="248"/>
  <c r="AD177" i="248"/>
  <c r="AE177" i="248"/>
  <c r="AF177" i="248"/>
  <c r="AG177" i="248"/>
  <c r="AB178" i="248"/>
  <c r="AC178" i="248"/>
  <c r="AD178" i="248"/>
  <c r="AE178" i="248"/>
  <c r="AF178" i="248"/>
  <c r="AG178" i="248"/>
  <c r="AB179" i="248"/>
  <c r="AC179" i="248"/>
  <c r="AD179" i="248"/>
  <c r="AE179" i="248"/>
  <c r="AF179" i="248"/>
  <c r="AG179" i="248"/>
  <c r="AB180" i="248"/>
  <c r="AC180" i="248"/>
  <c r="AD180" i="248"/>
  <c r="AE180" i="248"/>
  <c r="AF180" i="248"/>
  <c r="AG180" i="248"/>
  <c r="AH180" i="248"/>
  <c r="AI180" i="248"/>
  <c r="Y190" i="248"/>
  <c r="Z190" i="248"/>
  <c r="AA190" i="248"/>
  <c r="AB190" i="248"/>
  <c r="AC190" i="248"/>
  <c r="AD190" i="248"/>
  <c r="AE190" i="248"/>
  <c r="AF190" i="248"/>
  <c r="AG190" i="248"/>
  <c r="Y192" i="248"/>
  <c r="Z192" i="248"/>
  <c r="AA192" i="248"/>
  <c r="AB192" i="248"/>
  <c r="AC192" i="248"/>
  <c r="AD192" i="248"/>
  <c r="AE192" i="248"/>
  <c r="AF192" i="248"/>
  <c r="AG192" i="248"/>
  <c r="Y193" i="248"/>
  <c r="Z193" i="248"/>
  <c r="AA193" i="248"/>
  <c r="AB193" i="248"/>
  <c r="AC193" i="248"/>
  <c r="AD193" i="248"/>
  <c r="AE193" i="248"/>
  <c r="AF193" i="248"/>
  <c r="AG193" i="248"/>
  <c r="Y194" i="248"/>
  <c r="Z194" i="248"/>
  <c r="AA194" i="248"/>
  <c r="AB194" i="248"/>
  <c r="AC194" i="248"/>
  <c r="AD194" i="248"/>
  <c r="AE194" i="248"/>
  <c r="AF194" i="248"/>
  <c r="AG194" i="248"/>
  <c r="Y195" i="248"/>
  <c r="Z195" i="248"/>
  <c r="AA195" i="248"/>
  <c r="AB195" i="248"/>
  <c r="AC195" i="248"/>
  <c r="AD195" i="248"/>
  <c r="AE195" i="248"/>
  <c r="AF195" i="248"/>
  <c r="AG195" i="248"/>
  <c r="Y196" i="248"/>
  <c r="Z196" i="248"/>
  <c r="AA196" i="248"/>
  <c r="AB196" i="248"/>
  <c r="AC196" i="248"/>
  <c r="AD196" i="248"/>
  <c r="AE196" i="248"/>
  <c r="AF196" i="248"/>
  <c r="AG196" i="248"/>
  <c r="Y197" i="248"/>
  <c r="Z197" i="248"/>
  <c r="AA197" i="248"/>
  <c r="AB197" i="248"/>
  <c r="AC197" i="248"/>
  <c r="AD197" i="248"/>
  <c r="AE197" i="248"/>
  <c r="AF197" i="248"/>
  <c r="AG197" i="248"/>
  <c r="Y198" i="248"/>
  <c r="Z198" i="248"/>
  <c r="AA198" i="248"/>
  <c r="AB198" i="248"/>
  <c r="AC198" i="248"/>
  <c r="AD198" i="248"/>
  <c r="AE198" i="248"/>
  <c r="AF198" i="248"/>
  <c r="AG198" i="248"/>
  <c r="Y199" i="248"/>
  <c r="Z199" i="248"/>
  <c r="AA199" i="248"/>
  <c r="AB199" i="248"/>
  <c r="AC199" i="248"/>
  <c r="AD199" i="248"/>
  <c r="AE199" i="248"/>
  <c r="AF199" i="248"/>
  <c r="AG199" i="248"/>
  <c r="Y200" i="248"/>
  <c r="Z200" i="248"/>
  <c r="AA200" i="248"/>
  <c r="AB200" i="248"/>
  <c r="AC200" i="248"/>
  <c r="AD200" i="248"/>
  <c r="AE200" i="248"/>
  <c r="AF200" i="248"/>
  <c r="AG200" i="248"/>
  <c r="Y201" i="248"/>
  <c r="Z201" i="248"/>
  <c r="AA201" i="248"/>
  <c r="AB201" i="248"/>
  <c r="AC201" i="248"/>
  <c r="AD201" i="248"/>
  <c r="AE201" i="248"/>
  <c r="AF201" i="248"/>
  <c r="AG201" i="248"/>
  <c r="Y202" i="248"/>
  <c r="Z202" i="248"/>
  <c r="AA202" i="248"/>
  <c r="AB202" i="248"/>
  <c r="AC202" i="248"/>
  <c r="AD202" i="248"/>
  <c r="AE202" i="248"/>
  <c r="AF202" i="248"/>
  <c r="AG202" i="248"/>
  <c r="Y203" i="248"/>
  <c r="Z203" i="248"/>
  <c r="AA203" i="248"/>
  <c r="AB203" i="248"/>
  <c r="AC203" i="248"/>
  <c r="AD203" i="248"/>
  <c r="AE203" i="248"/>
  <c r="AF203" i="248"/>
  <c r="AG203" i="248"/>
  <c r="Y204" i="248"/>
  <c r="Z204" i="248"/>
  <c r="AA204" i="248"/>
  <c r="AB204" i="248"/>
  <c r="AC204" i="248"/>
  <c r="AD204" i="248"/>
  <c r="AE204" i="248"/>
  <c r="AF204" i="248"/>
  <c r="AG204" i="248"/>
  <c r="Y205" i="248"/>
  <c r="Z205" i="248"/>
  <c r="AA205" i="248"/>
  <c r="AB205" i="248"/>
  <c r="AC205" i="248"/>
  <c r="AD205" i="248"/>
  <c r="AE205" i="248"/>
  <c r="AF205" i="248"/>
  <c r="AG205" i="248"/>
  <c r="Y206" i="248"/>
  <c r="Z206" i="248"/>
  <c r="AA206" i="248"/>
  <c r="AB206" i="248"/>
  <c r="AC206" i="248"/>
  <c r="AD206" i="248"/>
  <c r="AE206" i="248"/>
  <c r="AF206" i="248"/>
  <c r="AG206" i="248"/>
  <c r="Y207" i="248"/>
  <c r="Z207" i="248"/>
  <c r="AA207" i="248"/>
  <c r="AB207" i="248"/>
  <c r="AC207" i="248"/>
  <c r="AD207" i="248"/>
  <c r="AE207" i="248"/>
  <c r="AF207" i="248"/>
  <c r="AG207" i="248"/>
  <c r="Y208" i="248"/>
  <c r="Z208" i="248"/>
  <c r="AA208" i="248"/>
  <c r="AB208" i="248"/>
  <c r="AC208" i="248"/>
  <c r="AD208" i="248"/>
  <c r="AE208" i="248"/>
  <c r="AF208" i="248"/>
  <c r="AG208" i="248"/>
  <c r="Y209" i="248"/>
  <c r="Z209" i="248"/>
  <c r="AA209" i="248"/>
  <c r="AB209" i="248"/>
  <c r="AC209" i="248"/>
  <c r="AD209" i="248"/>
  <c r="AE209" i="248"/>
  <c r="AF209" i="248"/>
  <c r="AG209" i="248"/>
  <c r="Y210" i="248"/>
  <c r="Z210" i="248"/>
  <c r="AA210" i="248"/>
  <c r="AB210" i="248"/>
  <c r="AC210" i="248"/>
  <c r="AD210" i="248"/>
  <c r="AE210" i="248"/>
  <c r="AF210" i="248"/>
  <c r="AG210" i="248"/>
  <c r="Y211" i="248"/>
  <c r="Z211" i="248"/>
  <c r="AA211" i="248"/>
  <c r="AB211" i="248"/>
  <c r="AC211" i="248"/>
  <c r="AD211" i="248"/>
  <c r="AE211" i="248"/>
  <c r="AF211" i="248"/>
  <c r="AG211" i="248"/>
  <c r="Y212" i="248"/>
  <c r="Z212" i="248"/>
  <c r="AA212" i="248"/>
  <c r="AB212" i="248"/>
  <c r="AC212" i="248"/>
  <c r="AD212" i="248"/>
  <c r="AE212" i="248"/>
  <c r="AF212" i="248"/>
  <c r="AG212" i="248"/>
  <c r="Y213" i="248"/>
  <c r="Z213" i="248"/>
  <c r="AA213" i="248"/>
  <c r="AB213" i="248"/>
  <c r="AC213" i="248"/>
  <c r="AD213" i="248"/>
  <c r="AE213" i="248"/>
  <c r="AF213" i="248"/>
  <c r="AG213" i="248"/>
  <c r="Y214" i="248"/>
  <c r="Z214" i="248"/>
  <c r="AA214" i="248"/>
  <c r="AB214" i="248"/>
  <c r="AC214" i="248"/>
  <c r="AD214" i="248"/>
  <c r="AE214" i="248"/>
  <c r="AF214" i="248"/>
  <c r="AG214" i="248"/>
  <c r="Y215" i="248"/>
  <c r="Z215" i="248"/>
  <c r="AA215" i="248"/>
  <c r="AB215" i="248"/>
  <c r="AC215" i="248"/>
  <c r="AD215" i="248"/>
  <c r="AE215" i="248"/>
  <c r="AF215" i="248"/>
  <c r="AG215" i="248"/>
  <c r="Y216" i="248"/>
  <c r="Z216" i="248"/>
  <c r="AA216" i="248"/>
  <c r="AB216" i="248"/>
  <c r="AC216" i="248"/>
  <c r="AD216" i="248"/>
  <c r="AE216" i="248"/>
  <c r="AF216" i="248"/>
  <c r="AG216" i="248"/>
  <c r="Y217" i="248"/>
  <c r="Z217" i="248"/>
  <c r="AA217" i="248"/>
  <c r="AB217" i="248"/>
  <c r="AC217" i="248"/>
  <c r="AD217" i="248"/>
  <c r="AE217" i="248"/>
  <c r="AF217" i="248"/>
  <c r="AG217" i="248"/>
  <c r="Y218" i="248"/>
  <c r="Z218" i="248"/>
  <c r="AA218" i="248"/>
  <c r="AB218" i="248"/>
  <c r="AC218" i="248"/>
  <c r="AD218" i="248"/>
  <c r="AE218" i="248"/>
  <c r="AF218" i="248"/>
  <c r="AG218" i="248"/>
  <c r="Y219" i="248"/>
  <c r="Z219" i="248"/>
  <c r="AA219" i="248"/>
  <c r="AB219" i="248"/>
  <c r="AC219" i="248"/>
  <c r="AD219" i="248"/>
  <c r="AE219" i="248"/>
  <c r="AF219" i="248"/>
  <c r="AG219" i="248"/>
  <c r="Y220" i="248"/>
  <c r="Z220" i="248"/>
  <c r="AA220" i="248"/>
  <c r="AB220" i="248"/>
  <c r="AC220" i="248"/>
  <c r="AD220" i="248"/>
  <c r="AE220" i="248"/>
  <c r="AF220" i="248"/>
  <c r="AG220" i="248"/>
  <c r="Y221" i="248"/>
  <c r="Z221" i="248"/>
  <c r="AA221" i="248"/>
  <c r="AB221" i="248"/>
  <c r="AC221" i="248"/>
  <c r="AD221" i="248"/>
  <c r="AE221" i="248"/>
  <c r="AF221" i="248"/>
  <c r="AG221" i="248"/>
  <c r="Y222" i="248"/>
  <c r="Z222" i="248"/>
  <c r="AA222" i="248"/>
  <c r="AB222" i="248"/>
  <c r="AC222" i="248"/>
  <c r="AD222" i="248"/>
  <c r="AE222" i="248"/>
  <c r="AF222" i="248"/>
  <c r="AG222" i="248"/>
  <c r="Y223" i="248"/>
  <c r="Z223" i="248"/>
  <c r="AA223" i="248"/>
  <c r="AB223" i="248"/>
  <c r="AC223" i="248"/>
  <c r="AD223" i="248"/>
  <c r="AE223" i="248"/>
  <c r="AF223" i="248"/>
  <c r="AG223" i="248"/>
  <c r="Y224" i="248"/>
  <c r="Z224" i="248"/>
  <c r="AA224" i="248"/>
  <c r="AB224" i="248"/>
  <c r="AC224" i="248"/>
  <c r="AD224" i="248"/>
  <c r="AE224" i="248"/>
  <c r="AF224" i="248"/>
  <c r="AG224" i="248"/>
  <c r="Y225" i="248"/>
  <c r="Z225" i="248"/>
  <c r="AA225" i="248"/>
  <c r="AB225" i="248"/>
  <c r="AC225" i="248"/>
  <c r="AD225" i="248"/>
  <c r="AE225" i="248"/>
  <c r="AF225" i="248"/>
  <c r="AG225" i="248"/>
  <c r="Y226" i="248"/>
  <c r="Z226" i="248"/>
  <c r="AA226" i="248"/>
  <c r="AB226" i="248"/>
  <c r="AC226" i="248"/>
  <c r="AD226" i="248"/>
  <c r="AE226" i="248"/>
  <c r="AF226" i="248"/>
  <c r="AG226" i="248"/>
  <c r="Y227" i="248"/>
  <c r="Z227" i="248"/>
  <c r="AA227" i="248"/>
  <c r="AB227" i="248"/>
  <c r="AC227" i="248"/>
  <c r="AD227" i="248"/>
  <c r="AE227" i="248"/>
  <c r="AF227" i="248"/>
  <c r="AG227" i="248"/>
  <c r="Y228" i="248"/>
  <c r="Z228" i="248"/>
  <c r="AA228" i="248"/>
  <c r="AB228" i="248"/>
  <c r="AC228" i="248"/>
  <c r="AD228" i="248"/>
  <c r="AE228" i="248"/>
  <c r="AF228" i="248"/>
  <c r="AG228" i="248"/>
  <c r="Y229" i="248"/>
  <c r="Z229" i="248"/>
  <c r="AA229" i="248"/>
  <c r="AB229" i="248"/>
  <c r="AC229" i="248"/>
  <c r="AD229" i="248"/>
  <c r="AE229" i="248"/>
  <c r="AF229" i="248"/>
  <c r="AG229" i="248"/>
  <c r="Y230" i="248"/>
  <c r="Z230" i="248"/>
  <c r="AA230" i="248"/>
  <c r="AB230" i="248"/>
  <c r="AC230" i="248"/>
  <c r="AD230" i="248"/>
  <c r="AE230" i="248"/>
  <c r="AF230" i="248"/>
  <c r="AG230" i="248"/>
  <c r="Y231" i="248"/>
  <c r="Z231" i="248"/>
  <c r="AA231" i="248"/>
  <c r="AB231" i="248"/>
  <c r="AC231" i="248"/>
  <c r="AD231" i="248"/>
  <c r="AE231" i="248"/>
  <c r="AF231" i="248"/>
  <c r="AG231" i="248"/>
  <c r="Y232" i="248"/>
  <c r="Z232" i="248"/>
  <c r="AA232" i="248"/>
  <c r="AB232" i="248"/>
  <c r="AC232" i="248"/>
  <c r="AD232" i="248"/>
  <c r="AE232" i="248"/>
  <c r="AF232" i="248"/>
  <c r="AG232" i="248"/>
  <c r="Y233" i="248"/>
  <c r="Z233" i="248"/>
  <c r="AA233" i="248"/>
  <c r="AB233" i="248"/>
  <c r="AC233" i="248"/>
  <c r="AD233" i="248"/>
  <c r="AE233" i="248"/>
  <c r="AF233" i="248"/>
  <c r="AG233" i="248"/>
  <c r="Y234" i="248"/>
  <c r="Z234" i="248"/>
  <c r="AA234" i="248"/>
  <c r="AB234" i="248"/>
  <c r="AC234" i="248"/>
  <c r="AD234" i="248"/>
  <c r="AE234" i="248"/>
  <c r="AF234" i="248"/>
  <c r="AG234" i="248"/>
  <c r="Y235" i="248"/>
  <c r="Z235" i="248"/>
  <c r="AA235" i="248"/>
  <c r="AB235" i="248"/>
  <c r="AC235" i="248"/>
  <c r="AD235" i="248"/>
  <c r="AE235" i="248"/>
  <c r="AF235" i="248"/>
  <c r="AG235" i="248"/>
  <c r="Y236" i="248"/>
  <c r="Z236" i="248"/>
  <c r="AA236" i="248"/>
  <c r="AB236" i="248"/>
  <c r="AC236" i="248"/>
  <c r="AD236" i="248"/>
  <c r="AE236" i="248"/>
  <c r="AF236" i="248"/>
  <c r="AG236" i="248"/>
  <c r="Y237" i="248"/>
  <c r="Z237" i="248"/>
  <c r="AA237" i="248"/>
  <c r="AB237" i="248"/>
  <c r="AC237" i="248"/>
  <c r="AD237" i="248"/>
  <c r="AE237" i="248"/>
  <c r="AF237" i="248"/>
  <c r="AG237" i="248"/>
  <c r="Y238" i="248"/>
  <c r="Z238" i="248"/>
  <c r="AA238" i="248"/>
  <c r="AB238" i="248"/>
  <c r="AC238" i="248"/>
  <c r="AD238" i="248"/>
  <c r="AE238" i="248"/>
  <c r="AF238" i="248"/>
  <c r="AG238" i="248"/>
  <c r="Y239" i="248"/>
  <c r="Z239" i="248"/>
  <c r="AA239" i="248"/>
  <c r="AB239" i="248"/>
  <c r="AC239" i="248"/>
  <c r="AD239" i="248"/>
  <c r="AE239" i="248"/>
  <c r="AF239" i="248"/>
  <c r="AG239" i="248"/>
  <c r="Y240" i="248"/>
  <c r="Z240" i="248"/>
  <c r="AA240" i="248"/>
  <c r="AB240" i="248"/>
  <c r="AC240" i="248"/>
  <c r="AD240" i="248"/>
  <c r="AE240" i="248"/>
  <c r="AF240" i="248"/>
  <c r="AG240" i="248"/>
  <c r="Y241" i="248"/>
  <c r="Z241" i="248"/>
  <c r="AA241" i="248"/>
  <c r="AB241" i="248"/>
  <c r="AC241" i="248"/>
  <c r="AD241" i="248"/>
  <c r="AE241" i="248"/>
  <c r="AF241" i="248"/>
  <c r="AG241" i="248"/>
  <c r="Y242" i="248"/>
  <c r="Z242" i="248"/>
  <c r="AA242" i="248"/>
  <c r="AB242" i="248"/>
  <c r="AC242" i="248"/>
  <c r="AD242" i="248"/>
  <c r="AE242" i="248"/>
  <c r="AF242" i="248"/>
  <c r="AG242" i="248"/>
  <c r="Y247" i="248"/>
  <c r="Z247" i="248"/>
  <c r="AA247" i="248"/>
  <c r="AB247" i="248"/>
  <c r="AC247" i="248"/>
  <c r="AD247" i="248"/>
  <c r="AE247" i="248"/>
  <c r="AF247" i="248"/>
  <c r="AG247" i="248"/>
  <c r="Y261" i="248"/>
  <c r="Z261" i="248"/>
  <c r="AA261" i="248"/>
  <c r="AB261" i="248"/>
  <c r="AC261" i="248"/>
  <c r="AD261" i="248"/>
  <c r="AE261" i="248"/>
  <c r="AF261" i="248"/>
  <c r="AG261" i="248"/>
  <c r="D1" i="43"/>
  <c r="AC7" i="43"/>
  <c r="AD7" i="43"/>
  <c r="AE7" i="43"/>
  <c r="AF7" i="43"/>
  <c r="AG7" i="43"/>
  <c r="AH7" i="43"/>
  <c r="AI7" i="43"/>
  <c r="AJ7" i="43"/>
  <c r="AK7" i="43"/>
  <c r="AC8" i="43"/>
  <c r="AD8" i="43"/>
  <c r="AE8" i="43"/>
  <c r="AF8" i="43"/>
  <c r="AG8" i="43"/>
  <c r="AH8" i="43"/>
  <c r="AI8" i="43"/>
  <c r="AJ8" i="43"/>
  <c r="AK8" i="43"/>
  <c r="AC9" i="43"/>
  <c r="AD9" i="43"/>
  <c r="AE9" i="43"/>
  <c r="AF9" i="43"/>
  <c r="AG9" i="43"/>
  <c r="AH9" i="43"/>
  <c r="AI9" i="43"/>
  <c r="AJ9" i="43"/>
  <c r="AK9" i="43"/>
  <c r="AC10" i="43"/>
  <c r="AD10" i="43"/>
  <c r="AE10" i="43"/>
  <c r="AF10" i="43"/>
  <c r="AG10" i="43"/>
  <c r="AH10" i="43"/>
  <c r="AI10" i="43"/>
  <c r="AJ10" i="43"/>
  <c r="AK10" i="43"/>
  <c r="AL10" i="43"/>
  <c r="AM10" i="43"/>
  <c r="AO10" i="43"/>
  <c r="AR10" i="43"/>
  <c r="AC11" i="43"/>
  <c r="AD11" i="43"/>
  <c r="AE11" i="43"/>
  <c r="AF11" i="43"/>
  <c r="AG11" i="43"/>
  <c r="AH11" i="43"/>
  <c r="AI11" i="43"/>
  <c r="AJ11" i="43"/>
  <c r="AK11" i="43"/>
  <c r="AL11" i="43"/>
  <c r="AM11" i="43"/>
  <c r="AO11" i="43"/>
  <c r="AR11" i="43"/>
  <c r="AC13" i="43"/>
  <c r="AD13" i="43"/>
  <c r="AE13" i="43"/>
  <c r="AF13" i="43"/>
  <c r="AG13" i="43"/>
  <c r="AH13" i="43"/>
  <c r="AI13" i="43"/>
  <c r="AJ13" i="43"/>
  <c r="AK13" i="43"/>
  <c r="AL13" i="43"/>
  <c r="AM13" i="43"/>
  <c r="AO13" i="43"/>
  <c r="AR13" i="43"/>
  <c r="AD14" i="43"/>
  <c r="AE14" i="43"/>
  <c r="AF14" i="43"/>
  <c r="AG14" i="43"/>
  <c r="AH14" i="43"/>
  <c r="AI14" i="43"/>
  <c r="AJ14" i="43"/>
  <c r="AK14" i="43"/>
  <c r="AL14" i="43"/>
  <c r="AM14" i="43"/>
  <c r="AO14" i="43"/>
  <c r="AR14" i="43"/>
  <c r="AC15" i="43"/>
  <c r="AD15" i="43"/>
  <c r="AE15" i="43"/>
  <c r="AF15" i="43"/>
  <c r="AG15" i="43"/>
  <c r="AH15" i="43"/>
  <c r="AI15" i="43"/>
  <c r="AJ15" i="43"/>
  <c r="AK15" i="43"/>
  <c r="AL15" i="43"/>
  <c r="AM15" i="43"/>
  <c r="AO15" i="43"/>
  <c r="AR15" i="43"/>
  <c r="AC16" i="43"/>
  <c r="AD16" i="43"/>
  <c r="AE16" i="43"/>
  <c r="AF16" i="43"/>
  <c r="AG16" i="43"/>
  <c r="AH16" i="43"/>
  <c r="AI16" i="43"/>
  <c r="AJ16" i="43"/>
  <c r="AK16" i="43"/>
  <c r="AL16" i="43"/>
  <c r="AM16" i="43"/>
  <c r="AO16" i="43"/>
  <c r="AR16" i="43"/>
  <c r="AC17" i="43"/>
  <c r="AD17" i="43"/>
  <c r="AE17" i="43"/>
  <c r="AF17" i="43"/>
  <c r="AG17" i="43"/>
  <c r="AH17" i="43"/>
  <c r="AI17" i="43"/>
  <c r="AJ17" i="43"/>
  <c r="AK17" i="43"/>
  <c r="AL17" i="43"/>
  <c r="AM17" i="43"/>
  <c r="AO17" i="43"/>
  <c r="AR17" i="43"/>
  <c r="AC19" i="43"/>
  <c r="AD19" i="43"/>
  <c r="AE19" i="43"/>
  <c r="AF19" i="43"/>
  <c r="AG19" i="43"/>
  <c r="AH19" i="43"/>
  <c r="AI19" i="43"/>
  <c r="AJ19" i="43"/>
  <c r="AK19" i="43"/>
  <c r="AC20" i="43"/>
  <c r="AD20" i="43"/>
  <c r="AE20" i="43"/>
  <c r="AF20" i="43"/>
  <c r="AG20" i="43"/>
  <c r="AH20" i="43"/>
  <c r="AI20" i="43"/>
  <c r="AJ20" i="43"/>
  <c r="AK20" i="43"/>
  <c r="AL20" i="43"/>
  <c r="AM20" i="43"/>
  <c r="AC21" i="43"/>
  <c r="AD21" i="43"/>
  <c r="AE21" i="43"/>
  <c r="AF21" i="43"/>
  <c r="AG21" i="43"/>
  <c r="AH21" i="43"/>
  <c r="AI21" i="43"/>
  <c r="AJ21" i="43"/>
  <c r="AK21" i="43"/>
  <c r="AL21" i="43"/>
  <c r="AM21" i="43"/>
  <c r="AC24" i="43"/>
  <c r="AD24" i="43"/>
  <c r="AE24" i="43"/>
  <c r="AF24" i="43"/>
  <c r="AG24" i="43"/>
  <c r="AH24" i="43"/>
  <c r="AI24" i="43"/>
  <c r="AJ24" i="43"/>
  <c r="AK24" i="43"/>
  <c r="AL24" i="43"/>
  <c r="AM24" i="43"/>
  <c r="AO24" i="43"/>
  <c r="AR24" i="43"/>
  <c r="AC25" i="43"/>
  <c r="AD25" i="43"/>
  <c r="AE25" i="43"/>
  <c r="AF25" i="43"/>
  <c r="AG25" i="43"/>
  <c r="AH25" i="43"/>
  <c r="AI25" i="43"/>
  <c r="AJ25" i="43"/>
  <c r="AK25" i="43"/>
  <c r="AL25" i="43"/>
  <c r="AM25" i="43"/>
  <c r="AO25" i="43"/>
  <c r="AR25" i="43"/>
  <c r="AC26" i="43"/>
  <c r="AD26" i="43"/>
  <c r="AE26" i="43"/>
  <c r="AF26" i="43"/>
  <c r="AG26" i="43"/>
  <c r="AH26" i="43"/>
  <c r="AI26" i="43"/>
  <c r="AJ26" i="43"/>
  <c r="AK26" i="43"/>
  <c r="AC27" i="43"/>
  <c r="AD27" i="43"/>
  <c r="AE27" i="43"/>
  <c r="AF27" i="43"/>
  <c r="AG27" i="43"/>
  <c r="AH27" i="43"/>
  <c r="AI27" i="43"/>
  <c r="AJ27" i="43"/>
  <c r="AK27" i="43"/>
  <c r="AC28" i="43"/>
  <c r="AD28" i="43"/>
  <c r="AE28" i="43"/>
  <c r="AF28" i="43"/>
  <c r="AG28" i="43"/>
  <c r="AH28" i="43"/>
  <c r="AI28" i="43"/>
  <c r="AJ28" i="43"/>
  <c r="AK28" i="43"/>
  <c r="AC29" i="43"/>
  <c r="AD29" i="43"/>
  <c r="AE29" i="43"/>
  <c r="AF29" i="43"/>
  <c r="AG29" i="43"/>
  <c r="AH29" i="43"/>
  <c r="AI29" i="43"/>
  <c r="AJ29" i="43"/>
  <c r="AK29" i="43"/>
  <c r="AL29" i="43"/>
  <c r="AM29" i="43"/>
  <c r="AO29" i="43"/>
  <c r="AR29" i="43"/>
  <c r="AC31" i="43"/>
  <c r="AD31" i="43"/>
  <c r="AE31" i="43"/>
  <c r="AF31" i="43"/>
  <c r="AG31" i="43"/>
  <c r="AH31" i="43"/>
  <c r="AI31" i="43"/>
  <c r="AJ31" i="43"/>
  <c r="AK31" i="43"/>
  <c r="AC33" i="43"/>
  <c r="AD33" i="43"/>
  <c r="AE33" i="43"/>
  <c r="AF33" i="43"/>
  <c r="AG33" i="43"/>
  <c r="AH33" i="43"/>
  <c r="AI33" i="43"/>
  <c r="AJ33" i="43"/>
  <c r="AK33" i="43"/>
  <c r="AC37" i="43"/>
  <c r="AD37" i="43"/>
  <c r="AE37" i="43"/>
  <c r="AF37" i="43"/>
  <c r="AG37" i="43"/>
  <c r="AH37" i="43"/>
  <c r="AI37" i="43"/>
  <c r="AJ37" i="43"/>
  <c r="AK37" i="43"/>
  <c r="AC41" i="43"/>
  <c r="AD41" i="43"/>
  <c r="AE41" i="43"/>
  <c r="AF41" i="43"/>
  <c r="AG41" i="43"/>
  <c r="AH41" i="43"/>
  <c r="AI41" i="43"/>
  <c r="AJ41" i="43"/>
  <c r="AK41" i="43"/>
  <c r="AL41" i="43"/>
  <c r="AM41" i="43"/>
  <c r="AC42" i="43"/>
  <c r="AD42" i="43"/>
  <c r="AE42" i="43"/>
  <c r="AF42" i="43"/>
  <c r="AG42" i="43"/>
  <c r="AH42" i="43"/>
  <c r="AI42" i="43"/>
  <c r="AJ42" i="43"/>
  <c r="AK42" i="43"/>
  <c r="AL42" i="43"/>
  <c r="AM42" i="43"/>
  <c r="AC43" i="43"/>
  <c r="AD43" i="43"/>
  <c r="AE43" i="43"/>
  <c r="AF43" i="43"/>
  <c r="AG43" i="43"/>
  <c r="AH43" i="43"/>
  <c r="AI43" i="43"/>
  <c r="AJ43" i="43"/>
  <c r="AK43" i="43"/>
  <c r="AC46" i="43"/>
  <c r="AD46" i="43"/>
  <c r="AE46" i="43"/>
  <c r="AF46" i="43"/>
  <c r="AG46" i="43"/>
  <c r="AH46" i="43"/>
  <c r="AI46" i="43"/>
  <c r="AJ46" i="43"/>
  <c r="AK46" i="43"/>
  <c r="AL46" i="43"/>
  <c r="AM46" i="43"/>
  <c r="AC47" i="43"/>
  <c r="AD47" i="43"/>
  <c r="AE47" i="43"/>
  <c r="AF47" i="43"/>
  <c r="AG47" i="43"/>
  <c r="AH47" i="43"/>
  <c r="AI47" i="43"/>
  <c r="AJ47" i="43"/>
  <c r="AK47" i="43"/>
  <c r="AL47" i="43"/>
  <c r="AM47" i="43"/>
  <c r="AC48" i="43"/>
  <c r="AD48" i="43"/>
  <c r="AE48" i="43"/>
  <c r="AF48" i="43"/>
  <c r="AG48" i="43"/>
  <c r="AH48" i="43"/>
  <c r="AI48" i="43"/>
  <c r="AJ48" i="43"/>
  <c r="AK48" i="43"/>
  <c r="AL48" i="43"/>
  <c r="AM48" i="43"/>
  <c r="AC52" i="43"/>
  <c r="AD52" i="43"/>
  <c r="AE52" i="43"/>
  <c r="AF52" i="43"/>
  <c r="AG52" i="43"/>
  <c r="AH52" i="43"/>
  <c r="AI52" i="43"/>
  <c r="AJ52" i="43"/>
  <c r="AK52" i="43"/>
  <c r="AC53" i="43"/>
  <c r="AD53" i="43"/>
  <c r="AE53" i="43"/>
  <c r="AF53" i="43"/>
  <c r="AG53" i="43"/>
  <c r="AH53" i="43"/>
  <c r="AI53" i="43"/>
  <c r="AJ53" i="43"/>
  <c r="AK53" i="43"/>
  <c r="AC54" i="43"/>
  <c r="AD54" i="43"/>
  <c r="AE54" i="43"/>
  <c r="AF54" i="43"/>
  <c r="AG54" i="43"/>
  <c r="AH54" i="43"/>
  <c r="AI54" i="43"/>
  <c r="AJ54" i="43"/>
  <c r="AK54" i="43"/>
  <c r="AC55" i="43"/>
  <c r="AD55" i="43"/>
  <c r="AE55" i="43"/>
  <c r="AF55" i="43"/>
  <c r="AG55" i="43"/>
  <c r="AH55" i="43"/>
  <c r="AI55" i="43"/>
  <c r="AJ55" i="43"/>
  <c r="AK55" i="43"/>
  <c r="AC57" i="43"/>
  <c r="AD57" i="43"/>
  <c r="AE57" i="43"/>
  <c r="AF57" i="43"/>
  <c r="AG57" i="43"/>
  <c r="AH57" i="43"/>
  <c r="AI57" i="43"/>
  <c r="AJ57" i="43"/>
  <c r="AK57" i="43"/>
  <c r="AC59" i="43"/>
  <c r="AD59" i="43"/>
  <c r="AE59" i="43"/>
  <c r="AF59" i="43"/>
  <c r="AG59" i="43"/>
  <c r="AH59" i="43"/>
  <c r="AI59" i="43"/>
  <c r="AJ59" i="43"/>
  <c r="AK59" i="43"/>
  <c r="AC60" i="43"/>
  <c r="AD60" i="43"/>
  <c r="AE60" i="43"/>
  <c r="AF60" i="43"/>
  <c r="AG60" i="43"/>
  <c r="AH60" i="43"/>
  <c r="AI60" i="43"/>
  <c r="AJ60" i="43"/>
  <c r="AK60" i="43"/>
  <c r="AC61" i="43"/>
  <c r="AD61" i="43"/>
  <c r="AE61" i="43"/>
  <c r="AF61" i="43"/>
  <c r="AG61" i="43"/>
  <c r="AH61" i="43"/>
  <c r="AI61" i="43"/>
  <c r="AJ61" i="43"/>
  <c r="AK61" i="43"/>
  <c r="AC62" i="43"/>
  <c r="AD62" i="43"/>
  <c r="AE62" i="43"/>
  <c r="AF62" i="43"/>
  <c r="AG62" i="43"/>
  <c r="AH62" i="43"/>
  <c r="AI62" i="43"/>
  <c r="AJ62" i="43"/>
  <c r="AK62" i="43"/>
  <c r="AC64" i="43"/>
  <c r="AD64" i="43"/>
  <c r="AE64" i="43"/>
  <c r="AF64" i="43"/>
  <c r="AG64" i="43"/>
  <c r="AH64" i="43"/>
  <c r="AI64" i="43"/>
  <c r="AJ64" i="43"/>
  <c r="AK64" i="43"/>
  <c r="AC65" i="43"/>
  <c r="AD65" i="43"/>
  <c r="AE65" i="43"/>
  <c r="AF65" i="43"/>
  <c r="AG65" i="43"/>
  <c r="AH65" i="43"/>
  <c r="AI65" i="43"/>
  <c r="AJ65" i="43"/>
  <c r="AK65" i="43"/>
  <c r="AC66" i="43"/>
  <c r="AD66" i="43"/>
  <c r="AE66" i="43"/>
  <c r="AF66" i="43"/>
  <c r="AG66" i="43"/>
  <c r="AH66" i="43"/>
  <c r="AI66" i="43"/>
  <c r="AJ66" i="43"/>
  <c r="AK66" i="43"/>
  <c r="AC67" i="43"/>
  <c r="AD67" i="43"/>
  <c r="AE67" i="43"/>
  <c r="AF67" i="43"/>
  <c r="AG67" i="43"/>
  <c r="AH67" i="43"/>
  <c r="AI67" i="43"/>
  <c r="AJ67" i="43"/>
  <c r="AK67" i="43"/>
  <c r="AC71" i="43"/>
  <c r="AD71" i="43"/>
  <c r="AE71" i="43"/>
  <c r="AF71" i="43"/>
  <c r="AG71" i="43"/>
  <c r="AH71" i="43"/>
  <c r="AI71" i="43"/>
  <c r="AJ71" i="43"/>
  <c r="AK71" i="43"/>
  <c r="AC73" i="43"/>
  <c r="AD73" i="43"/>
  <c r="AE73" i="43"/>
  <c r="AF73" i="43"/>
  <c r="AG73" i="43"/>
  <c r="AH73" i="43"/>
  <c r="AI73" i="43"/>
  <c r="AJ73" i="43"/>
  <c r="AK73" i="43"/>
  <c r="AL73" i="43"/>
  <c r="AC74" i="43"/>
  <c r="AD74" i="43"/>
  <c r="AE74" i="43"/>
  <c r="AF74" i="43"/>
  <c r="AG74" i="43"/>
  <c r="AH74" i="43"/>
  <c r="AI74" i="43"/>
  <c r="AJ74" i="43"/>
  <c r="AK74" i="43"/>
  <c r="AL74" i="43"/>
  <c r="AF76" i="43"/>
  <c r="AG76" i="43"/>
  <c r="AH76" i="43"/>
  <c r="AI76" i="43"/>
  <c r="AJ76" i="43"/>
  <c r="AK76" i="43"/>
  <c r="AF77" i="43"/>
  <c r="AG77" i="43"/>
  <c r="AH77" i="43"/>
  <c r="AI77" i="43"/>
  <c r="AJ77" i="43"/>
  <c r="AK77" i="43"/>
  <c r="AL77" i="43"/>
  <c r="AF78" i="43"/>
  <c r="AG78" i="43"/>
  <c r="AH78" i="43"/>
  <c r="AI78" i="43"/>
  <c r="AJ78" i="43"/>
  <c r="AK78" i="43"/>
  <c r="AL78" i="43"/>
  <c r="AC79" i="43"/>
  <c r="AD79" i="43"/>
  <c r="AE79" i="43"/>
  <c r="AF79" i="43"/>
  <c r="AG79" i="43"/>
  <c r="AH79" i="43"/>
  <c r="AI79" i="43"/>
  <c r="AJ79" i="43"/>
  <c r="AK79" i="43"/>
  <c r="AC83" i="43"/>
  <c r="AD83" i="43"/>
  <c r="AE83" i="43"/>
  <c r="AF83" i="43"/>
  <c r="AG83" i="43"/>
  <c r="AH83" i="43"/>
  <c r="AI83" i="43"/>
  <c r="AJ83" i="43"/>
  <c r="AK83" i="43"/>
  <c r="AC86" i="43"/>
  <c r="AD86" i="43"/>
  <c r="AE86" i="43"/>
  <c r="AF86" i="43"/>
  <c r="AG86" i="43"/>
  <c r="AH86" i="43"/>
  <c r="AI86" i="43"/>
  <c r="AJ86" i="43"/>
  <c r="AK86" i="43"/>
  <c r="AC87" i="43"/>
  <c r="AD87" i="43"/>
  <c r="AE87" i="43"/>
  <c r="AF87" i="43"/>
  <c r="AG87" i="43"/>
  <c r="AH87" i="43"/>
  <c r="AI87" i="43"/>
  <c r="AJ87" i="43"/>
  <c r="AK87" i="43"/>
  <c r="AC88" i="43"/>
  <c r="AD88" i="43"/>
  <c r="AE88" i="43"/>
  <c r="AF88" i="43"/>
  <c r="AG88" i="43"/>
  <c r="AH88" i="43"/>
  <c r="AI88" i="43"/>
  <c r="AJ88" i="43"/>
  <c r="AK88" i="43"/>
  <c r="AC90" i="43"/>
  <c r="AD90" i="43"/>
  <c r="AE90" i="43"/>
  <c r="AF90" i="43"/>
  <c r="AG90" i="43"/>
  <c r="AH90" i="43"/>
  <c r="AI90" i="43"/>
  <c r="AJ90" i="43"/>
  <c r="AK90" i="43"/>
  <c r="AC91" i="43"/>
  <c r="AD91" i="43"/>
  <c r="AE91" i="43"/>
  <c r="AF91" i="43"/>
  <c r="AG91" i="43"/>
  <c r="AH91" i="43"/>
  <c r="AI91" i="43"/>
  <c r="AJ91" i="43"/>
  <c r="AK91" i="43"/>
  <c r="AL91" i="43"/>
  <c r="AC95" i="43"/>
  <c r="AD95" i="43"/>
  <c r="AE95" i="43"/>
  <c r="AF95" i="43"/>
  <c r="AG95" i="43"/>
  <c r="AH95" i="43"/>
  <c r="AI95" i="43"/>
  <c r="AJ95" i="43"/>
  <c r="AK95" i="43"/>
  <c r="AC96" i="43"/>
  <c r="AD96" i="43"/>
  <c r="AE96" i="43"/>
  <c r="AF96" i="43"/>
  <c r="AG96" i="43"/>
  <c r="AH96" i="43"/>
  <c r="AI96" i="43"/>
  <c r="AJ96" i="43"/>
  <c r="AK96" i="43"/>
  <c r="AL96" i="43"/>
  <c r="AC104" i="43"/>
  <c r="AD104" i="43"/>
  <c r="AE104" i="43"/>
  <c r="AF104" i="43"/>
  <c r="AG104" i="43"/>
  <c r="AH104" i="43"/>
  <c r="AI104" i="43"/>
  <c r="AJ104" i="43"/>
  <c r="AK104" i="43"/>
  <c r="AC107" i="43"/>
  <c r="AD107" i="43"/>
  <c r="AE107" i="43"/>
  <c r="AF107" i="43"/>
  <c r="AG107" i="43"/>
  <c r="AH107" i="43"/>
  <c r="AI107" i="43"/>
  <c r="AJ107" i="43"/>
  <c r="AK107" i="43"/>
  <c r="AC108" i="43"/>
  <c r="AD108" i="43"/>
  <c r="AE108" i="43"/>
  <c r="AF108" i="43"/>
  <c r="AG108" i="43"/>
  <c r="AH108" i="43"/>
  <c r="AI108" i="43"/>
  <c r="AJ108" i="43"/>
  <c r="AK108" i="43"/>
  <c r="AC109" i="43"/>
  <c r="AD109" i="43"/>
  <c r="AE109" i="43"/>
  <c r="AF109" i="43"/>
  <c r="AG109" i="43"/>
  <c r="AH109" i="43"/>
  <c r="AI109" i="43"/>
  <c r="AJ109" i="43"/>
  <c r="AK109" i="43"/>
  <c r="AC111" i="43"/>
  <c r="AD111" i="43"/>
  <c r="AE111" i="43"/>
  <c r="AF111" i="43"/>
  <c r="AG111" i="43"/>
  <c r="AH111" i="43"/>
  <c r="AI111" i="43"/>
  <c r="AJ111" i="43"/>
  <c r="AK111" i="43"/>
  <c r="AC115" i="43"/>
  <c r="AD115" i="43"/>
  <c r="AE115" i="43"/>
  <c r="AF115" i="43"/>
  <c r="AG115" i="43"/>
  <c r="AH115" i="43"/>
  <c r="AI115" i="43"/>
  <c r="AJ115" i="43"/>
  <c r="AK115" i="43"/>
  <c r="AC116" i="43"/>
  <c r="AD116" i="43"/>
  <c r="AE116" i="43"/>
  <c r="AF116" i="43"/>
  <c r="AG116" i="43"/>
  <c r="AH116" i="43"/>
  <c r="AI116" i="43"/>
  <c r="AJ116" i="43"/>
  <c r="AK116" i="43"/>
  <c r="AC118" i="43"/>
  <c r="AD118" i="43"/>
  <c r="AE118" i="43"/>
  <c r="AF118" i="43"/>
  <c r="AG118" i="43"/>
  <c r="AH118" i="43"/>
  <c r="AI118" i="43"/>
  <c r="AJ118" i="43"/>
  <c r="AK118" i="43"/>
  <c r="AC120" i="43"/>
  <c r="AD120" i="43"/>
  <c r="AE120" i="43"/>
  <c r="AF120" i="43"/>
  <c r="AG120" i="43"/>
  <c r="AH120" i="43"/>
  <c r="AI120" i="43"/>
  <c r="AJ120" i="43"/>
  <c r="AK120" i="43"/>
  <c r="AC121" i="43"/>
  <c r="AD121" i="43"/>
  <c r="AE121" i="43"/>
  <c r="AF121" i="43"/>
  <c r="AG121" i="43"/>
  <c r="AH121" i="43"/>
  <c r="AI121" i="43"/>
  <c r="AJ121" i="43"/>
  <c r="AK121" i="43"/>
  <c r="AC123" i="43"/>
  <c r="AD123" i="43"/>
  <c r="AE123" i="43"/>
  <c r="AF123" i="43"/>
  <c r="AG123" i="43"/>
  <c r="AH123" i="43"/>
  <c r="AI123" i="43"/>
  <c r="AJ123" i="43"/>
  <c r="AK123" i="43"/>
  <c r="AC125" i="43"/>
  <c r="AD125" i="43"/>
  <c r="AE125" i="43"/>
  <c r="AF125" i="43"/>
  <c r="AG125" i="43"/>
  <c r="AH125" i="43"/>
  <c r="AI125" i="43"/>
  <c r="AJ125" i="43"/>
  <c r="AK125" i="43"/>
  <c r="AC126" i="43"/>
  <c r="AD126" i="43"/>
  <c r="AE126" i="43"/>
  <c r="AF126" i="43"/>
  <c r="AG126" i="43"/>
  <c r="AH126" i="43"/>
  <c r="AI126" i="43"/>
  <c r="AJ126" i="43"/>
  <c r="AK126" i="43"/>
  <c r="AC128" i="43"/>
  <c r="AD128" i="43"/>
  <c r="AE128" i="43"/>
  <c r="AF128" i="43"/>
  <c r="AG128" i="43"/>
  <c r="AH128" i="43"/>
  <c r="AI128" i="43"/>
  <c r="AJ128" i="43"/>
  <c r="AK128" i="43"/>
  <c r="AC134" i="43"/>
  <c r="AD134" i="43"/>
  <c r="AE134" i="43"/>
  <c r="AF134" i="43"/>
  <c r="AG134" i="43"/>
  <c r="AH134" i="43"/>
  <c r="AI134" i="43"/>
  <c r="AJ134" i="43"/>
  <c r="AK134" i="43"/>
  <c r="AC135" i="43"/>
  <c r="AD135" i="43"/>
  <c r="AE135" i="43"/>
  <c r="AF135" i="43"/>
  <c r="AG135" i="43"/>
  <c r="AH135" i="43"/>
  <c r="AI135" i="43"/>
  <c r="AJ135" i="43"/>
  <c r="AK135" i="43"/>
  <c r="AC138" i="43"/>
  <c r="AD138" i="43"/>
  <c r="AE138" i="43"/>
  <c r="AF138" i="43"/>
  <c r="AG138" i="43"/>
  <c r="AH138" i="43"/>
  <c r="AI138" i="43"/>
  <c r="AJ138" i="43"/>
  <c r="AK138" i="43"/>
  <c r="AC139" i="43"/>
  <c r="AD139" i="43"/>
  <c r="AE139" i="43"/>
  <c r="AF139" i="43"/>
  <c r="AG139" i="43"/>
  <c r="AH139" i="43"/>
  <c r="AI139" i="43"/>
  <c r="AJ139" i="43"/>
  <c r="AK139" i="43"/>
  <c r="AC141" i="43"/>
  <c r="AD141" i="43"/>
  <c r="AE141" i="43"/>
  <c r="AF141" i="43"/>
  <c r="AG141" i="43"/>
  <c r="AH141" i="43"/>
  <c r="AI141" i="43"/>
  <c r="AJ141" i="43"/>
  <c r="AK141" i="43"/>
  <c r="AD144" i="43"/>
  <c r="AE144" i="43"/>
  <c r="AF144" i="43"/>
  <c r="AG144" i="43"/>
  <c r="AH144" i="43"/>
  <c r="AI144" i="43"/>
  <c r="AJ144" i="43"/>
  <c r="AK144" i="43"/>
  <c r="AL144" i="43"/>
  <c r="AM144" i="43"/>
  <c r="AC145" i="43"/>
  <c r="AD145" i="43"/>
  <c r="AE145" i="43"/>
  <c r="AF145" i="43"/>
  <c r="AG145" i="43"/>
  <c r="AH145" i="43"/>
  <c r="AI145" i="43"/>
  <c r="AJ145" i="43"/>
  <c r="AK145" i="43"/>
  <c r="AD146" i="43"/>
  <c r="AE146" i="43"/>
  <c r="AF146" i="43"/>
  <c r="AG146" i="43"/>
  <c r="AH146" i="43"/>
  <c r="AI146" i="43"/>
  <c r="AJ146" i="43"/>
  <c r="AK146" i="43"/>
  <c r="AL146" i="43"/>
  <c r="AM146" i="43"/>
  <c r="AC147" i="43"/>
  <c r="AD147" i="43"/>
  <c r="AE147" i="43"/>
  <c r="AF147" i="43"/>
  <c r="AG147" i="43"/>
  <c r="AH147" i="43"/>
  <c r="AI147" i="43"/>
  <c r="AJ147" i="43"/>
  <c r="AK147" i="43"/>
  <c r="AL147" i="43"/>
  <c r="AM147" i="43"/>
  <c r="AC149" i="43"/>
  <c r="AD149" i="43"/>
  <c r="AE149" i="43"/>
  <c r="AF149" i="43"/>
  <c r="AG149" i="43"/>
  <c r="AH149" i="43"/>
  <c r="AI149" i="43"/>
  <c r="AJ149" i="43"/>
  <c r="AK149" i="43"/>
  <c r="AL149" i="43"/>
  <c r="AM149" i="43"/>
  <c r="AO149" i="43"/>
  <c r="AR149" i="43"/>
  <c r="AC150" i="43"/>
  <c r="AD150" i="43"/>
  <c r="AE150" i="43"/>
  <c r="AF150" i="43"/>
  <c r="AG150" i="43"/>
  <c r="AH150" i="43"/>
  <c r="AI150" i="43"/>
  <c r="AJ150" i="43"/>
  <c r="AK150" i="43"/>
  <c r="AL150" i="43"/>
  <c r="AM150" i="43"/>
  <c r="AO150" i="43"/>
  <c r="AR150" i="43"/>
  <c r="AC151" i="43"/>
  <c r="AD151" i="43"/>
  <c r="AE151" i="43"/>
  <c r="AF151" i="43"/>
  <c r="AG151" i="43"/>
  <c r="AH151" i="43"/>
  <c r="AI151" i="43"/>
  <c r="AJ151" i="43"/>
  <c r="AK151" i="43"/>
  <c r="AL151" i="43"/>
  <c r="AM151" i="43"/>
  <c r="AC153" i="43"/>
  <c r="AD153" i="43"/>
  <c r="AE153" i="43"/>
  <c r="AF153" i="43"/>
  <c r="AG153" i="43"/>
  <c r="AH153" i="43"/>
  <c r="AI153" i="43"/>
  <c r="AJ153" i="43"/>
  <c r="AK153" i="43"/>
  <c r="AL153" i="43"/>
  <c r="AM153" i="43"/>
  <c r="AC158" i="43"/>
  <c r="AD158" i="43"/>
  <c r="AE158" i="43"/>
  <c r="AF158" i="43"/>
  <c r="AG158" i="43"/>
  <c r="AH158" i="43"/>
  <c r="AI158" i="43"/>
  <c r="AJ158" i="43"/>
  <c r="AK158" i="43"/>
  <c r="AC162" i="43"/>
  <c r="AD162" i="43"/>
  <c r="AE162" i="43"/>
  <c r="AF162" i="43"/>
  <c r="AG162" i="43"/>
  <c r="AH162" i="43"/>
  <c r="AI162" i="43"/>
  <c r="AJ162" i="43"/>
  <c r="AK162" i="43"/>
  <c r="AC178" i="43"/>
  <c r="AD178" i="43"/>
  <c r="AE178" i="43"/>
  <c r="AF178" i="43"/>
  <c r="AG178" i="43"/>
  <c r="AH178" i="43"/>
  <c r="AI178" i="43"/>
  <c r="AJ178" i="43"/>
  <c r="AK178" i="43"/>
  <c r="AL178" i="43"/>
  <c r="AM178" i="43"/>
  <c r="AD180" i="43"/>
  <c r="AE180" i="43"/>
  <c r="AF180" i="43"/>
  <c r="AG180" i="43"/>
  <c r="AH180" i="43"/>
  <c r="AI180" i="43"/>
  <c r="AJ180" i="43"/>
  <c r="AK180" i="43"/>
  <c r="AL180" i="43"/>
  <c r="AM180" i="43"/>
  <c r="AC181" i="43"/>
  <c r="AD181" i="43"/>
  <c r="AE181" i="43"/>
  <c r="AF181" i="43"/>
  <c r="AG181" i="43"/>
  <c r="AH181" i="43"/>
  <c r="AI181" i="43"/>
  <c r="AJ181" i="43"/>
  <c r="AK181" i="43"/>
  <c r="AC182" i="43"/>
  <c r="AD182" i="43"/>
  <c r="AE182" i="43"/>
  <c r="AF182" i="43"/>
  <c r="AG182" i="43"/>
  <c r="AH182" i="43"/>
  <c r="AI182" i="43"/>
  <c r="AJ182" i="43"/>
  <c r="AK182" i="43"/>
  <c r="AC183" i="43"/>
  <c r="AD183" i="43"/>
  <c r="AE183" i="43"/>
  <c r="AF183" i="43"/>
  <c r="AG183" i="43"/>
  <c r="AH183" i="43"/>
  <c r="AI183" i="43"/>
  <c r="AJ183" i="43"/>
  <c r="AK183" i="43"/>
  <c r="AL183" i="43"/>
  <c r="AM183" i="43"/>
  <c r="AO183" i="43"/>
  <c r="AR183" i="43"/>
  <c r="AC190" i="43"/>
  <c r="AD190" i="43"/>
  <c r="AE190" i="43"/>
  <c r="AF190" i="43"/>
  <c r="AG190" i="43"/>
  <c r="AH190" i="43"/>
  <c r="AI190" i="43"/>
  <c r="AJ190" i="43"/>
  <c r="AK190" i="43"/>
  <c r="AL190" i="43"/>
  <c r="AM190" i="43"/>
  <c r="AC196" i="43"/>
  <c r="AD196" i="43"/>
  <c r="AE196" i="43"/>
  <c r="AF196" i="43"/>
  <c r="AG196" i="43"/>
  <c r="AH196" i="43"/>
  <c r="AI196" i="43"/>
  <c r="AJ196" i="43"/>
  <c r="AK196" i="43"/>
  <c r="AL196" i="43"/>
  <c r="AM196" i="43"/>
  <c r="AC197" i="43"/>
  <c r="AD197" i="43"/>
  <c r="AE197" i="43"/>
  <c r="AF197" i="43"/>
  <c r="AG197" i="43"/>
  <c r="AH197" i="43"/>
  <c r="AI197" i="43"/>
  <c r="AJ197" i="43"/>
  <c r="AK197" i="43"/>
  <c r="AL197" i="43"/>
  <c r="AM197" i="43"/>
  <c r="AC198" i="43"/>
  <c r="AD198" i="43"/>
  <c r="AE198" i="43"/>
  <c r="AF198" i="43"/>
  <c r="AG198" i="43"/>
  <c r="AH198" i="43"/>
  <c r="AI198" i="43"/>
  <c r="AJ198" i="43"/>
  <c r="AK198" i="43"/>
  <c r="AL198" i="43"/>
  <c r="AM198" i="43"/>
  <c r="AC205" i="43"/>
  <c r="AD205" i="43"/>
  <c r="AE205" i="43"/>
  <c r="AF205" i="43"/>
  <c r="AG205" i="43"/>
  <c r="AH205" i="43"/>
  <c r="AI205" i="43"/>
  <c r="AJ205" i="43"/>
  <c r="AK205" i="43"/>
  <c r="AC206" i="43"/>
  <c r="AD206" i="43"/>
  <c r="AE206" i="43"/>
  <c r="AF206" i="43"/>
  <c r="AG206" i="43"/>
  <c r="AH206" i="43"/>
  <c r="AI206" i="43"/>
  <c r="AJ206" i="43"/>
  <c r="AK206" i="43"/>
  <c r="AC207" i="43"/>
  <c r="AD207" i="43"/>
  <c r="AE207" i="43"/>
  <c r="AF207" i="43"/>
  <c r="AG207" i="43"/>
  <c r="AH207" i="43"/>
  <c r="AI207" i="43"/>
  <c r="AJ207" i="43"/>
  <c r="AK207" i="43"/>
  <c r="AC208" i="43"/>
  <c r="AD208" i="43"/>
  <c r="AE208" i="43"/>
  <c r="AF208" i="43"/>
  <c r="AG208" i="43"/>
  <c r="AH208" i="43"/>
  <c r="AI208" i="43"/>
  <c r="AJ208" i="43"/>
  <c r="AK208" i="43"/>
  <c r="AL208" i="43"/>
  <c r="AM208" i="43"/>
  <c r="AC210" i="43"/>
  <c r="AD210" i="43"/>
  <c r="AE210" i="43"/>
  <c r="AF210" i="43"/>
  <c r="AG210" i="43"/>
  <c r="AH210" i="43"/>
  <c r="AI210" i="43"/>
  <c r="AJ210" i="43"/>
  <c r="AK210" i="43"/>
  <c r="AL210" i="43"/>
  <c r="AM210" i="43"/>
  <c r="AC212" i="43"/>
  <c r="AD212" i="43"/>
  <c r="AE212" i="43"/>
  <c r="AF212" i="43"/>
  <c r="AG212" i="43"/>
  <c r="AH212" i="43"/>
  <c r="AI212" i="43"/>
  <c r="AJ212" i="43"/>
  <c r="AK212" i="43"/>
  <c r="AL212" i="43"/>
  <c r="AM212" i="43"/>
  <c r="AO212" i="43"/>
  <c r="AR212" i="43"/>
  <c r="AD213" i="43"/>
  <c r="AE213" i="43"/>
  <c r="AF213" i="43"/>
  <c r="AG213" i="43"/>
  <c r="AH213" i="43"/>
  <c r="AI213" i="43"/>
  <c r="AJ213" i="43"/>
  <c r="AK213" i="43"/>
  <c r="AL213" i="43"/>
  <c r="AM213" i="43"/>
  <c r="AC218" i="43"/>
  <c r="AD218" i="43"/>
  <c r="AE218" i="43"/>
  <c r="AF218" i="43"/>
  <c r="AG218" i="43"/>
  <c r="AH218" i="43"/>
  <c r="AI218" i="43"/>
  <c r="AJ218" i="43"/>
  <c r="AK218" i="43"/>
  <c r="AL218" i="43"/>
  <c r="AM218" i="43"/>
  <c r="AO218" i="43"/>
  <c r="AR218" i="43"/>
  <c r="AC220" i="43"/>
  <c r="AD220" i="43"/>
  <c r="AE220" i="43"/>
  <c r="AF220" i="43"/>
  <c r="AG220" i="43"/>
  <c r="AH220" i="43"/>
  <c r="AI220" i="43"/>
  <c r="AJ220" i="43"/>
  <c r="AK220" i="43"/>
  <c r="AL220" i="43"/>
  <c r="AM220" i="43"/>
  <c r="AC221" i="43"/>
  <c r="AD221" i="43"/>
  <c r="AE221" i="43"/>
  <c r="AF221" i="43"/>
  <c r="AG221" i="43"/>
  <c r="AH221" i="43"/>
  <c r="AI221" i="43"/>
  <c r="AJ221" i="43"/>
  <c r="AK221" i="43"/>
  <c r="AL221" i="43"/>
  <c r="AM221" i="43"/>
  <c r="AO221" i="43"/>
  <c r="AR221" i="43"/>
  <c r="AC222" i="43"/>
  <c r="AD222" i="43"/>
  <c r="AE222" i="43"/>
  <c r="AF222" i="43"/>
  <c r="AG222" i="43"/>
  <c r="AH222" i="43"/>
  <c r="AI222" i="43"/>
  <c r="AJ222" i="43"/>
  <c r="AK222" i="43"/>
  <c r="AL222" i="43"/>
  <c r="AM222" i="43"/>
  <c r="AC224" i="43"/>
  <c r="AD224" i="43"/>
  <c r="AE224" i="43"/>
  <c r="AF224" i="43"/>
  <c r="AG224" i="43"/>
  <c r="AH224" i="43"/>
  <c r="AI224" i="43"/>
  <c r="AJ224" i="43"/>
  <c r="AK224" i="43"/>
  <c r="AL224" i="43"/>
  <c r="AM224" i="43"/>
  <c r="AC226" i="43"/>
  <c r="AD226" i="43"/>
  <c r="AE226" i="43"/>
  <c r="AF226" i="43"/>
  <c r="AG226" i="43"/>
  <c r="AH226" i="43"/>
  <c r="AI226" i="43"/>
  <c r="AJ226" i="43"/>
  <c r="AK226" i="43"/>
  <c r="AL226" i="43"/>
  <c r="AM226" i="43"/>
  <c r="AO226" i="43"/>
  <c r="AR226" i="43"/>
  <c r="AC230" i="43"/>
  <c r="AD230" i="43"/>
  <c r="AE230" i="43"/>
  <c r="AF230" i="43"/>
  <c r="AG230" i="43"/>
  <c r="AH230" i="43"/>
  <c r="AI230" i="43"/>
  <c r="AJ230" i="43"/>
  <c r="AK230" i="43"/>
  <c r="AL230" i="43"/>
  <c r="AM230" i="43"/>
  <c r="AO230" i="43"/>
  <c r="AR230" i="43"/>
  <c r="AC232" i="43"/>
  <c r="AD232" i="43"/>
  <c r="AE232" i="43"/>
  <c r="AF232" i="43"/>
  <c r="AG232" i="43"/>
  <c r="AH232" i="43"/>
  <c r="AI232" i="43"/>
  <c r="AJ232" i="43"/>
  <c r="AK232" i="43"/>
  <c r="AL232" i="43"/>
  <c r="AM232" i="43"/>
  <c r="AC233" i="43"/>
  <c r="AD233" i="43"/>
  <c r="AE233" i="43"/>
  <c r="AF233" i="43"/>
  <c r="AG233" i="43"/>
  <c r="AH233" i="43"/>
  <c r="AI233" i="43"/>
  <c r="AJ233" i="43"/>
  <c r="AK233" i="43"/>
  <c r="AL233" i="43"/>
  <c r="AM233" i="43"/>
  <c r="AO233" i="43"/>
  <c r="AR233" i="43"/>
  <c r="AC234" i="43"/>
  <c r="AD234" i="43"/>
  <c r="AE234" i="43"/>
  <c r="AF234" i="43"/>
  <c r="AG234" i="43"/>
  <c r="AH234" i="43"/>
  <c r="AI234" i="43"/>
  <c r="AJ234" i="43"/>
  <c r="AK234" i="43"/>
  <c r="AL234" i="43"/>
  <c r="AM234" i="43"/>
  <c r="AI235" i="43"/>
  <c r="AJ235" i="43"/>
  <c r="AK235" i="43"/>
  <c r="AL235" i="43"/>
  <c r="AM235" i="43"/>
  <c r="AI236" i="43"/>
  <c r="AJ236" i="43"/>
  <c r="AK236" i="43"/>
  <c r="AL236" i="43"/>
  <c r="AM236" i="43"/>
  <c r="AC237" i="43"/>
  <c r="AD237" i="43"/>
  <c r="AE237" i="43"/>
  <c r="AF237" i="43"/>
  <c r="AG237" i="43"/>
  <c r="AH237" i="43"/>
  <c r="AI237" i="43"/>
  <c r="AJ237" i="43"/>
  <c r="AK237" i="43"/>
  <c r="AL237" i="43"/>
  <c r="AM237" i="43"/>
  <c r="AC241" i="43"/>
  <c r="AD241" i="43"/>
  <c r="AE241" i="43"/>
  <c r="AF241" i="43"/>
  <c r="AG241" i="43"/>
  <c r="AH241" i="43"/>
  <c r="AI241" i="43"/>
  <c r="AJ241" i="43"/>
  <c r="AK241" i="43"/>
  <c r="AL241" i="43"/>
  <c r="AM241" i="43"/>
  <c r="AD242" i="43"/>
  <c r="AE242" i="43"/>
  <c r="AF242" i="43"/>
  <c r="AG242" i="43"/>
  <c r="AH242" i="43"/>
  <c r="AI242" i="43"/>
  <c r="AJ242" i="43"/>
  <c r="AK242" i="43"/>
  <c r="AL242" i="43"/>
  <c r="AM242" i="43"/>
  <c r="AC244" i="43"/>
  <c r="AD244" i="43"/>
  <c r="AE244" i="43"/>
  <c r="AF244" i="43"/>
  <c r="AG244" i="43"/>
  <c r="AH244" i="43"/>
  <c r="AI244" i="43"/>
  <c r="AJ244" i="43"/>
  <c r="AK244" i="43"/>
  <c r="AL244" i="43"/>
  <c r="AM244" i="43"/>
  <c r="AD246" i="43"/>
  <c r="AE246" i="43"/>
  <c r="AF246" i="43"/>
  <c r="AG246" i="43"/>
  <c r="AH246" i="43"/>
  <c r="AI246" i="43"/>
  <c r="AJ246" i="43"/>
  <c r="AK246" i="43"/>
  <c r="AL246" i="43"/>
  <c r="AM246" i="43"/>
  <c r="AC247" i="43"/>
  <c r="AD247" i="43"/>
  <c r="AE247" i="43"/>
  <c r="AF247" i="43"/>
  <c r="AG247" i="43"/>
  <c r="AH247" i="43"/>
  <c r="AI247" i="43"/>
  <c r="AJ247" i="43"/>
  <c r="AK247" i="43"/>
  <c r="AL247" i="43"/>
  <c r="AM247" i="43"/>
  <c r="AC248" i="43"/>
  <c r="AD248" i="43"/>
  <c r="AE248" i="43"/>
  <c r="AF248" i="43"/>
  <c r="AG248" i="43"/>
  <c r="AH248" i="43"/>
  <c r="AI248" i="43"/>
  <c r="AJ248" i="43"/>
  <c r="AK248" i="43"/>
  <c r="AL248" i="43"/>
  <c r="AM248" i="43"/>
  <c r="AC249" i="43"/>
  <c r="AD249" i="43"/>
  <c r="AE249" i="43"/>
  <c r="AF249" i="43"/>
  <c r="AG249" i="43"/>
  <c r="AH249" i="43"/>
  <c r="AI249" i="43"/>
  <c r="AJ249" i="43"/>
  <c r="AK249" i="43"/>
  <c r="AL249" i="43"/>
  <c r="AC250" i="43"/>
  <c r="AD250" i="43"/>
  <c r="AE250" i="43"/>
  <c r="AF250" i="43"/>
  <c r="AG250" i="43"/>
  <c r="AH250" i="43"/>
  <c r="AI250" i="43"/>
  <c r="AJ250" i="43"/>
  <c r="AK250" i="43"/>
  <c r="AL250" i="43"/>
  <c r="AM250" i="43"/>
  <c r="AC251" i="43"/>
  <c r="AD251" i="43"/>
  <c r="AE251" i="43"/>
  <c r="AF251" i="43"/>
  <c r="AG251" i="43"/>
  <c r="AH251" i="43"/>
  <c r="AI251" i="43"/>
  <c r="AJ251" i="43"/>
  <c r="AK251" i="43"/>
  <c r="AL251" i="43"/>
  <c r="AM251" i="43"/>
  <c r="AO251" i="43"/>
  <c r="AC253" i="43"/>
  <c r="AD253" i="43"/>
  <c r="AE253" i="43"/>
  <c r="AF253" i="43"/>
  <c r="AG253" i="43"/>
  <c r="AH253" i="43"/>
  <c r="AI253" i="43"/>
  <c r="AJ253" i="43"/>
  <c r="AK253" i="43"/>
  <c r="AL253" i="43"/>
  <c r="AM253" i="43"/>
  <c r="AC257" i="43"/>
  <c r="AD257" i="43"/>
  <c r="AE257" i="43"/>
  <c r="AF257" i="43"/>
  <c r="AG257" i="43"/>
  <c r="AH257" i="43"/>
  <c r="AI257" i="43"/>
  <c r="AJ257" i="43"/>
  <c r="AK257" i="43"/>
  <c r="AL257" i="43"/>
  <c r="AM257" i="43"/>
  <c r="AC259" i="43"/>
  <c r="AD259" i="43"/>
  <c r="AE259" i="43"/>
  <c r="AF259" i="43"/>
  <c r="AG259" i="43"/>
  <c r="AH259" i="43"/>
  <c r="AI259" i="43"/>
  <c r="AJ259" i="43"/>
  <c r="AK259" i="43"/>
  <c r="AL259" i="43"/>
  <c r="AM259" i="43"/>
  <c r="AC260" i="43"/>
  <c r="AD260" i="43"/>
  <c r="AE260" i="43"/>
  <c r="AF260" i="43"/>
  <c r="AG260" i="43"/>
  <c r="AH260" i="43"/>
  <c r="AI260" i="43"/>
  <c r="AJ260" i="43"/>
  <c r="AK260" i="43"/>
  <c r="AL260" i="43"/>
  <c r="AM260" i="43"/>
  <c r="AC265" i="43"/>
  <c r="AD265" i="43"/>
  <c r="AE265" i="43"/>
  <c r="AF265" i="43"/>
  <c r="AG265" i="43"/>
  <c r="AH265" i="43"/>
  <c r="AI265" i="43"/>
  <c r="AJ265" i="43"/>
  <c r="AK265" i="43"/>
  <c r="AL265" i="43"/>
  <c r="AM265" i="43"/>
  <c r="AC267" i="43"/>
  <c r="AD267" i="43"/>
  <c r="AE267" i="43"/>
  <c r="AF267" i="43"/>
  <c r="AG267" i="43"/>
  <c r="AH267" i="43"/>
  <c r="AI267" i="43"/>
  <c r="AJ267" i="43"/>
  <c r="AK267" i="43"/>
  <c r="AL267" i="43"/>
  <c r="AM267" i="43"/>
  <c r="AC270" i="43"/>
  <c r="AD270" i="43"/>
  <c r="AE270" i="43"/>
  <c r="AF270" i="43"/>
  <c r="AG270" i="43"/>
  <c r="AH270" i="43"/>
  <c r="AI270" i="43"/>
  <c r="AJ270" i="43"/>
  <c r="AK270" i="43"/>
  <c r="AL270" i="43"/>
  <c r="AM270" i="43"/>
  <c r="AC275" i="43"/>
  <c r="AD275" i="43"/>
  <c r="AE275" i="43"/>
  <c r="AF275" i="43"/>
  <c r="AG275" i="43"/>
  <c r="AH275" i="43"/>
  <c r="AI275" i="43"/>
  <c r="AJ275" i="43"/>
  <c r="AK275" i="43"/>
  <c r="AL275" i="43"/>
  <c r="AM275" i="43"/>
  <c r="AC276" i="43"/>
  <c r="AD276" i="43"/>
  <c r="AE276" i="43"/>
  <c r="AF276" i="43"/>
  <c r="AG276" i="43"/>
  <c r="AH276" i="43"/>
  <c r="AI276" i="43"/>
  <c r="AJ276" i="43"/>
  <c r="AK276" i="43"/>
  <c r="AL276" i="43"/>
  <c r="AM276" i="43"/>
  <c r="AC277" i="43"/>
  <c r="AD277" i="43"/>
  <c r="AE277" i="43"/>
  <c r="AF277" i="43"/>
  <c r="AG277" i="43"/>
  <c r="AH277" i="43"/>
  <c r="AI277" i="43"/>
  <c r="AJ277" i="43"/>
  <c r="AK277" i="43"/>
  <c r="AL277" i="43"/>
  <c r="AM277" i="43"/>
  <c r="AC279" i="43"/>
  <c r="AD279" i="43"/>
  <c r="AE279" i="43"/>
  <c r="AF279" i="43"/>
  <c r="AG279" i="43"/>
  <c r="AH279" i="43"/>
  <c r="AI279" i="43"/>
  <c r="AJ279" i="43"/>
  <c r="AK279" i="43"/>
  <c r="AL279" i="43"/>
  <c r="AM279" i="43"/>
  <c r="AC280" i="43"/>
  <c r="AD280" i="43"/>
  <c r="AE280" i="43"/>
  <c r="AF280" i="43"/>
  <c r="AG280" i="43"/>
  <c r="AH280" i="43"/>
  <c r="AI280" i="43"/>
  <c r="AJ280" i="43"/>
  <c r="AK280" i="43"/>
  <c r="AL280" i="43"/>
  <c r="AM280" i="43"/>
  <c r="AC281" i="43"/>
  <c r="AD281" i="43"/>
  <c r="AE281" i="43"/>
  <c r="AF281" i="43"/>
  <c r="AG281" i="43"/>
  <c r="AH281" i="43"/>
  <c r="AI281" i="43"/>
  <c r="AJ281" i="43"/>
  <c r="AK281" i="43"/>
  <c r="AL281" i="43"/>
  <c r="AM281" i="43"/>
  <c r="AC282" i="43"/>
  <c r="AD282" i="43"/>
  <c r="AE282" i="43"/>
  <c r="AF282" i="43"/>
  <c r="AG282" i="43"/>
  <c r="AH282" i="43"/>
  <c r="AI282" i="43"/>
  <c r="AJ282" i="43"/>
  <c r="AK282" i="43"/>
  <c r="AC286" i="43"/>
  <c r="AD286" i="43"/>
  <c r="AE286" i="43"/>
  <c r="AF286" i="43"/>
  <c r="AG286" i="43"/>
  <c r="AH286" i="43"/>
  <c r="AI286" i="43"/>
  <c r="AJ286" i="43"/>
  <c r="AK286" i="43"/>
  <c r="AL286" i="43"/>
  <c r="AM286" i="43"/>
  <c r="AC287" i="43"/>
  <c r="AD287" i="43"/>
  <c r="AE287" i="43"/>
  <c r="AF287" i="43"/>
  <c r="AG287" i="43"/>
  <c r="AH287" i="43"/>
  <c r="AI287" i="43"/>
  <c r="AJ287" i="43"/>
  <c r="AK287" i="43"/>
  <c r="AL287" i="43"/>
  <c r="AM287" i="43"/>
  <c r="AC288" i="43"/>
  <c r="AD288" i="43"/>
  <c r="AE288" i="43"/>
  <c r="AF288" i="43"/>
  <c r="AG288" i="43"/>
  <c r="AH288" i="43"/>
  <c r="AI288" i="43"/>
  <c r="AJ288" i="43"/>
  <c r="AK288" i="43"/>
  <c r="AL288" i="43"/>
  <c r="AM288" i="43"/>
  <c r="AC290" i="43"/>
  <c r="AD290" i="43"/>
  <c r="AE290" i="43"/>
  <c r="AF290" i="43"/>
  <c r="AG290" i="43"/>
  <c r="AH290" i="43"/>
  <c r="AI290" i="43"/>
  <c r="AJ290" i="43"/>
  <c r="AK290" i="43"/>
  <c r="AL290" i="43"/>
  <c r="AM290" i="43"/>
  <c r="AC293" i="43"/>
  <c r="AD293" i="43"/>
  <c r="AE293" i="43"/>
  <c r="AF293" i="43"/>
  <c r="AG293" i="43"/>
  <c r="AH293" i="43"/>
  <c r="AI293" i="43"/>
  <c r="AJ293" i="43"/>
  <c r="AK293" i="43"/>
  <c r="AL293" i="43"/>
  <c r="AM293" i="43"/>
  <c r="AC299" i="43"/>
  <c r="AD299" i="43"/>
  <c r="AE299" i="43"/>
  <c r="AF299" i="43"/>
  <c r="AG299" i="43"/>
  <c r="AH299" i="43"/>
  <c r="AI299" i="43"/>
  <c r="AJ299" i="43"/>
  <c r="AK299" i="43"/>
  <c r="AL299" i="43"/>
  <c r="AM299" i="43"/>
  <c r="AC300" i="43"/>
  <c r="AD300" i="43"/>
  <c r="AE300" i="43"/>
  <c r="AF300" i="43"/>
  <c r="AG300" i="43"/>
  <c r="AH300" i="43"/>
  <c r="AI300" i="43"/>
  <c r="AJ300" i="43"/>
  <c r="AK300" i="43"/>
  <c r="AL300" i="43"/>
  <c r="AM300" i="43"/>
  <c r="AC301" i="43"/>
  <c r="AD301" i="43"/>
  <c r="AE301" i="43"/>
  <c r="AF301" i="43"/>
  <c r="AG301" i="43"/>
  <c r="AH301" i="43"/>
  <c r="AI301" i="43"/>
  <c r="AJ301" i="43"/>
  <c r="AK301" i="43"/>
  <c r="AL301" i="43"/>
  <c r="AM301" i="43"/>
  <c r="AC303" i="43"/>
  <c r="AD303" i="43"/>
  <c r="AE303" i="43"/>
  <c r="AF303" i="43"/>
  <c r="AG303" i="43"/>
  <c r="AH303" i="43"/>
  <c r="AI303" i="43"/>
  <c r="AJ303" i="43"/>
  <c r="AK303" i="43"/>
  <c r="AL303" i="43"/>
  <c r="AM303" i="43"/>
  <c r="AC306" i="43"/>
  <c r="AD306" i="43"/>
  <c r="AE306" i="43"/>
  <c r="AF306" i="43"/>
  <c r="AG306" i="43"/>
  <c r="AH306" i="43"/>
  <c r="AI306" i="43"/>
  <c r="AJ306" i="43"/>
  <c r="AK306" i="43"/>
  <c r="AL306" i="43"/>
  <c r="AM306" i="43"/>
  <c r="AC309" i="43"/>
  <c r="AD309" i="43"/>
  <c r="AE309" i="43"/>
  <c r="AF309" i="43"/>
  <c r="AG309" i="43"/>
  <c r="AH309" i="43"/>
  <c r="AI309" i="43"/>
  <c r="AJ309" i="43"/>
  <c r="AK309" i="43"/>
  <c r="AL309" i="43"/>
  <c r="AM309" i="43"/>
  <c r="AC311" i="43"/>
  <c r="AD311" i="43"/>
  <c r="AE311" i="43"/>
  <c r="AF311" i="43"/>
  <c r="AG311" i="43"/>
  <c r="AH311" i="43"/>
  <c r="AI311" i="43"/>
  <c r="AJ311" i="43"/>
  <c r="AK311" i="43"/>
  <c r="AL311" i="43"/>
  <c r="AM311" i="43"/>
  <c r="AC312" i="43"/>
  <c r="AD312" i="43"/>
  <c r="AE312" i="43"/>
  <c r="AF312" i="43"/>
  <c r="AG312" i="43"/>
  <c r="AH312" i="43"/>
  <c r="AI312" i="43"/>
  <c r="AJ312" i="43"/>
  <c r="AK312" i="43"/>
  <c r="AL312" i="43"/>
  <c r="AM312" i="43"/>
  <c r="AC314" i="43"/>
  <c r="AD314" i="43"/>
  <c r="AE314" i="43"/>
  <c r="AF314" i="43"/>
  <c r="AG314" i="43"/>
  <c r="AH314" i="43"/>
  <c r="AI314" i="43"/>
  <c r="AJ314" i="43"/>
  <c r="AK314" i="43"/>
  <c r="AC316" i="43"/>
  <c r="AD316" i="43"/>
  <c r="AE316" i="43"/>
  <c r="AF316" i="43"/>
  <c r="AG316" i="43"/>
  <c r="AH316" i="43"/>
  <c r="AI316" i="43"/>
  <c r="AJ316" i="43"/>
  <c r="AK316" i="43"/>
  <c r="AL316" i="43"/>
  <c r="AC320" i="43"/>
  <c r="AD320" i="43"/>
  <c r="AE320" i="43"/>
  <c r="AF320" i="43"/>
  <c r="AG320" i="43"/>
  <c r="AH320" i="43"/>
  <c r="AI320" i="43"/>
  <c r="AJ320" i="43"/>
  <c r="AK320" i="43"/>
  <c r="AL320" i="43"/>
  <c r="AM320" i="43"/>
  <c r="AC321" i="43"/>
  <c r="AD321" i="43"/>
  <c r="AE321" i="43"/>
  <c r="AF321" i="43"/>
  <c r="AG321" i="43"/>
  <c r="AH321" i="43"/>
  <c r="AI321" i="43"/>
  <c r="AJ321" i="43"/>
  <c r="AK321" i="43"/>
  <c r="AL321" i="43"/>
  <c r="AM321" i="43"/>
  <c r="AC322" i="43"/>
  <c r="AD322" i="43"/>
  <c r="AE322" i="43"/>
  <c r="AF322" i="43"/>
  <c r="AG322" i="43"/>
  <c r="AH322" i="43"/>
  <c r="AI322" i="43"/>
  <c r="AJ322" i="43"/>
  <c r="AK322" i="43"/>
  <c r="AL322" i="43"/>
  <c r="AM322" i="43"/>
  <c r="AD324" i="43"/>
  <c r="AE324" i="43"/>
  <c r="AF324" i="43"/>
  <c r="AG324" i="43"/>
  <c r="AH324" i="43"/>
  <c r="AI324" i="43"/>
  <c r="AJ324" i="43"/>
  <c r="AK324" i="43"/>
  <c r="AL324" i="43"/>
  <c r="AC325" i="43"/>
  <c r="AD325" i="43"/>
  <c r="AE325" i="43"/>
  <c r="AF325" i="43"/>
  <c r="AG325" i="43"/>
  <c r="AH325" i="43"/>
  <c r="AI325" i="43"/>
  <c r="AJ325" i="43"/>
  <c r="AK325" i="43"/>
  <c r="AL325" i="43"/>
  <c r="AM325" i="43"/>
  <c r="AO325" i="43"/>
  <c r="AC326" i="43"/>
  <c r="AD326" i="43"/>
  <c r="AE326" i="43"/>
  <c r="AF326" i="43"/>
  <c r="AG326" i="43"/>
  <c r="AH326" i="43"/>
  <c r="AI326" i="43"/>
  <c r="AJ326" i="43"/>
  <c r="AK326" i="43"/>
  <c r="AL326" i="43"/>
  <c r="AM326" i="43"/>
  <c r="AC328" i="43"/>
  <c r="AD328" i="43"/>
  <c r="AE328" i="43"/>
  <c r="AF328" i="43"/>
  <c r="AG328" i="43"/>
  <c r="AH328" i="43"/>
  <c r="AI328" i="43"/>
  <c r="AJ328" i="43"/>
  <c r="AK328" i="43"/>
  <c r="AL328" i="43"/>
  <c r="AM328" i="43"/>
  <c r="AC329" i="43"/>
  <c r="AD329" i="43"/>
  <c r="AE329" i="43"/>
  <c r="AF329" i="43"/>
  <c r="AG329" i="43"/>
  <c r="AH329" i="43"/>
  <c r="AI329" i="43"/>
  <c r="AJ329" i="43"/>
  <c r="AK329" i="43"/>
  <c r="AL329" i="43"/>
  <c r="AM329" i="43"/>
  <c r="AC331" i="43"/>
  <c r="AD331" i="43"/>
  <c r="AE331" i="43"/>
  <c r="AF331" i="43"/>
  <c r="AG331" i="43"/>
  <c r="AH331" i="43"/>
  <c r="AI331" i="43"/>
  <c r="AJ331" i="43"/>
  <c r="AK331" i="43"/>
  <c r="AL331" i="43"/>
  <c r="AM331" i="43"/>
  <c r="AI332" i="43"/>
  <c r="AJ332" i="43"/>
  <c r="AK332" i="43"/>
  <c r="AL332" i="43"/>
  <c r="AM332" i="43"/>
  <c r="AC333" i="43"/>
  <c r="AD333" i="43"/>
  <c r="AE333" i="43"/>
  <c r="AF333" i="43"/>
  <c r="AG333" i="43"/>
  <c r="AH333" i="43"/>
  <c r="AC338" i="43"/>
  <c r="AD338" i="43"/>
  <c r="AE338" i="43"/>
  <c r="AF338" i="43"/>
  <c r="AG338" i="43"/>
  <c r="AH338" i="43"/>
  <c r="AI338" i="43"/>
  <c r="AJ338" i="43"/>
  <c r="AK338" i="43"/>
  <c r="AL338" i="43"/>
  <c r="AM338" i="43"/>
  <c r="AC339" i="43"/>
  <c r="AD339" i="43"/>
  <c r="AE339" i="43"/>
  <c r="AF339" i="43"/>
  <c r="AG339" i="43"/>
  <c r="AH339" i="43"/>
  <c r="AI339" i="43"/>
  <c r="AJ339" i="43"/>
  <c r="AK339" i="43"/>
  <c r="AL339" i="43"/>
  <c r="AM339" i="43"/>
  <c r="AC340" i="43"/>
  <c r="AD340" i="43"/>
  <c r="AE340" i="43"/>
  <c r="AF340" i="43"/>
  <c r="AG340" i="43"/>
  <c r="AH340" i="43"/>
  <c r="AI340" i="43"/>
  <c r="AJ340" i="43"/>
  <c r="AK340" i="43"/>
  <c r="AL340" i="43"/>
  <c r="AM340" i="43"/>
  <c r="AD341" i="43"/>
  <c r="AE341" i="43"/>
  <c r="AF341" i="43"/>
  <c r="AG341" i="43"/>
  <c r="AH341" i="43"/>
  <c r="AI341" i="43"/>
  <c r="AJ341" i="43"/>
  <c r="AK341" i="43"/>
  <c r="AC342" i="43"/>
  <c r="AD342" i="43"/>
  <c r="AE342" i="43"/>
  <c r="AF342" i="43"/>
  <c r="AG342" i="43"/>
  <c r="AH342" i="43"/>
  <c r="AI342" i="43"/>
  <c r="AJ342" i="43"/>
  <c r="AK342" i="43"/>
  <c r="AL342" i="43"/>
  <c r="AM342" i="43"/>
  <c r="AC343" i="43"/>
  <c r="AD343" i="43"/>
  <c r="AE343" i="43"/>
  <c r="AF343" i="43"/>
  <c r="AG343" i="43"/>
  <c r="AH343" i="43"/>
  <c r="AI343" i="43"/>
  <c r="AJ343" i="43"/>
  <c r="AK343" i="43"/>
  <c r="AL343" i="43"/>
  <c r="AM343" i="43"/>
  <c r="AC350" i="43"/>
  <c r="AD350" i="43"/>
  <c r="AE350" i="43"/>
  <c r="AF350" i="43"/>
  <c r="AG350" i="43"/>
  <c r="AH350" i="43"/>
  <c r="AI350" i="43"/>
  <c r="AJ350" i="43"/>
  <c r="AK350" i="43"/>
  <c r="AL350" i="43"/>
  <c r="AM350" i="43"/>
  <c r="AC352" i="43"/>
  <c r="AD352" i="43"/>
  <c r="AE352" i="43"/>
  <c r="AF352" i="43"/>
  <c r="AG352" i="43"/>
  <c r="AH352" i="43"/>
  <c r="AI352" i="43"/>
  <c r="AJ352" i="43"/>
  <c r="AK352" i="43"/>
  <c r="AL352" i="43"/>
  <c r="AM352" i="43"/>
  <c r="AC353" i="43"/>
  <c r="AD353" i="43"/>
  <c r="AE353" i="43"/>
  <c r="AF353" i="43"/>
  <c r="AG353" i="43"/>
  <c r="AH353" i="43"/>
  <c r="AI353" i="43"/>
  <c r="AJ353" i="43"/>
  <c r="AK353" i="43"/>
  <c r="AL353" i="43"/>
  <c r="AM353" i="43"/>
  <c r="AC354" i="43"/>
  <c r="AD354" i="43"/>
  <c r="AE354" i="43"/>
  <c r="AF354" i="43"/>
  <c r="AG354" i="43"/>
  <c r="AH354" i="43"/>
  <c r="AI354" i="43"/>
  <c r="AJ354" i="43"/>
  <c r="AK354" i="43"/>
  <c r="AL354" i="43"/>
  <c r="AM354" i="43"/>
  <c r="AC355" i="43"/>
  <c r="AD355" i="43"/>
  <c r="AE355" i="43"/>
  <c r="AF355" i="43"/>
  <c r="AG355" i="43"/>
  <c r="AH355" i="43"/>
  <c r="AI355" i="43"/>
  <c r="AJ355" i="43"/>
  <c r="AK355" i="43"/>
  <c r="AL355" i="43"/>
  <c r="AM355" i="43"/>
  <c r="AC356" i="43"/>
  <c r="AD356" i="43"/>
  <c r="AE356" i="43"/>
  <c r="AF356" i="43"/>
  <c r="AG356" i="43"/>
  <c r="AH356" i="43"/>
  <c r="AI356" i="43"/>
  <c r="AJ356" i="43"/>
  <c r="AK356" i="43"/>
  <c r="AL356" i="43"/>
  <c r="AM356" i="43"/>
  <c r="AC357" i="43"/>
  <c r="AD357" i="43"/>
  <c r="AE357" i="43"/>
  <c r="AF357" i="43"/>
  <c r="AG357" i="43"/>
  <c r="AH357" i="43"/>
  <c r="AI357" i="43"/>
  <c r="AJ357" i="43"/>
  <c r="AK357" i="43"/>
  <c r="AL357" i="43"/>
  <c r="AM357" i="43"/>
  <c r="AC359" i="43"/>
  <c r="AD359" i="43"/>
  <c r="AE359" i="43"/>
  <c r="AF359" i="43"/>
  <c r="AG359" i="43"/>
  <c r="AH359" i="43"/>
  <c r="AI359" i="43"/>
  <c r="AJ359" i="43"/>
  <c r="AK359" i="43"/>
  <c r="AL359" i="43"/>
  <c r="AM359" i="43"/>
  <c r="AD361" i="43"/>
  <c r="AE361" i="43"/>
  <c r="AF361" i="43"/>
  <c r="AG361" i="43"/>
  <c r="AH361" i="43"/>
  <c r="AI361" i="43"/>
  <c r="AJ361" i="43"/>
  <c r="AK361" i="43"/>
  <c r="AL361" i="43"/>
  <c r="AM361" i="43"/>
  <c r="AD362" i="43"/>
  <c r="AE362" i="43"/>
  <c r="AF362" i="43"/>
  <c r="AG362" i="43"/>
  <c r="AH362" i="43"/>
  <c r="AI362" i="43"/>
  <c r="AJ362" i="43"/>
  <c r="AK362" i="43"/>
  <c r="AL362" i="43"/>
  <c r="AM362" i="43"/>
  <c r="AC363" i="43"/>
  <c r="AD363" i="43"/>
  <c r="AE363" i="43"/>
  <c r="AF363" i="43"/>
  <c r="AG363" i="43"/>
  <c r="AH363" i="43"/>
  <c r="AI363" i="43"/>
  <c r="AJ363" i="43"/>
  <c r="AK363" i="43"/>
  <c r="AL363" i="43"/>
  <c r="AM363" i="43"/>
  <c r="AC364" i="43"/>
  <c r="AD364" i="43"/>
  <c r="AE364" i="43"/>
  <c r="AF364" i="43"/>
  <c r="AG364" i="43"/>
  <c r="AH364" i="43"/>
  <c r="AI364" i="43"/>
  <c r="AJ364" i="43"/>
  <c r="AK364" i="43"/>
  <c r="AL364" i="43"/>
  <c r="AM364" i="43"/>
  <c r="AC365" i="43"/>
  <c r="AD365" i="43"/>
  <c r="AE365" i="43"/>
  <c r="AF365" i="43"/>
  <c r="AG365" i="43"/>
  <c r="AH365" i="43"/>
  <c r="AI365" i="43"/>
  <c r="AJ365" i="43"/>
  <c r="AK365" i="43"/>
  <c r="AL365" i="43"/>
  <c r="AM365" i="43"/>
  <c r="AF366" i="43"/>
  <c r="AG366" i="43"/>
  <c r="AH366" i="43"/>
  <c r="AI366" i="43"/>
  <c r="AJ366" i="43"/>
  <c r="AK366" i="43"/>
  <c r="AL366" i="43"/>
  <c r="AM366" i="43"/>
  <c r="AC369" i="43"/>
  <c r="AD369" i="43"/>
  <c r="AE369" i="43"/>
  <c r="AF369" i="43"/>
  <c r="AG369" i="43"/>
  <c r="AH369" i="43"/>
  <c r="AI369" i="43"/>
  <c r="AJ369" i="43"/>
  <c r="AK369" i="43"/>
  <c r="AL369" i="43"/>
  <c r="AM369" i="43"/>
  <c r="AC371" i="43"/>
  <c r="AD371" i="43"/>
  <c r="AE371" i="43"/>
  <c r="AF371" i="43"/>
  <c r="AG371" i="43"/>
  <c r="AH371" i="43"/>
  <c r="AI371" i="43"/>
  <c r="AJ371" i="43"/>
  <c r="AK371" i="43"/>
  <c r="AL371" i="43"/>
  <c r="AM371" i="43"/>
  <c r="AC376" i="43"/>
  <c r="AD376" i="43"/>
  <c r="AE376" i="43"/>
  <c r="AF376" i="43"/>
  <c r="AG376" i="43"/>
  <c r="AH376" i="43"/>
  <c r="AI376" i="43"/>
  <c r="AJ376" i="43"/>
  <c r="AK376" i="43"/>
  <c r="AL376" i="43"/>
  <c r="AM376" i="43"/>
  <c r="AC379" i="43"/>
  <c r="AD379" i="43"/>
  <c r="AE379" i="43"/>
  <c r="AF379" i="43"/>
  <c r="AG379" i="43"/>
  <c r="AH379" i="43"/>
  <c r="AI379" i="43"/>
  <c r="AJ379" i="43"/>
  <c r="AK379" i="43"/>
  <c r="AL379" i="43"/>
  <c r="AM379" i="43"/>
  <c r="AD380" i="43"/>
  <c r="AE380" i="43"/>
  <c r="AF380" i="43"/>
  <c r="AG380" i="43"/>
  <c r="AH380" i="43"/>
  <c r="AI380" i="43"/>
  <c r="AJ380" i="43"/>
  <c r="AK380" i="43"/>
  <c r="AL380" i="43"/>
  <c r="AM380" i="43"/>
  <c r="AC382" i="43"/>
  <c r="AD382" i="43"/>
  <c r="AE382" i="43"/>
  <c r="AF382" i="43"/>
  <c r="AG382" i="43"/>
  <c r="AH382" i="43"/>
  <c r="AI382" i="43"/>
  <c r="AJ382" i="43"/>
  <c r="AK382" i="43"/>
  <c r="AL382" i="43"/>
  <c r="AM382" i="43"/>
  <c r="AD397" i="43"/>
  <c r="AE397" i="43"/>
  <c r="AF397" i="43"/>
  <c r="AG397" i="43"/>
  <c r="AH397" i="43"/>
  <c r="AI397" i="43"/>
  <c r="AJ397" i="43"/>
  <c r="AK397" i="43"/>
  <c r="AL397" i="43"/>
  <c r="AC398" i="43"/>
  <c r="AD398" i="43"/>
  <c r="AE398" i="43"/>
  <c r="AF398" i="43"/>
  <c r="AG398" i="43"/>
  <c r="AH398" i="43"/>
  <c r="AI398" i="43"/>
  <c r="AJ398" i="43"/>
  <c r="AK398" i="43"/>
  <c r="AL398" i="43"/>
  <c r="AM398" i="43"/>
  <c r="AD399" i="43"/>
  <c r="AE399" i="43"/>
  <c r="AF399" i="43"/>
  <c r="AG399" i="43"/>
  <c r="AH399" i="43"/>
  <c r="AI399" i="43"/>
  <c r="AJ399" i="43"/>
  <c r="AK399" i="43"/>
  <c r="AL399" i="43"/>
  <c r="AC400" i="43"/>
  <c r="AD400" i="43"/>
  <c r="AE400" i="43"/>
  <c r="AF400" i="43"/>
  <c r="AG400" i="43"/>
  <c r="AH400" i="43"/>
  <c r="AI400" i="43"/>
  <c r="AJ400" i="43"/>
  <c r="AK400" i="43"/>
  <c r="AL400" i="43"/>
  <c r="AM400" i="43"/>
  <c r="AC401" i="43"/>
  <c r="AD401" i="43"/>
  <c r="AE401" i="43"/>
  <c r="AF401" i="43"/>
  <c r="AG401" i="43"/>
  <c r="AH401" i="43"/>
  <c r="AI401" i="43"/>
  <c r="AJ401" i="43"/>
  <c r="AK401" i="43"/>
  <c r="AC402" i="43"/>
  <c r="AD402" i="43"/>
  <c r="AE402" i="43"/>
  <c r="AF402" i="43"/>
  <c r="AG402" i="43"/>
  <c r="AH402" i="43"/>
  <c r="AI402" i="43"/>
  <c r="AJ402" i="43"/>
  <c r="AK402" i="43"/>
  <c r="AF407" i="43"/>
  <c r="AG407" i="43"/>
  <c r="AH407" i="43"/>
  <c r="AI407" i="43"/>
  <c r="AJ407" i="43"/>
  <c r="AK407" i="43"/>
  <c r="AF409" i="43"/>
  <c r="AG409" i="43"/>
  <c r="AH409" i="43"/>
  <c r="AI409" i="43"/>
  <c r="AJ409" i="43"/>
  <c r="AK409" i="43"/>
  <c r="AF410" i="43"/>
  <c r="AG410" i="43"/>
  <c r="AH410" i="43"/>
  <c r="AI410" i="43"/>
  <c r="AJ410" i="43"/>
  <c r="AK410" i="43"/>
  <c r="AF411" i="43"/>
  <c r="AG411" i="43"/>
  <c r="AH411" i="43"/>
  <c r="AI411" i="43"/>
  <c r="AJ411" i="43"/>
  <c r="AK411" i="43"/>
  <c r="AD413" i="43"/>
  <c r="AE413" i="43"/>
  <c r="AF413" i="43"/>
  <c r="AG413" i="43"/>
  <c r="AH413" i="43"/>
  <c r="AI413" i="43"/>
  <c r="AJ413" i="43"/>
  <c r="AK413" i="43"/>
  <c r="AL413" i="43"/>
  <c r="AM413" i="43"/>
  <c r="AC414" i="43"/>
  <c r="AD414" i="43"/>
  <c r="AE414" i="43"/>
  <c r="AF414" i="43"/>
  <c r="AG414" i="43"/>
  <c r="AH414" i="43"/>
  <c r="AI414" i="43"/>
  <c r="AJ414" i="43"/>
  <c r="AK414" i="43"/>
  <c r="AL414" i="43"/>
  <c r="AM414" i="43"/>
  <c r="AD415" i="43"/>
  <c r="AE415" i="43"/>
  <c r="AF415" i="43"/>
  <c r="AG415" i="43"/>
  <c r="AH415" i="43"/>
  <c r="AI415" i="43"/>
  <c r="AJ415" i="43"/>
  <c r="AK415" i="43"/>
  <c r="AL415" i="43"/>
  <c r="AM415" i="43"/>
  <c r="AC417" i="43"/>
  <c r="AD417" i="43"/>
  <c r="AE417" i="43"/>
  <c r="AF417" i="43"/>
  <c r="AG417" i="43"/>
  <c r="AH417" i="43"/>
  <c r="AI417" i="43"/>
  <c r="AJ417" i="43"/>
  <c r="AK417" i="43"/>
  <c r="AL417" i="43"/>
  <c r="AM417" i="43"/>
  <c r="AC418" i="43"/>
  <c r="AD418" i="43"/>
  <c r="AE418" i="43"/>
  <c r="AF418" i="43"/>
  <c r="AG418" i="43"/>
  <c r="AH418" i="43"/>
  <c r="AI418" i="43"/>
  <c r="AJ418" i="43"/>
  <c r="AK418" i="43"/>
  <c r="AL418" i="43"/>
  <c r="AM418" i="43"/>
  <c r="AF419" i="43"/>
  <c r="AG419" i="43"/>
  <c r="AH419" i="43"/>
  <c r="AI419" i="43"/>
  <c r="AJ419" i="43"/>
  <c r="AK419" i="43"/>
  <c r="AL419" i="43"/>
  <c r="AM419" i="43"/>
  <c r="AD421" i="43"/>
  <c r="AE421" i="43"/>
  <c r="AF421" i="43"/>
  <c r="AG421" i="43"/>
  <c r="AH421" i="43"/>
  <c r="AI421" i="43"/>
  <c r="AJ421" i="43"/>
  <c r="AK421" i="43"/>
  <c r="AL421" i="43"/>
  <c r="AM421" i="43"/>
  <c r="AC423" i="43"/>
  <c r="AD423" i="43"/>
  <c r="AE423" i="43"/>
  <c r="AF423" i="43"/>
  <c r="AG423" i="43"/>
  <c r="AH423" i="43"/>
  <c r="AI423" i="43"/>
  <c r="AJ423" i="43"/>
  <c r="AK423" i="43"/>
  <c r="AL423" i="43"/>
  <c r="AM423" i="43"/>
  <c r="AC425" i="43"/>
  <c r="AD425" i="43"/>
  <c r="AE425" i="43"/>
  <c r="AF425" i="43"/>
  <c r="AG425" i="43"/>
  <c r="AH425" i="43"/>
  <c r="AI425" i="43"/>
  <c r="AJ425" i="43"/>
  <c r="AK425" i="43"/>
  <c r="AL425" i="43"/>
  <c r="AM425" i="43"/>
  <c r="AD426" i="43"/>
  <c r="AE426" i="43"/>
  <c r="AF426" i="43"/>
  <c r="AG426" i="43"/>
  <c r="AH426" i="43"/>
  <c r="AI426" i="43"/>
  <c r="AJ426" i="43"/>
  <c r="AK426" i="43"/>
  <c r="AL426" i="43"/>
  <c r="AM426" i="43"/>
  <c r="AC427" i="43"/>
  <c r="AD427" i="43"/>
  <c r="AE427" i="43"/>
  <c r="AF427" i="43"/>
  <c r="AG427" i="43"/>
  <c r="AH427" i="43"/>
  <c r="AI427" i="43"/>
  <c r="AJ427" i="43"/>
  <c r="AK427" i="43"/>
  <c r="AL427" i="43"/>
  <c r="AM427" i="43"/>
  <c r="AC428" i="43"/>
  <c r="AD428" i="43"/>
  <c r="AE428" i="43"/>
  <c r="AF428" i="43"/>
  <c r="AG428" i="43"/>
  <c r="AH428" i="43"/>
  <c r="AI428" i="43"/>
  <c r="AJ428" i="43"/>
  <c r="AK428" i="43"/>
  <c r="AL428" i="43"/>
  <c r="AM428" i="43"/>
  <c r="AF430" i="43"/>
  <c r="AG430" i="43"/>
  <c r="AH430" i="43"/>
  <c r="AI430" i="43"/>
  <c r="AJ430" i="43"/>
  <c r="AK430" i="43"/>
  <c r="AL430" i="43"/>
  <c r="AM430" i="43"/>
  <c r="AF431" i="43"/>
  <c r="AG431" i="43"/>
  <c r="AH431" i="43"/>
  <c r="AI431" i="43"/>
  <c r="AJ431" i="43"/>
  <c r="AK431" i="43"/>
  <c r="AD433" i="43"/>
  <c r="AE433" i="43"/>
  <c r="AF433" i="43"/>
  <c r="AG433" i="43"/>
  <c r="AH433" i="43"/>
  <c r="AI433" i="43"/>
  <c r="AJ433" i="43"/>
  <c r="AK433" i="43"/>
  <c r="AL433" i="43"/>
  <c r="AM433" i="43"/>
  <c r="AC438" i="43"/>
  <c r="AD438" i="43"/>
  <c r="AE438" i="43"/>
  <c r="AF438" i="43"/>
  <c r="AG438" i="43"/>
  <c r="AH438" i="43"/>
  <c r="AI438" i="43"/>
  <c r="AJ438" i="43"/>
  <c r="AK438" i="43"/>
  <c r="AL438" i="43"/>
  <c r="AM438" i="43"/>
  <c r="AC439" i="43"/>
  <c r="AD439" i="43"/>
  <c r="AE439" i="43"/>
  <c r="AF439" i="43"/>
  <c r="AG439" i="43"/>
  <c r="AH439" i="43"/>
  <c r="AI439" i="43"/>
  <c r="AJ439" i="43"/>
  <c r="AK439" i="43"/>
  <c r="AL439" i="43"/>
  <c r="AM439" i="43"/>
  <c r="AC440" i="43"/>
  <c r="AD440" i="43"/>
  <c r="AE440" i="43"/>
  <c r="AF440" i="43"/>
  <c r="AG440" i="43"/>
  <c r="AH440" i="43"/>
  <c r="AI440" i="43"/>
  <c r="AJ440" i="43"/>
  <c r="AK440" i="43"/>
  <c r="AL440" i="43"/>
  <c r="AM440" i="43"/>
  <c r="AC441" i="43"/>
  <c r="AD441" i="43"/>
  <c r="AE441" i="43"/>
  <c r="AF441" i="43"/>
  <c r="AG441" i="43"/>
  <c r="AH441" i="43"/>
  <c r="AI441" i="43"/>
  <c r="AJ441" i="43"/>
  <c r="AK441" i="43"/>
  <c r="AL441" i="43"/>
  <c r="AM441" i="43"/>
  <c r="AC442" i="43"/>
  <c r="AD442" i="43"/>
  <c r="AE442" i="43"/>
  <c r="AF442" i="43"/>
  <c r="AG442" i="43"/>
  <c r="AH442" i="43"/>
  <c r="AI442" i="43"/>
  <c r="AJ442" i="43"/>
  <c r="AK442" i="43"/>
  <c r="AL442" i="43"/>
  <c r="AM442" i="43"/>
  <c r="AC443" i="43"/>
  <c r="AD443" i="43"/>
  <c r="AE443" i="43"/>
  <c r="AF443" i="43"/>
  <c r="AG443" i="43"/>
  <c r="AH443" i="43"/>
  <c r="AI443" i="43"/>
  <c r="AJ443" i="43"/>
  <c r="AK443" i="43"/>
  <c r="AL443" i="43"/>
  <c r="AM443" i="43"/>
  <c r="AC444" i="43"/>
  <c r="AD444" i="43"/>
  <c r="AE444" i="43"/>
  <c r="AF444" i="43"/>
  <c r="AG444" i="43"/>
  <c r="AH444" i="43"/>
  <c r="AI444" i="43"/>
  <c r="AJ444" i="43"/>
  <c r="AK444" i="43"/>
  <c r="AL444" i="43"/>
  <c r="AM444" i="43"/>
  <c r="AC445" i="43"/>
  <c r="AD445" i="43"/>
  <c r="AE445" i="43"/>
  <c r="AF445" i="43"/>
  <c r="AG445" i="43"/>
  <c r="AH445" i="43"/>
  <c r="AI445" i="43"/>
  <c r="AJ445" i="43"/>
  <c r="AK445" i="43"/>
  <c r="AL445" i="43"/>
  <c r="AM445" i="43"/>
  <c r="AC446" i="43"/>
  <c r="AD446" i="43"/>
  <c r="AE446" i="43"/>
  <c r="AF446" i="43"/>
  <c r="AG446" i="43"/>
  <c r="AH446" i="43"/>
  <c r="AI446" i="43"/>
  <c r="AJ446" i="43"/>
  <c r="AK446" i="43"/>
  <c r="AL446" i="43"/>
  <c r="AM446" i="43"/>
  <c r="AC447" i="43"/>
  <c r="AD447" i="43"/>
  <c r="AE447" i="43"/>
  <c r="AF447" i="43"/>
  <c r="AG447" i="43"/>
  <c r="AH447" i="43"/>
  <c r="AI447" i="43"/>
  <c r="AJ447" i="43"/>
  <c r="AK447" i="43"/>
  <c r="AL447" i="43"/>
  <c r="AM447" i="43"/>
  <c r="AC449" i="43"/>
  <c r="AD449" i="43"/>
  <c r="AE449" i="43"/>
  <c r="AF449" i="43"/>
  <c r="AG449" i="43"/>
  <c r="AH449" i="43"/>
  <c r="AI449" i="43"/>
  <c r="AJ449" i="43"/>
  <c r="AK449" i="43"/>
  <c r="AL449" i="43"/>
  <c r="AM449" i="43"/>
  <c r="AC450" i="43"/>
  <c r="AD450" i="43"/>
  <c r="AE450" i="43"/>
  <c r="AF450" i="43"/>
  <c r="AG450" i="43"/>
  <c r="AH450" i="43"/>
  <c r="AI450" i="43"/>
  <c r="AJ450" i="43"/>
  <c r="AK450" i="43"/>
  <c r="AL450" i="43"/>
  <c r="AM450" i="43"/>
  <c r="AC451" i="43"/>
  <c r="AD451" i="43"/>
  <c r="AE451" i="43"/>
  <c r="AF451" i="43"/>
  <c r="AG451" i="43"/>
  <c r="AH451" i="43"/>
  <c r="AI451" i="43"/>
  <c r="AJ451" i="43"/>
  <c r="AK451" i="43"/>
  <c r="AL451" i="43"/>
  <c r="AM451" i="43"/>
  <c r="AC452" i="43"/>
  <c r="AD452" i="43"/>
  <c r="AE452" i="43"/>
  <c r="AF452" i="43"/>
  <c r="AG452" i="43"/>
  <c r="AH452" i="43"/>
  <c r="AI452" i="43"/>
  <c r="AJ452" i="43"/>
  <c r="AK452" i="43"/>
  <c r="AL452" i="43"/>
  <c r="AM452" i="43"/>
  <c r="AC456" i="43"/>
  <c r="AD456" i="43"/>
  <c r="AE456" i="43"/>
  <c r="AF456" i="43"/>
  <c r="AG456" i="43"/>
  <c r="AH456" i="43"/>
  <c r="AI456" i="43"/>
  <c r="AJ456" i="43"/>
  <c r="AK456" i="43"/>
  <c r="AC457" i="43"/>
  <c r="AD457" i="43"/>
  <c r="AE457" i="43"/>
  <c r="AF457" i="43"/>
  <c r="AG457" i="43"/>
  <c r="AH457" i="43"/>
  <c r="AI457" i="43"/>
  <c r="AJ457" i="43"/>
  <c r="AK457" i="43"/>
  <c r="AL457" i="43"/>
  <c r="AM457" i="43"/>
  <c r="AC458" i="43"/>
  <c r="AD458" i="43"/>
  <c r="AE458" i="43"/>
  <c r="AF458" i="43"/>
  <c r="AG458" i="43"/>
  <c r="AH458" i="43"/>
  <c r="AI458" i="43"/>
  <c r="AJ458" i="43"/>
  <c r="AK458" i="43"/>
  <c r="AL458" i="43"/>
  <c r="AM458" i="43"/>
  <c r="AC459" i="43"/>
  <c r="AD459" i="43"/>
  <c r="AE459" i="43"/>
  <c r="AF459" i="43"/>
  <c r="AG459" i="43"/>
  <c r="AH459" i="43"/>
  <c r="AI459" i="43"/>
  <c r="AJ459" i="43"/>
  <c r="AK459" i="43"/>
  <c r="AL459" i="43"/>
  <c r="AM459" i="43"/>
</calcChain>
</file>

<file path=xl/sharedStrings.xml><?xml version="1.0" encoding="utf-8"?>
<sst xmlns="http://schemas.openxmlformats.org/spreadsheetml/2006/main" count="1250" uniqueCount="622">
  <si>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</si>
  <si>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</si>
  <si>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</si>
  <si>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</si>
  <si>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</si>
  <si>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</si>
  <si>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</si>
  <si>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</si>
  <si>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</si>
  <si>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</si>
  <si>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</si>
  <si>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</si>
  <si>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</si>
  <si>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</si>
  <si>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</si>
  <si>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</si>
  <si>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</si>
  <si>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</si>
  <si>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</si>
  <si>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</si>
  <si>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</si>
  <si>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</si>
  <si>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</si>
  <si>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</si>
  <si>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</si>
  <si>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</si>
  <si>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</si>
  <si>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</si>
  <si>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</si>
  <si>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</si>
  <si>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</si>
  <si>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</si>
  <si>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</si>
  <si>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</si>
  <si>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</si>
  <si>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</si>
  <si>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</si>
  <si>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</si>
  <si>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</si>
  <si>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</si>
  <si>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</si>
  <si>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</si>
  <si>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</si>
  <si>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</si>
  <si>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</si>
  <si>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</si>
  <si>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</si>
  <si>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</si>
  <si>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</si>
  <si>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</si>
  <si>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</si>
  <si>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</si>
  <si>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</si>
  <si>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</si>
  <si>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</si>
  <si>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</si>
  <si>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</si>
  <si>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</si>
  <si>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</si>
  <si>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</si>
  <si>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</si>
  <si>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</si>
  <si>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</si>
  <si>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</si>
  <si>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</si>
  <si>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</si>
  <si>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</si>
  <si>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</si>
  <si>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</si>
  <si>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</si>
  <si>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</si>
  <si>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</si>
  <si>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</si>
  <si>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</si>
  <si>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</si>
  <si>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</si>
  <si>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</si>
  <si>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</si>
  <si>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</si>
  <si>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</si>
  <si>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</si>
  <si>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</si>
  <si>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</si>
  <si>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</si>
  <si>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</si>
  <si>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</si>
  <si>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</si>
  <si>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</si>
  <si>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</si>
  <si>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</si>
  <si>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</si>
  <si>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</si>
  <si>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</si>
  <si>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</si>
  <si>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</si>
  <si>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</si>
  <si>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</si>
  <si>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</si>
  <si>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</si>
  <si>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</si>
  <si>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</si>
  <si>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</si>
  <si>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</si>
  <si>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</si>
  <si>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</si>
  <si>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</si>
  <si>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</si>
  <si>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</si>
  <si>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</si>
  <si>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</si>
  <si>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</si>
  <si>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</si>
  <si>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</si>
  <si>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</si>
  <si>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</si>
  <si>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</si>
  <si>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</si>
  <si>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</si>
  <si>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</si>
  <si>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</si>
  <si>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</si>
  <si>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</si>
  <si>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</si>
  <si>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</si>
  <si>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DPS</t>
  </si>
  <si>
    <t>DPS growth rate</t>
  </si>
  <si>
    <t>Payout ratio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</si>
  <si>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</si>
  <si>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</si>
  <si>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</si>
  <si>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</si>
  <si>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</si>
  <si>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</si>
  <si>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</si>
  <si>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</si>
  <si>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</si>
  <si>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</si>
  <si>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</si>
  <si>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</si>
  <si>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</si>
  <si>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</si>
  <si>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</si>
  <si>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Gross Dividends</t>
  </si>
  <si>
    <t>Net Dividends</t>
  </si>
  <si>
    <t>DRIP Proceeds</t>
  </si>
  <si>
    <t>DRIP Participation</t>
  </si>
  <si>
    <t>Target P/E</t>
  </si>
  <si>
    <t>Esimated Share Price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</si>
  <si>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</si>
  <si>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</si>
  <si>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</si>
  <si>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</si>
  <si>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</si>
  <si>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</si>
  <si>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</si>
  <si>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</si>
  <si>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</si>
  <si>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</si>
  <si>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</si>
  <si>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</si>
  <si>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</si>
  <si>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</si>
  <si>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</si>
  <si>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</si>
  <si>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</si>
  <si>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</si>
  <si>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</si>
  <si>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</si>
  <si>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</si>
  <si>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</si>
  <si>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</si>
  <si>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</si>
  <si>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</si>
  <si>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</si>
  <si>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</si>
  <si>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</si>
  <si>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</si>
  <si>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</si>
  <si>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Interest rate</t>
  </si>
  <si>
    <t>Weighted-average basic (mln)</t>
  </si>
  <si>
    <t>Weighted-average diluted (mln)</t>
  </si>
  <si>
    <t>EPS (Diluted/share)</t>
  </si>
  <si>
    <t>Payout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</si>
  <si>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</si>
  <si>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</si>
  <si>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</si>
  <si>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</si>
  <si>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</si>
  <si>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</si>
  <si>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</si>
  <si>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</si>
  <si>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</si>
  <si>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</si>
  <si>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Gross Revenue</t>
  </si>
  <si>
    <t>Cost of Revenue</t>
  </si>
  <si>
    <t>Operating Costs</t>
  </si>
  <si>
    <t>W.A. Shares Outstanding</t>
  </si>
  <si>
    <t>EPS Growth Rate</t>
  </si>
  <si>
    <t>DPS Growth Rate</t>
  </si>
  <si>
    <t>DPS Payout Ratio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</si>
  <si>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</si>
  <si>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</si>
  <si>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</si>
  <si>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</si>
  <si>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</si>
  <si>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</si>
  <si>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</si>
  <si>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</si>
  <si>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</si>
  <si>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</si>
  <si>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</si>
  <si>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</si>
  <si>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</si>
  <si>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</si>
  <si>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</si>
  <si>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</si>
  <si>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</si>
  <si>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</si>
  <si>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</si>
  <si>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</si>
  <si>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</si>
  <si>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</si>
  <si>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</si>
  <si>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</si>
  <si>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</si>
  <si>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</si>
  <si>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</si>
  <si>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Deferred revenue</t>
  </si>
  <si>
    <t>Revolver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</si>
  <si>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</si>
  <si>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</si>
  <si>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</si>
  <si>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</si>
  <si>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</si>
  <si>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</si>
  <si>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</si>
  <si>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</si>
  <si>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Impairments</t>
  </si>
  <si>
    <t>Restricted Cash</t>
  </si>
  <si>
    <t>Other (prepaids, deferred COGS)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</si>
  <si>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</si>
  <si>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</si>
  <si>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</si>
  <si>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NYSE</t>
  </si>
  <si>
    <t>KMX</t>
  </si>
  <si>
    <t>Wholesale</t>
  </si>
  <si>
    <t>CAF</t>
  </si>
  <si>
    <t>Units Sold (000)</t>
  </si>
  <si>
    <t>Used Car Stores</t>
  </si>
  <si>
    <t>Associates</t>
  </si>
  <si>
    <t>Total Interest Margin</t>
  </si>
  <si>
    <t>Total Unit Sales Growth</t>
  </si>
  <si>
    <t>Other Growth</t>
  </si>
  <si>
    <t>Comparable SSS Growth</t>
  </si>
  <si>
    <t>Cars Sold/Store</t>
  </si>
  <si>
    <t>Store Growth</t>
  </si>
  <si>
    <t>Used Vehicle Sales</t>
  </si>
  <si>
    <t>Whoelsale Vehicle Sales</t>
  </si>
  <si>
    <t>EPP</t>
  </si>
  <si>
    <t>Third-party Finance Fees, net</t>
  </si>
  <si>
    <t>Total Revenue</t>
  </si>
  <si>
    <t>Tier 2</t>
  </si>
  <si>
    <t>Tier 3</t>
  </si>
  <si>
    <t>Total</t>
  </si>
  <si>
    <t>New Openings</t>
  </si>
  <si>
    <t>Gross Profit</t>
  </si>
  <si>
    <t>Gross Profit Margin</t>
  </si>
  <si>
    <t>Reported ASP ($)</t>
  </si>
  <si>
    <t>COGS</t>
  </si>
  <si>
    <t>Actual GP/Unit ($)</t>
  </si>
  <si>
    <t>Auto Loans Receivable</t>
  </si>
  <si>
    <t>Current-portion non-recourse notes payable</t>
  </si>
  <si>
    <t>Operating lease</t>
  </si>
  <si>
    <t>Non-recourse notes payable</t>
  </si>
  <si>
    <t>Interest and fee income</t>
  </si>
  <si>
    <t>Provision for loan losses</t>
  </si>
  <si>
    <t>CAF Income</t>
  </si>
  <si>
    <t>Net loans originated (CAF)</t>
  </si>
  <si>
    <t>Vehicle units financed</t>
  </si>
  <si>
    <t>W.A. Contract Rate</t>
  </si>
  <si>
    <t>W.A. Credit Score</t>
  </si>
  <si>
    <t>W.A. LTV</t>
  </si>
  <si>
    <t>W.A. Term (months)</t>
  </si>
  <si>
    <t>Net penetration rate</t>
  </si>
  <si>
    <t>Ending Managed Receivables</t>
  </si>
  <si>
    <t>Average Managed Receivables</t>
  </si>
  <si>
    <t>Allowance for loan losses</t>
  </si>
  <si>
    <t>Net credit losses</t>
  </si>
  <si>
    <t>Net credit losses as % of average receivables</t>
  </si>
  <si>
    <t>Average recovery rate</t>
  </si>
  <si>
    <t>Allowance for loan losses as % of ending receivables</t>
  </si>
  <si>
    <t>Past due accounts as % of ending receivables</t>
  </si>
  <si>
    <t>Beginning Managed Receivables</t>
  </si>
  <si>
    <t>Additions</t>
  </si>
  <si>
    <t>Repaid</t>
  </si>
  <si>
    <t>Net losses</t>
  </si>
  <si>
    <t>Other (Recovery)</t>
  </si>
  <si>
    <t>Average Loan Amount</t>
  </si>
  <si>
    <t>ASP</t>
  </si>
  <si>
    <t>Loan as % of ASP</t>
  </si>
  <si>
    <t>Impact of 3-day option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</si>
  <si>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</si>
  <si>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</si>
  <si>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</si>
  <si>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</si>
  <si>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</si>
  <si>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</si>
  <si>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</si>
  <si>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</si>
  <si>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</si>
  <si>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</si>
  <si>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</si>
  <si>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</si>
  <si>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</si>
  <si>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</si>
  <si>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</si>
  <si>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</si>
  <si>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</si>
  <si>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</si>
  <si>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</si>
  <si>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</si>
  <si>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</si>
  <si>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</si>
  <si>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</si>
  <si>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</si>
  <si>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</si>
  <si>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</si>
  <si>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</si>
  <si>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</si>
  <si>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</si>
  <si>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</si>
  <si>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</si>
  <si>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</si>
  <si>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</si>
  <si>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</si>
  <si>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</si>
  <si>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</si>
  <si>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</si>
  <si>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</si>
  <si>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</si>
  <si>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</si>
  <si>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</si>
  <si>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</si>
  <si>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</si>
  <si>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</si>
  <si>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</si>
  <si>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</si>
  <si>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</si>
  <si>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</si>
  <si>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</si>
  <si>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Store Count by Feb of fiscal year</t>
  </si>
  <si>
    <t>Massachusetts</t>
  </si>
  <si>
    <t>Store Count per Million Registered Vehicles</t>
  </si>
  <si>
    <t>Private Vehicle Registration (000)</t>
  </si>
  <si>
    <t>Y/Y Growth</t>
  </si>
  <si>
    <t>Other Revenue</t>
  </si>
  <si>
    <t>Other Revenue as % of Car Sales</t>
  </si>
  <si>
    <t>States</t>
  </si>
  <si>
    <t>Production Stores</t>
  </si>
  <si>
    <t>Non-Production Stores</t>
  </si>
  <si>
    <t>Avg. Acres/Store (est.)</t>
  </si>
  <si>
    <t>Total Acres</t>
  </si>
  <si>
    <t>Production Stores as % of Total</t>
  </si>
  <si>
    <t>Used Car Sales</t>
  </si>
  <si>
    <t>Used Car Sales/Acre</t>
  </si>
  <si>
    <t>TOTAL ACRES (est.)</t>
  </si>
  <si>
    <t>2030 Target</t>
  </si>
  <si>
    <t>y/y growth</t>
  </si>
  <si>
    <t>y/y Growth</t>
  </si>
  <si>
    <t>Employees per 1,000 Retail Units Sold</t>
  </si>
  <si>
    <t>Employees per $1 mln Revenue</t>
  </si>
  <si>
    <t>SG&amp;A</t>
  </si>
  <si>
    <t>Interest Expense</t>
  </si>
  <si>
    <t>Used Cars (Retail)</t>
  </si>
  <si>
    <t>Ancillary Services</t>
  </si>
  <si>
    <t>Compensation &amp; Benefits (ex. SBC)</t>
  </si>
  <si>
    <t>SBC</t>
  </si>
  <si>
    <t>Store Occupancy costs</t>
  </si>
  <si>
    <t>Advertising Expense</t>
  </si>
  <si>
    <t>Other overhead</t>
  </si>
  <si>
    <t>Expense Forecast</t>
  </si>
  <si>
    <t>Average Comp/Associate ($000)</t>
  </si>
  <si>
    <t>Store Capacity (Acres)</t>
  </si>
  <si>
    <t>Annual Cost/Acre ($)</t>
  </si>
  <si>
    <t>Other (incl. Provision for loan loss/cancellation)</t>
  </si>
  <si>
    <t>Change in non-recourse notes payable</t>
  </si>
  <si>
    <t>Approximate Market Share</t>
  </si>
  <si>
    <t>Total U.S. Used Vehicle Sales (mln)</t>
  </si>
  <si>
    <t>Total Registered Vehicles (mln)</t>
  </si>
  <si>
    <t>Avg. KMX Units sold/Store</t>
  </si>
  <si>
    <t>Addressable Used Cars</t>
  </si>
  <si>
    <t>Average Addressable Turnover</t>
  </si>
  <si>
    <t>Market Share of Addressable Turnover</t>
  </si>
  <si>
    <t>Net Store Additions</t>
  </si>
  <si>
    <t>Store count growth override</t>
  </si>
  <si>
    <t>Change in auto loans recievable</t>
  </si>
  <si>
    <t>Operating/Finance lease</t>
  </si>
  <si>
    <t>non-cash NWC as % of revenue</t>
  </si>
  <si>
    <t>Fee Income</t>
  </si>
  <si>
    <t>Fee Expense</t>
  </si>
  <si>
    <t>Net Fees</t>
  </si>
  <si>
    <t>EPP as % of Used Car Revenue</t>
  </si>
  <si>
    <t>Y/Y Growth in Other</t>
  </si>
  <si>
    <t>Other Gross Margin</t>
  </si>
  <si>
    <t>Total non-recourse notes payable (end)</t>
  </si>
  <si>
    <t>Term Loan</t>
  </si>
  <si>
    <t>2023 Notes</t>
  </si>
  <si>
    <t>2026 Notes</t>
  </si>
  <si>
    <t>2028 Notes</t>
  </si>
  <si>
    <t>Financing obligations</t>
  </si>
  <si>
    <t>New Debt</t>
  </si>
  <si>
    <t>Ending PP&amp;E</t>
  </si>
  <si>
    <t>Beginning PP&amp;E</t>
  </si>
  <si>
    <t>PP&amp;E as % of Revenue</t>
  </si>
  <si>
    <t>Excess DD&amp;A</t>
  </si>
  <si>
    <t>Leased Sites</t>
  </si>
  <si>
    <t>Retail Car Sites</t>
  </si>
  <si>
    <t>Owned</t>
  </si>
  <si>
    <t>Owned Sites as % of Total</t>
  </si>
  <si>
    <t>PP&amp;E/Owned Acre ($000)</t>
  </si>
  <si>
    <t>y/y Change</t>
  </si>
  <si>
    <t>Remaining Useful Life</t>
  </si>
  <si>
    <t>Land</t>
  </si>
  <si>
    <t>Land held for development</t>
  </si>
  <si>
    <t>Buildings</t>
  </si>
  <si>
    <t>Leasehold improvements</t>
  </si>
  <si>
    <t>Furniture, fixtures, equipment</t>
  </si>
  <si>
    <t>Construction in progress</t>
  </si>
  <si>
    <t>Finance leases</t>
  </si>
  <si>
    <t>Cost</t>
  </si>
  <si>
    <t>Less accumulated DD&amp;A</t>
  </si>
  <si>
    <t>PP&amp;E, net</t>
  </si>
  <si>
    <t>Beginning ROU</t>
  </si>
  <si>
    <t>Lease Principle Payments</t>
  </si>
  <si>
    <t>Ending ROU</t>
  </si>
  <si>
    <t>D&amp;A</t>
  </si>
  <si>
    <t>ROU as a % of Revenue</t>
  </si>
  <si>
    <t>ROU as a % of PP&amp;E</t>
  </si>
  <si>
    <t>Remaining Useful Life (yrs)</t>
  </si>
  <si>
    <t>Operating Lease Interest</t>
  </si>
  <si>
    <t>Operating Lease Interest Rate (%)</t>
  </si>
  <si>
    <t>Principal Payments as a % of D&amp;A</t>
  </si>
  <si>
    <t>Net Additions</t>
  </si>
  <si>
    <t>as a % of Revenue</t>
  </si>
  <si>
    <t>as a % of PP&amp;E</t>
  </si>
  <si>
    <t>Lease Sites as % of Total</t>
  </si>
  <si>
    <t>Implied Interest Rate</t>
  </si>
  <si>
    <t>Difference</t>
  </si>
  <si>
    <t>Total Operating Lease Payments</t>
  </si>
  <si>
    <t>Interest</t>
  </si>
  <si>
    <t>Included in SG&amp;A (Occupancy Costs)</t>
  </si>
  <si>
    <t>Operating Leases as a % of Occupancy Cost</t>
  </si>
  <si>
    <t>Implied Interest Rate on Financial obligations</t>
  </si>
  <si>
    <t>Finance Lease Liabilities</t>
  </si>
  <si>
    <t>as a % of Financing Obligations</t>
  </si>
  <si>
    <t>Principal Payments (D&amp;A)</t>
  </si>
  <si>
    <t>Ending Financing Obligations and Leases</t>
  </si>
  <si>
    <t>Starting Financing Obligations and Leases</t>
  </si>
  <si>
    <t>Financing Obligations</t>
  </si>
  <si>
    <t>as a % of Financing Obligations and Lease</t>
  </si>
  <si>
    <t>Finance Obligation Interest</t>
  </si>
  <si>
    <t>Financing Lease and Obligation Interest</t>
  </si>
  <si>
    <t>Leased Sites as % of Total</t>
  </si>
  <si>
    <t>ROU and Fin. Lease &amp; Obligations as a % of PP&amp;E</t>
  </si>
  <si>
    <t>Average debt</t>
  </si>
  <si>
    <t>Principal Payments on Finance Obligations</t>
  </si>
  <si>
    <t>Principal Payments on Finance Leases</t>
  </si>
  <si>
    <t>Total Fin. Lease &amp; Obligation Payments</t>
  </si>
  <si>
    <t>Finance Lease Interest</t>
  </si>
  <si>
    <t>as a % of Finance Lease Liabilities</t>
  </si>
  <si>
    <t>FISCAL YEAR (KMX)</t>
  </si>
  <si>
    <t>Used Car Sales/Store</t>
  </si>
  <si>
    <t>Production Store/State</t>
  </si>
  <si>
    <t>Non-Production Store/State</t>
  </si>
  <si>
    <t>Store Count/Mln in States they operate</t>
  </si>
  <si>
    <t>U.S. Used Sales for Reach Competitor</t>
  </si>
  <si>
    <t>CarMax (KMX)</t>
  </si>
  <si>
    <t>Carvana (CVNA)</t>
  </si>
  <si>
    <t>AutoNation (AN)</t>
  </si>
  <si>
    <t>Penske (PAG)</t>
  </si>
  <si>
    <t>Group 1 (GPI)</t>
  </si>
  <si>
    <t>Lithia Motors (LAD)</t>
  </si>
  <si>
    <t>Sonic (SAH)</t>
  </si>
  <si>
    <t>Shift</t>
  </si>
  <si>
    <t>Vroom</t>
  </si>
  <si>
    <t>OTHER</t>
  </si>
  <si>
    <t>0-10Y Used Cars</t>
  </si>
  <si>
    <t>10+Y Used Cars + Private Sales</t>
  </si>
  <si>
    <t>Total Retail Used Cars (U.S.)</t>
  </si>
  <si>
    <t>Average Sale Price (Used Car Division)</t>
  </si>
  <si>
    <t>Gross Profit/Unit (Used Car Division)</t>
  </si>
  <si>
    <t>Gross Margin (Used Car Division)</t>
  </si>
  <si>
    <t>Margins (GP, EBITDA, EBIT, or NI)</t>
  </si>
  <si>
    <t>Asset Turnover (Total Company)</t>
  </si>
  <si>
    <t>Retail</t>
  </si>
  <si>
    <t>Vehicle Revenue</t>
  </si>
  <si>
    <t>Inventory Turnover (Days)</t>
  </si>
  <si>
    <t>CVNA Vehicle Inventory</t>
  </si>
  <si>
    <t>CVNA Vehicle Revenue</t>
  </si>
  <si>
    <t>CVNA Inventory Turnover (Days)</t>
  </si>
  <si>
    <t>CVNA Inventory Turnover - Reported (Days)</t>
  </si>
  <si>
    <t>AN Vehicle Inventory</t>
  </si>
  <si>
    <t>AN Vehicle Revenue</t>
  </si>
  <si>
    <t>AN Inventory Turnover (Days)</t>
  </si>
  <si>
    <t>LAD Vehicle Inventory</t>
  </si>
  <si>
    <t>LAD Inventory Turnover (Days)</t>
  </si>
  <si>
    <t>SG&amp;A Total</t>
  </si>
  <si>
    <t>Benchmark Used Car Dealers</t>
  </si>
  <si>
    <t>PAG Vehicle Inventory</t>
  </si>
  <si>
    <t>GPI Vehicle Inventory</t>
  </si>
  <si>
    <t>SG&amp;A ex. DD&amp;A</t>
  </si>
  <si>
    <t>Reveue and Gross Profit Drivers</t>
  </si>
  <si>
    <t>y/y GP/Unit Growth</t>
  </si>
  <si>
    <t>GPU Change</t>
  </si>
  <si>
    <t>CVNA</t>
  </si>
  <si>
    <t>AN</t>
  </si>
  <si>
    <t>LAD</t>
  </si>
  <si>
    <t>PAG</t>
  </si>
  <si>
    <t>GPI</t>
  </si>
  <si>
    <t>SAH</t>
  </si>
  <si>
    <t>Units as % of Total (Retail + Wholesale)</t>
  </si>
  <si>
    <t>Estimated Wholesale Industry  Units (000)</t>
  </si>
  <si>
    <t>KMX Share</t>
  </si>
  <si>
    <t>CAF Income per car financed</t>
  </si>
  <si>
    <t>Total Interest Income</t>
  </si>
  <si>
    <t>Total Interest Expense</t>
  </si>
  <si>
    <t>Fee Earned on Tier 2/Vehicle</t>
  </si>
  <si>
    <t>Fee Paid on Tier 3/Vehicle</t>
  </si>
  <si>
    <t>Tier 2 Vehicles</t>
  </si>
  <si>
    <t>Tier 3 Vehicles</t>
  </si>
  <si>
    <t>Direct CAF expenses as % of NIM</t>
  </si>
  <si>
    <t>Direct CAF Payroll</t>
  </si>
  <si>
    <t>Direct CAF Other</t>
  </si>
  <si>
    <t>Direct CAF Payroll/Vehicle</t>
  </si>
  <si>
    <t>Direct CAF Other/Vehicle</t>
  </si>
  <si>
    <t>Retail Automotive Dealership</t>
  </si>
  <si>
    <t>Used Vehicle SuperCenters</t>
  </si>
  <si>
    <t>Retail Commercial Truck Dealerships</t>
  </si>
  <si>
    <t>Used Vehicles (#)</t>
  </si>
  <si>
    <t>New Vehicle sales at Retail Automotive Dealership</t>
  </si>
  <si>
    <t>Used Vehicle at Retail Automotive Dealerships</t>
  </si>
  <si>
    <t>Total Used Vehicle Sales</t>
  </si>
  <si>
    <t>Retail Automotive Dealership Revenue</t>
  </si>
  <si>
    <t>% in Used Vehciles</t>
  </si>
  <si>
    <t>Retail Commercial Truck Dealership Revenue</t>
  </si>
  <si>
    <t>Retail Automotive New Vehicles</t>
  </si>
  <si>
    <t>Retail Automotive Used Vehicles</t>
  </si>
  <si>
    <t>PAG Used Vehicle Revenue</t>
  </si>
  <si>
    <t>PAG Used Inventory Turnover (Days)</t>
  </si>
  <si>
    <t>New Vehicle sales in the U.S. (mlns)</t>
  </si>
  <si>
    <t>Used Vehicle sales in the U.S. (mlns)</t>
  </si>
  <si>
    <t>New-car dealerships in the U.S. (000)</t>
  </si>
  <si>
    <t>Dealership used vehicle sales as a % of total sales</t>
  </si>
  <si>
    <t>Publicly held automotive retail groups mkt share in the U.S.</t>
  </si>
  <si>
    <t>&lt;10%</t>
  </si>
  <si>
    <t>U.S.</t>
  </si>
  <si>
    <t>RoW</t>
  </si>
  <si>
    <t>Dealerships (#)</t>
  </si>
  <si>
    <t>Number of States w/ Dealerships (#)</t>
  </si>
  <si>
    <t>New Vehicle Retail</t>
  </si>
  <si>
    <t>Used Vehicle Retail</t>
  </si>
  <si>
    <t>Used Vehicle Wholesale</t>
  </si>
  <si>
    <t>Wholesale as a % of total Used</t>
  </si>
  <si>
    <t>Retail New Vehicles sold</t>
  </si>
  <si>
    <t>Retail Used Vehicles sold</t>
  </si>
  <si>
    <t>Wholesale used vehicles sold</t>
  </si>
  <si>
    <t>New Vehicle Retail, U.S.</t>
  </si>
  <si>
    <t>Used Vehicle Retail, U.S.</t>
  </si>
  <si>
    <t>Used Vehicle Wholesale, U.S.</t>
  </si>
  <si>
    <t>Other, U.S.</t>
  </si>
  <si>
    <t>Total Revenue, U.S.</t>
  </si>
  <si>
    <t>Retail New Vehicles sold, U.S.</t>
  </si>
  <si>
    <t>Retail Used Vehicles sold, U.S.</t>
  </si>
  <si>
    <t>Wholesale used vehicles sold, U.S.</t>
  </si>
  <si>
    <t>AcceleRide Units Sold, U.S. (#)</t>
  </si>
  <si>
    <t>New Vehicles</t>
  </si>
  <si>
    <t>Used Vehicles</t>
  </si>
  <si>
    <t>GPI Used Inventory Turnover (Days)</t>
  </si>
  <si>
    <t>New Vehicle Sales in the U.S. (mlns)</t>
  </si>
  <si>
    <t>Dealerships (#), All U.S.</t>
  </si>
  <si>
    <t>Retail New Vehicles Sales</t>
  </si>
  <si>
    <t>Retail Used Vehicle Sales</t>
  </si>
  <si>
    <t>Wholesale Used Vehicle Sales</t>
  </si>
  <si>
    <t>Wholesale as % of Total Used</t>
  </si>
  <si>
    <t>Retail New Vehicles Sold (#)</t>
  </si>
  <si>
    <t>Retail Used Vehicles Sold (#)</t>
  </si>
  <si>
    <t>Wholesale Used Vehicles Sold (#)</t>
  </si>
  <si>
    <t>Avg wholesale price</t>
  </si>
  <si>
    <t>New Vehicle</t>
  </si>
  <si>
    <t>Used Vehicle</t>
  </si>
  <si>
    <t>EchoPark</t>
  </si>
  <si>
    <t>Franchised Stores</t>
  </si>
  <si>
    <t>New Vehicle Units</t>
  </si>
  <si>
    <t>Retail Used Vehicle Units</t>
  </si>
  <si>
    <t>Wholesale Used Vehicle Units</t>
  </si>
  <si>
    <t>Total Vehicle Inventory</t>
  </si>
  <si>
    <t>SAH Used Inventory Turnover (Days)</t>
  </si>
  <si>
    <t>Fleet</t>
  </si>
  <si>
    <t>New Vehicle Sales in the U.S. (mln)</t>
  </si>
  <si>
    <t>Used Vehicle Sales in the U.S. (mln)</t>
  </si>
  <si>
    <t>Operating Margin</t>
  </si>
  <si>
    <t>Less: Cash</t>
  </si>
  <si>
    <t>'21-31</t>
  </si>
  <si>
    <t>'05-21</t>
  </si>
  <si>
    <t>'10-20</t>
  </si>
  <si>
    <t>'20-31</t>
  </si>
  <si>
    <t>SG&amp;A ex. DD&amp;A as % of GP (ex. CAF)</t>
  </si>
  <si>
    <t>Same-store Used Unit Growth</t>
  </si>
  <si>
    <t>KMX Org Unit Growth</t>
  </si>
  <si>
    <t>Other/Edmunds</t>
  </si>
  <si>
    <t>Equity</t>
  </si>
  <si>
    <t>ND</t>
  </si>
  <si>
    <t>Adjusted</t>
  </si>
  <si>
    <t>Adj. Debt/Cap</t>
  </si>
  <si>
    <t># Shares issued or repurchased</t>
  </si>
  <si>
    <t>Feb 28 YEAR-END</t>
  </si>
  <si>
    <t>CFO/share - ex auto loans</t>
  </si>
  <si>
    <t>Comps</t>
  </si>
  <si>
    <t>World-Consumer, Cyclical</t>
  </si>
  <si>
    <t>UNITED STATES-Consumer, Cyclical</t>
  </si>
  <si>
    <t>World-Retail</t>
  </si>
  <si>
    <t>UNITED STATES-Retail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</si>
</sst>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8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(* #,##0.00_);_(* \(#,##0.00\);_(* &quot;-&quot;??_);_(@_)"/>
    <numFmt numFmtId="166" formatCode="0.0\x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0.0%_);\(0.0%\);0.0%_);@_)"/>
  </numFmts>
  <fonts count="28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sz val="11"/>
      <color rgb="FFC0000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386">
    <xf numFmtId="0" fontId="0" fillId="0" borderId="0"/>
    <xf numFmtId="0" fontId="10" fillId="4" borderId="0"/>
    <xf numFmtId="165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4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2" applyNumberFormat="0" applyFill="0" applyAlignment="0" applyProtection="0"/>
    <xf numFmtId="0" fontId="34" fillId="0" borderId="43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3" applyNumberFormat="0" applyFill="0" applyAlignment="0" applyProtection="0"/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11" fillId="0" borderId="45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6">
      <alignment horizontal="center"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8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9">
      <alignment horizontal="center"/>
    </xf>
    <xf numFmtId="0" fontId="30" fillId="0" borderId="36" applyNumberFormat="0" applyFont="0" applyAlignment="0" applyProtection="0"/>
    <xf numFmtId="0" fontId="12" fillId="56" borderId="50">
      <alignment horizontal="center" vertical="center"/>
    </xf>
    <xf numFmtId="0" fontId="12" fillId="56" borderId="51">
      <alignment horizontal="center"/>
    </xf>
    <xf numFmtId="177" fontId="74" fillId="25" borderId="52">
      <alignment horizontal="center" vertical="center" wrapText="1"/>
    </xf>
    <xf numFmtId="0" fontId="75" fillId="0" borderId="0">
      <alignment vertical="center"/>
    </xf>
    <xf numFmtId="177" fontId="76" fillId="25" borderId="52">
      <alignment horizontal="left" vertical="center" wrapText="1"/>
    </xf>
    <xf numFmtId="0" fontId="77" fillId="25" borderId="0">
      <alignment horizontal="center"/>
    </xf>
    <xf numFmtId="177" fontId="78" fillId="25" borderId="52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6" applyNumberFormat="0" applyFont="0" applyFill="0" applyAlignment="0" applyProtection="0"/>
    <xf numFmtId="0" fontId="46" fillId="0" borderId="53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4" applyNumberFormat="0" applyAlignment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45" fillId="59" borderId="29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89" fillId="61" borderId="32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7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8">
      <alignment horizontal="center" vertical="center"/>
    </xf>
    <xf numFmtId="0" fontId="11" fillId="0" borderId="0" applyFont="0" applyFill="0" applyBorder="0" applyAlignment="0" applyProtection="0"/>
    <xf numFmtId="229" fontId="11" fillId="0" borderId="59" applyFont="0" applyFill="0" applyAlignment="0" applyProtection="0"/>
    <xf numFmtId="230" fontId="11" fillId="0" borderId="0" applyFont="0" applyFill="0" applyAlignment="0" applyProtection="0"/>
    <xf numFmtId="231" fontId="11" fillId="0" borderId="45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60">
      <alignment horizontal="center" vertical="center"/>
    </xf>
    <xf numFmtId="0" fontId="79" fillId="0" borderId="60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61">
      <alignment vertical="center"/>
    </xf>
    <xf numFmtId="15" fontId="106" fillId="66" borderId="0" applyNumberFormat="0" applyFont="0" applyBorder="0" applyAlignment="0" applyProtection="0"/>
    <xf numFmtId="3" fontId="97" fillId="0" borderId="62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9"/>
    <xf numFmtId="238" fontId="11" fillId="0" borderId="2"/>
    <xf numFmtId="238" fontId="11" fillId="0" borderId="36"/>
    <xf numFmtId="238" fontId="11" fillId="0" borderId="1"/>
    <xf numFmtId="0" fontId="11" fillId="0" borderId="63"/>
    <xf numFmtId="0" fontId="11" fillId="0" borderId="64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9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4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5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9" applyFont="0" applyFill="0" applyBorder="0" applyAlignment="0" applyProtection="0"/>
    <xf numFmtId="0" fontId="47" fillId="0" borderId="49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5">
      <alignment vertical="center"/>
    </xf>
    <xf numFmtId="210" fontId="124" fillId="57" borderId="66">
      <alignment horizontal="left" vertical="center" indent="1"/>
    </xf>
    <xf numFmtId="0" fontId="30" fillId="0" borderId="67" applyNumberFormat="0" applyAlignment="0" applyProtection="0">
      <alignment horizontal="left" vertical="center"/>
    </xf>
    <xf numFmtId="0" fontId="30" fillId="0" borderId="38">
      <alignment horizontal="left" vertical="center"/>
    </xf>
    <xf numFmtId="0" fontId="123" fillId="0" borderId="68" applyNumberFormat="0" applyFill="0">
      <alignment horizontal="center" vertical="top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6" fillId="11" borderId="0" applyNumberFormat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5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6">
      <alignment horizontal="center"/>
    </xf>
    <xf numFmtId="0" fontId="138" fillId="0" borderId="36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6" applyNumberFormat="0" applyFill="0" applyAlignment="0" applyProtection="0"/>
    <xf numFmtId="0" fontId="79" fillId="11" borderId="77">
      <alignment horizontal="left" vertical="center" wrapText="1"/>
    </xf>
    <xf numFmtId="0" fontId="36" fillId="0" borderId="78" applyNumberFormat="0" applyAlignment="0"/>
    <xf numFmtId="0" fontId="142" fillId="0" borderId="0"/>
    <xf numFmtId="9" fontId="143" fillId="0" borderId="48"/>
    <xf numFmtId="0" fontId="143" fillId="0" borderId="48"/>
    <xf numFmtId="10" fontId="143" fillId="0" borderId="48"/>
    <xf numFmtId="0" fontId="143" fillId="0" borderId="48"/>
    <xf numFmtId="4" fontId="143" fillId="0" borderId="48"/>
    <xf numFmtId="10" fontId="47" fillId="14" borderId="49" applyNumberFormat="0" applyBorder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43" fillId="22" borderId="29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9">
      <alignment horizontal="center"/>
      <protection locked="0"/>
    </xf>
    <xf numFmtId="37" fontId="49" fillId="14" borderId="79">
      <alignment horizontal="right"/>
      <protection locked="0"/>
    </xf>
    <xf numFmtId="9" fontId="147" fillId="14" borderId="79">
      <alignment horizontal="right"/>
      <protection locked="0"/>
    </xf>
    <xf numFmtId="37" fontId="68" fillId="0" borderId="79">
      <alignment horizontal="right"/>
    </xf>
    <xf numFmtId="164" fontId="47" fillId="0" borderId="79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81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50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9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8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9">
      <protection locked="0"/>
    </xf>
    <xf numFmtId="0" fontId="11" fillId="0" borderId="1">
      <protection locked="0"/>
    </xf>
    <xf numFmtId="0" fontId="11" fillId="0" borderId="37">
      <protection locked="0"/>
    </xf>
    <xf numFmtId="0" fontId="11" fillId="0" borderId="35"/>
    <xf numFmtId="37" fontId="168" fillId="0" borderId="0" applyNumberFormat="0" applyFont="0" applyFill="0" applyBorder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61" fillId="14" borderId="33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69" fillId="0" borderId="83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4">
      <alignment horizontal="center" vertical="top" wrapText="1"/>
      <protection locked="0"/>
    </xf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44" fillId="59" borderId="30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40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9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60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2"/>
    <xf numFmtId="9" fontId="189" fillId="0" borderId="62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6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41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4" applyNumberFormat="0" applyAlignment="0">
      <protection locked="0"/>
    </xf>
    <xf numFmtId="0" fontId="199" fillId="0" borderId="86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8" applyNumberFormat="0" applyFont="0" applyAlignment="0">
      <alignment horizontal="center"/>
    </xf>
    <xf numFmtId="1" fontId="11" fillId="0" borderId="0"/>
    <xf numFmtId="0" fontId="202" fillId="0" borderId="87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8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9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5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5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9" applyFont="0" applyFill="0" applyBorder="0" applyAlignment="0" applyProtection="0">
      <protection locked="0" hidden="1"/>
    </xf>
    <xf numFmtId="0" fontId="79" fillId="0" borderId="77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7">
      <alignment horizontal="center" wrapText="1"/>
    </xf>
    <xf numFmtId="0" fontId="79" fillId="22" borderId="77">
      <alignment horizontal="left" vertical="top" wrapText="1"/>
    </xf>
    <xf numFmtId="0" fontId="79" fillId="14" borderId="87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224" fillId="0" borderId="34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15" fontId="225" fillId="22" borderId="93">
      <alignment horizontal="center" vertical="center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226" fillId="0" borderId="0">
      <alignment horizontal="centerContinuous"/>
    </xf>
    <xf numFmtId="0" fontId="11" fillId="0" borderId="35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6" applyProtection="0"/>
    <xf numFmtId="41" fontId="228" fillId="9" borderId="0">
      <alignment horizontal="center"/>
    </xf>
    <xf numFmtId="0" fontId="83" fillId="0" borderId="94"/>
    <xf numFmtId="278" fontId="47" fillId="0" borderId="0">
      <alignment horizontal="center"/>
    </xf>
    <xf numFmtId="250" fontId="47" fillId="0" borderId="79">
      <alignment horizontal="center"/>
    </xf>
    <xf numFmtId="37" fontId="47" fillId="0" borderId="79">
      <alignment horizontal="right"/>
    </xf>
    <xf numFmtId="9" fontId="68" fillId="0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164" fontId="47" fillId="25" borderId="79">
      <alignment horizontal="right"/>
    </xf>
    <xf numFmtId="41" fontId="229" fillId="0" borderId="0" applyNumberFormat="0" applyAlignment="0">
      <alignment horizontal="right"/>
    </xf>
    <xf numFmtId="37" fontId="103" fillId="25" borderId="79">
      <alignment horizontal="right"/>
    </xf>
    <xf numFmtId="37" fontId="230" fillId="25" borderId="79">
      <alignment horizontal="right"/>
    </xf>
    <xf numFmtId="37" fontId="47" fillId="25" borderId="79">
      <alignment horizontal="right"/>
    </xf>
    <xf numFmtId="9" fontId="68" fillId="25" borderId="79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9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2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2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71" applyNumberFormat="0" applyFill="0" applyAlignment="0" applyProtection="0">
      <alignment vertical="center"/>
    </xf>
    <xf numFmtId="0" fontId="246" fillId="0" borderId="73" applyNumberFormat="0" applyFill="0" applyAlignment="0" applyProtection="0">
      <alignment vertical="center"/>
    </xf>
    <xf numFmtId="0" fontId="247" fillId="0" borderId="75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6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71" applyNumberFormat="0" applyFill="0" applyAlignment="0" applyProtection="0">
      <alignment vertical="center"/>
    </xf>
    <xf numFmtId="0" fontId="251" fillId="0" borderId="73" applyNumberFormat="0" applyFill="0" applyAlignment="0" applyProtection="0">
      <alignment vertical="center"/>
    </xf>
    <xf numFmtId="0" fontId="252" fillId="0" borderId="75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6" applyNumberFormat="0" applyAlignment="0" applyProtection="0">
      <alignment vertical="center"/>
    </xf>
    <xf numFmtId="0" fontId="254" fillId="0" borderId="92" applyNumberFormat="0" applyFill="0" applyAlignment="0" applyProtection="0">
      <alignment vertical="center"/>
    </xf>
    <xf numFmtId="0" fontId="11" fillId="14" borderId="82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5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5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5" applyNumberFormat="0" applyAlignment="0" applyProtection="0">
      <alignment vertical="center"/>
    </xf>
    <xf numFmtId="0" fontId="262" fillId="25" borderId="85" applyNumberFormat="0" applyAlignment="0" applyProtection="0">
      <alignment vertical="center"/>
    </xf>
    <xf numFmtId="0" fontId="263" fillId="22" borderId="55" applyNumberFormat="0" applyAlignment="0" applyProtection="0">
      <alignment vertical="center"/>
    </xf>
    <xf numFmtId="0" fontId="264" fillId="25" borderId="85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80" applyNumberFormat="0" applyFill="0" applyAlignment="0" applyProtection="0">
      <alignment vertical="center"/>
    </xf>
    <xf numFmtId="0" fontId="267" fillId="0" borderId="80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9" applyNumberFormat="0" applyAlignment="0" applyProtection="0"/>
    <xf numFmtId="0" fontId="89" fillId="61" borderId="32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6" applyNumberFormat="0" applyFill="0" applyAlignment="0" applyProtection="0"/>
    <xf numFmtId="0" fontId="270" fillId="0" borderId="27" applyNumberFormat="0" applyFill="0" applyAlignment="0" applyProtection="0"/>
    <xf numFmtId="0" fontId="271" fillId="0" borderId="28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9" applyNumberFormat="0" applyAlignment="0" applyProtection="0"/>
    <xf numFmtId="0" fontId="272" fillId="0" borderId="31" applyNumberFormat="0" applyFill="0" applyAlignment="0" applyProtection="0"/>
    <xf numFmtId="0" fontId="42" fillId="70" borderId="0" applyNumberFormat="0" applyBorder="0" applyAlignment="0" applyProtection="0"/>
    <xf numFmtId="0" fontId="61" fillId="14" borderId="33" applyNumberFormat="0" applyFont="0" applyAlignment="0" applyProtection="0"/>
    <xf numFmtId="0" fontId="44" fillId="59" borderId="30" applyNumberFormat="0" applyAlignment="0" applyProtection="0"/>
    <xf numFmtId="0" fontId="220" fillId="0" borderId="0" applyNumberFormat="0" applyFill="0" applyBorder="0" applyAlignment="0" applyProtection="0"/>
    <xf numFmtId="0" fontId="224" fillId="0" borderId="34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2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56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4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4" fontId="0" fillId="0" borderId="0" xfId="0" applyNumberFormat="1" applyFont="1"/>
    <xf numFmtId="164" fontId="6" fillId="2" borderId="2" xfId="0" applyNumberFormat="1" applyFont="1" applyFill="1" applyBorder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6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6" fillId="0" borderId="0" xfId="0" applyFont="1"/>
    <xf numFmtId="164" fontId="5" fillId="0" borderId="0" xfId="0" applyNumberFormat="1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170" fontId="0" fillId="0" borderId="0" xfId="0" applyNumberFormat="1" applyFont="1" applyAlignment="1">
      <alignment horizontal="left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4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6" fontId="5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3" fontId="4" fillId="0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3" fontId="9" fillId="0" borderId="0" xfId="0" applyNumberFormat="1" applyFont="1"/>
    <xf numFmtId="166" fontId="0" fillId="0" borderId="0" xfId="0" applyNumberFormat="1"/>
    <xf numFmtId="3" fontId="9" fillId="0" borderId="1" xfId="0" applyNumberFormat="1" applyFont="1" applyBorder="1"/>
    <xf numFmtId="3" fontId="17" fillId="0" borderId="0" xfId="0" applyNumberFormat="1" applyFont="1" applyBorder="1" applyAlignment="1">
      <alignment horizontal="right"/>
    </xf>
    <xf numFmtId="10" fontId="0" fillId="0" borderId="0" xfId="0" applyNumberFormat="1" applyFill="1" applyAlignment="1">
      <alignment horizontal="right"/>
    </xf>
    <xf numFmtId="174" fontId="4" fillId="0" borderId="0" xfId="0" applyNumberFormat="1" applyFont="1"/>
    <xf numFmtId="174" fontId="4" fillId="0" borderId="0" xfId="0" applyNumberFormat="1" applyFont="1" applyFill="1"/>
    <xf numFmtId="4" fontId="5" fillId="0" borderId="0" xfId="0" applyNumberFormat="1" applyFont="1" applyFill="1" applyAlignment="1">
      <alignment horizontal="right"/>
    </xf>
    <xf numFmtId="164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4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4" xfId="0" applyNumberFormat="1" applyFill="1" applyBorder="1"/>
    <xf numFmtId="3" fontId="0" fillId="2" borderId="25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6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6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9" fontId="0" fillId="0" borderId="0" xfId="0" applyNumberFormat="1" applyFill="1" applyAlignment="1">
      <alignment horizontal="right"/>
    </xf>
    <xf numFmtId="167" fontId="5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4" fontId="4" fillId="0" borderId="0" xfId="0" applyNumberFormat="1" applyFont="1" applyFill="1"/>
    <xf numFmtId="3" fontId="18" fillId="0" borderId="0" xfId="0" applyNumberFormat="1" applyFont="1" applyFill="1" applyBorder="1"/>
    <xf numFmtId="2" fontId="0" fillId="0" borderId="0" xfId="0" applyNumberFormat="1" applyFont="1" applyBorder="1" applyAlignment="1">
      <alignment horizontal="left" indent="1"/>
    </xf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3" xfId="0" applyNumberFormat="1" applyFill="1" applyBorder="1"/>
    <xf numFmtId="3" fontId="0" fillId="2" borderId="22" xfId="0" applyNumberFormat="1" applyFill="1" applyBorder="1"/>
    <xf numFmtId="3" fontId="7" fillId="0" borderId="1" xfId="0" applyNumberFormat="1" applyFont="1" applyFill="1" applyBorder="1"/>
    <xf numFmtId="10" fontId="0" fillId="0" borderId="0" xfId="0" applyNumberFormat="1" applyFont="1"/>
    <xf numFmtId="0" fontId="4" fillId="0" borderId="0" xfId="0" applyFont="1" applyFill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293" fontId="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10" fontId="18" fillId="0" borderId="0" xfId="0" applyNumberFormat="1" applyFont="1"/>
    <xf numFmtId="9" fontId="274" fillId="0" borderId="0" xfId="0" applyNumberFormat="1" applyFont="1"/>
    <xf numFmtId="0" fontId="0" fillId="78" borderId="0" xfId="0" applyFill="1"/>
    <xf numFmtId="164" fontId="0" fillId="78" borderId="0" xfId="0" applyNumberFormat="1" applyFill="1"/>
    <xf numFmtId="3" fontId="275" fillId="0" borderId="0" xfId="0" applyNumberFormat="1" applyFont="1" applyAlignment="1">
      <alignment horizontal="right"/>
    </xf>
    <xf numFmtId="3" fontId="0" fillId="6" borderId="0" xfId="0" applyNumberFormat="1" applyFill="1"/>
    <xf numFmtId="293" fontId="4" fillId="0" borderId="0" xfId="0" applyNumberFormat="1" applyFont="1" applyAlignment="1">
      <alignment horizontal="right"/>
    </xf>
    <xf numFmtId="0" fontId="16" fillId="78" borderId="0" xfId="0" applyFont="1" applyFill="1"/>
    <xf numFmtId="3" fontId="0" fillId="78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167" fontId="4" fillId="2" borderId="10" xfId="0" applyNumberFormat="1" applyFont="1" applyFill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4" fontId="5" fillId="0" borderId="0" xfId="0" applyNumberFormat="1" applyFont="1" applyFill="1"/>
    <xf numFmtId="164" fontId="0" fillId="0" borderId="0" xfId="0" applyNumberFormat="1" applyFill="1" applyAlignment="1">
      <alignment horizontal="center"/>
    </xf>
    <xf numFmtId="2" fontId="4" fillId="0" borderId="0" xfId="0" applyNumberFormat="1" applyFont="1" applyFill="1"/>
    <xf numFmtId="171" fontId="0" fillId="0" borderId="0" xfId="0" applyNumberFormat="1"/>
    <xf numFmtId="164" fontId="18" fillId="0" borderId="0" xfId="0" applyNumberFormat="1" applyFon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3" fontId="27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3" fontId="274" fillId="0" borderId="0" xfId="0" applyNumberFormat="1" applyFont="1"/>
    <xf numFmtId="9" fontId="5" fillId="0" borderId="0" xfId="0" applyNumberFormat="1" applyFont="1"/>
    <xf numFmtId="0" fontId="19" fillId="0" borderId="1" xfId="0" applyFont="1" applyBorder="1"/>
    <xf numFmtId="3" fontId="20" fillId="0" borderId="1" xfId="0" applyNumberFormat="1" applyFont="1" applyBorder="1" applyAlignment="1">
      <alignment horizontal="right"/>
    </xf>
    <xf numFmtId="9" fontId="7" fillId="0" borderId="1" xfId="0" applyNumberFormat="1" applyFont="1" applyBorder="1"/>
    <xf numFmtId="164" fontId="274" fillId="0" borderId="0" xfId="0" applyNumberFormat="1" applyFont="1"/>
    <xf numFmtId="164" fontId="7" fillId="0" borderId="1" xfId="0" applyNumberFormat="1" applyFont="1" applyBorder="1"/>
    <xf numFmtId="172" fontId="4" fillId="0" borderId="0" xfId="0" applyNumberFormat="1" applyFont="1"/>
    <xf numFmtId="1" fontId="2" fillId="0" borderId="1" xfId="0" applyNumberFormat="1" applyFont="1" applyBorder="1"/>
    <xf numFmtId="1" fontId="7" fillId="0" borderId="1" xfId="0" applyNumberFormat="1" applyFont="1" applyBorder="1"/>
    <xf numFmtId="3" fontId="5" fillId="0" borderId="1" xfId="0" applyNumberFormat="1" applyFont="1" applyBorder="1"/>
    <xf numFmtId="3" fontId="4" fillId="0" borderId="1" xfId="0" applyNumberFormat="1" applyFont="1" applyBorder="1"/>
    <xf numFmtId="171" fontId="5" fillId="0" borderId="0" xfId="0" applyNumberFormat="1" applyFont="1"/>
    <xf numFmtId="171" fontId="18" fillId="0" borderId="0" xfId="0" applyNumberFormat="1" applyFont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0" fontId="17" fillId="0" borderId="0" xfId="0" applyNumberFormat="1" applyFont="1"/>
    <xf numFmtId="164" fontId="4" fillId="0" borderId="0" xfId="0" applyNumberFormat="1" applyFont="1" applyAlignment="1">
      <alignment horizontal="right"/>
    </xf>
    <xf numFmtId="9" fontId="6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" fontId="4" fillId="0" borderId="0" xfId="0" applyNumberFormat="1" applyFont="1"/>
    <xf numFmtId="1" fontId="0" fillId="0" borderId="0" xfId="0" applyNumberFormat="1"/>
    <xf numFmtId="10" fontId="275" fillId="0" borderId="0" xfId="0" applyNumberFormat="1" applyFont="1"/>
    <xf numFmtId="2" fontId="4" fillId="0" borderId="0" xfId="0" applyNumberFormat="1" applyFont="1" applyAlignment="1">
      <alignment horizontal="center"/>
    </xf>
    <xf numFmtId="2" fontId="18" fillId="0" borderId="0" xfId="0" applyNumberFormat="1" applyFont="1"/>
    <xf numFmtId="3" fontId="17" fillId="0" borderId="0" xfId="0" applyNumberFormat="1" applyFont="1"/>
    <xf numFmtId="0" fontId="17" fillId="0" borderId="0" xfId="0" applyFont="1" applyAlignment="1">
      <alignment horizontal="center"/>
    </xf>
    <xf numFmtId="0" fontId="276" fillId="0" borderId="0" xfId="0" applyFont="1"/>
    <xf numFmtId="3" fontId="274" fillId="0" borderId="0" xfId="0" applyNumberFormat="1" applyFont="1" applyAlignment="1">
      <alignment horizontal="left" indent="1"/>
    </xf>
    <xf numFmtId="9" fontId="274" fillId="0" borderId="0" xfId="0" applyNumberFormat="1" applyFont="1" applyFill="1"/>
    <xf numFmtId="2" fontId="0" fillId="0" borderId="0" xfId="0" applyNumberFormat="1" applyFont="1" applyBorder="1" applyAlignment="1">
      <alignment horizontal="left"/>
    </xf>
    <xf numFmtId="10" fontId="274" fillId="0" borderId="0" xfId="0" applyNumberFormat="1" applyFont="1"/>
    <xf numFmtId="175" fontId="0" fillId="0" borderId="0" xfId="0" applyNumberFormat="1"/>
    <xf numFmtId="174" fontId="0" fillId="6" borderId="0" xfId="0" applyNumberFormat="1" applyFill="1"/>
    <xf numFmtId="4" fontId="0" fillId="6" borderId="0" xfId="0" applyNumberFormat="1" applyFill="1"/>
    <xf numFmtId="0" fontId="277" fillId="0" borderId="0" xfId="0" applyFont="1"/>
    <xf numFmtId="2" fontId="5" fillId="0" borderId="0" xfId="0" applyNumberFormat="1" applyFont="1"/>
    <xf numFmtId="10" fontId="6" fillId="2" borderId="38" xfId="0" applyNumberFormat="1" applyFont="1" applyFill="1" applyBorder="1"/>
    <xf numFmtId="10" fontId="6" fillId="2" borderId="88" xfId="0" applyNumberFormat="1" applyFont="1" applyFill="1" applyBorder="1"/>
    <xf numFmtId="10" fontId="6" fillId="2" borderId="95" xfId="0" applyNumberFormat="1" applyFont="1" applyFill="1" applyBorder="1"/>
    <xf numFmtId="3" fontId="3" fillId="5" borderId="0" xfId="0" applyNumberFormat="1" applyFont="1" applyFill="1"/>
    <xf numFmtId="3" fontId="278" fillId="0" borderId="0" xfId="0" applyNumberFormat="1" applyFont="1" applyBorder="1" applyAlignment="1">
      <alignment horizontal="right"/>
    </xf>
    <xf numFmtId="174" fontId="5" fillId="0" borderId="0" xfId="0" applyNumberFormat="1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indent="2"/>
    </xf>
    <xf numFmtId="164" fontId="6" fillId="0" borderId="0" xfId="0" applyNumberFormat="1" applyFont="1" applyFill="1"/>
    <xf numFmtId="3" fontId="9" fillId="0" borderId="0" xfId="0" applyNumberFormat="1" applyFont="1" applyFill="1" applyBorder="1"/>
    <xf numFmtId="9" fontId="0" fillId="0" borderId="0" xfId="0" applyNumberFormat="1" applyFill="1"/>
    <xf numFmtId="9" fontId="4" fillId="0" borderId="0" xfId="0" applyNumberFormat="1" applyFont="1" applyFill="1"/>
    <xf numFmtId="3" fontId="279" fillId="0" borderId="0" xfId="0" applyNumberFormat="1" applyFont="1"/>
    <xf numFmtId="3" fontId="18" fillId="0" borderId="0" xfId="0" applyNumberFormat="1" applyFont="1" applyFill="1"/>
    <xf numFmtId="3" fontId="4" fillId="0" borderId="96" xfId="0" applyNumberFormat="1" applyFont="1" applyBorder="1"/>
    <xf numFmtId="0" fontId="0" fillId="0" borderId="96" xfId="0" applyFont="1" applyFill="1" applyBorder="1" applyAlignment="1">
      <alignment horizontal="left" indent="1"/>
    </xf>
    <xf numFmtId="0" fontId="0" fillId="0" borderId="96" xfId="0" applyBorder="1"/>
    <xf numFmtId="174" fontId="0" fillId="0" borderId="96" xfId="0" applyNumberFormat="1" applyBorder="1"/>
    <xf numFmtId="3" fontId="0" fillId="0" borderId="96" xfId="0" applyNumberFormat="1" applyBorder="1"/>
    <xf numFmtId="174" fontId="279" fillId="0" borderId="96" xfId="0" applyNumberFormat="1" applyFont="1" applyBorder="1"/>
    <xf numFmtId="0" fontId="1" fillId="0" borderId="0" xfId="0" applyFont="1"/>
    <xf numFmtId="0" fontId="16" fillId="0" borderId="0" xfId="0" applyFont="1"/>
    <xf numFmtId="0" fontId="2" fillId="0" borderId="96" xfId="0" applyFont="1" applyBorder="1"/>
    <xf numFmtId="0" fontId="6" fillId="0" borderId="96" xfId="0" applyFont="1" applyBorder="1"/>
    <xf numFmtId="1" fontId="2" fillId="0" borderId="96" xfId="0" applyNumberFormat="1" applyFont="1" applyBorder="1"/>
    <xf numFmtId="3" fontId="2" fillId="0" borderId="96" xfId="0" applyNumberFormat="1" applyFont="1" applyBorder="1"/>
    <xf numFmtId="4" fontId="2" fillId="0" borderId="96" xfId="0" applyNumberFormat="1" applyFont="1" applyBorder="1"/>
    <xf numFmtId="174" fontId="4" fillId="78" borderId="0" xfId="0" applyNumberFormat="1" applyFont="1" applyFill="1"/>
    <xf numFmtId="164" fontId="2" fillId="0" borderId="96" xfId="0" applyNumberFormat="1" applyFont="1" applyBorder="1"/>
    <xf numFmtId="0" fontId="16" fillId="0" borderId="0" xfId="0" applyFont="1" applyAlignment="1">
      <alignment horizontal="left"/>
    </xf>
    <xf numFmtId="10" fontId="0" fillId="0" borderId="0" xfId="0" applyNumberFormat="1" applyAlignment="1">
      <alignment horizontal="center"/>
    </xf>
    <xf numFmtId="175" fontId="4" fillId="0" borderId="0" xfId="0" applyNumberFormat="1" applyFont="1"/>
    <xf numFmtId="9" fontId="0" fillId="78" borderId="0" xfId="0" applyNumberFormat="1" applyFill="1"/>
    <xf numFmtId="0" fontId="5" fillId="0" borderId="0" xfId="0" applyNumberFormat="1" applyFont="1"/>
    <xf numFmtId="164" fontId="274" fillId="0" borderId="0" xfId="0" applyNumberFormat="1" applyFont="1" applyFill="1"/>
    <xf numFmtId="1" fontId="2" fillId="0" borderId="0" xfId="0" applyNumberFormat="1" applyFont="1" applyBorder="1"/>
    <xf numFmtId="1" fontId="7" fillId="0" borderId="0" xfId="0" applyNumberFormat="1" applyFont="1" applyBorder="1"/>
    <xf numFmtId="164" fontId="7" fillId="0" borderId="96" xfId="0" applyNumberFormat="1" applyFont="1" applyBorder="1"/>
    <xf numFmtId="164" fontId="6" fillId="0" borderId="96" xfId="0" applyNumberFormat="1" applyFont="1" applyBorder="1"/>
    <xf numFmtId="0" fontId="2" fillId="17" borderId="0" xfId="0" applyFont="1" applyFill="1"/>
    <xf numFmtId="0" fontId="0" fillId="17" borderId="0" xfId="0" applyFill="1"/>
    <xf numFmtId="0" fontId="0" fillId="0" borderId="0" xfId="0" applyAlignment="1">
      <alignment horizontal="left" indent="2"/>
    </xf>
    <xf numFmtId="3" fontId="5" fillId="0" borderId="96" xfId="0" applyNumberFormat="1" applyFont="1" applyBorder="1"/>
    <xf numFmtId="174" fontId="5" fillId="0" borderId="96" xfId="0" applyNumberFormat="1" applyFont="1" applyBorder="1"/>
    <xf numFmtId="294" fontId="0" fillId="0" borderId="96" xfId="0" applyNumberFormat="1" applyBorder="1" applyAlignment="1">
      <alignment horizontal="left" indent="1"/>
    </xf>
    <xf numFmtId="294" fontId="0" fillId="0" borderId="96" xfId="0" applyNumberFormat="1" applyBorder="1"/>
    <xf numFmtId="294" fontId="4" fillId="0" borderId="0" xfId="0" applyNumberFormat="1" applyFont="1"/>
    <xf numFmtId="0" fontId="0" fillId="0" borderId="96" xfId="0" applyBorder="1" applyAlignment="1">
      <alignment horizontal="left" indent="1"/>
    </xf>
    <xf numFmtId="166" fontId="0" fillId="0" borderId="96" xfId="0" applyNumberFormat="1" applyBorder="1"/>
    <xf numFmtId="294" fontId="0" fillId="0" borderId="0" xfId="0" applyNumberFormat="1" applyBorder="1"/>
    <xf numFmtId="164" fontId="7" fillId="0" borderId="0" xfId="0" applyNumberFormat="1" applyFont="1"/>
    <xf numFmtId="172" fontId="0" fillId="78" borderId="0" xfId="0" applyNumberFormat="1" applyFill="1"/>
    <xf numFmtId="294" fontId="0" fillId="0" borderId="0" xfId="0" applyNumberFormat="1"/>
    <xf numFmtId="294" fontId="18" fillId="0" borderId="96" xfId="0" applyNumberFormat="1" applyFont="1" applyBorder="1"/>
    <xf numFmtId="164" fontId="18" fillId="0" borderId="0" xfId="0" applyNumberFormat="1" applyFont="1" applyAlignment="1">
      <alignment horizontal="right"/>
    </xf>
    <xf numFmtId="1" fontId="4" fillId="0" borderId="0" xfId="0" applyNumberFormat="1" applyFont="1" applyFill="1"/>
    <xf numFmtId="1" fontId="18" fillId="0" borderId="0" xfId="0" applyNumberFormat="1" applyFont="1" applyAlignment="1">
      <alignment horizontal="right"/>
    </xf>
    <xf numFmtId="0" fontId="2" fillId="0" borderId="96" xfId="0" applyFont="1" applyFill="1" applyBorder="1"/>
    <xf numFmtId="166" fontId="0" fillId="0" borderId="0" xfId="0" applyNumberFormat="1" applyBorder="1"/>
    <xf numFmtId="0" fontId="0" fillId="0" borderId="0" xfId="0" applyBorder="1" applyAlignment="1">
      <alignment horizontal="left" indent="1"/>
    </xf>
    <xf numFmtId="3" fontId="5" fillId="0" borderId="0" xfId="0" applyNumberFormat="1" applyFont="1" applyFill="1" applyAlignment="1">
      <alignment horizontal="left"/>
    </xf>
    <xf numFmtId="3" fontId="274" fillId="0" borderId="0" xfId="0" applyNumberFormat="1" applyFont="1" applyFill="1"/>
    <xf numFmtId="3" fontId="274" fillId="0" borderId="0" xfId="0" applyNumberFormat="1" applyFont="1" applyFill="1" applyAlignment="1">
      <alignment horizontal="right"/>
    </xf>
    <xf numFmtId="3" fontId="275" fillId="0" borderId="0" xfId="0" applyNumberFormat="1" applyFont="1" applyFill="1" applyAlignment="1">
      <alignment horizontal="right"/>
    </xf>
    <xf numFmtId="1" fontId="5" fillId="0" borderId="0" xfId="0" applyNumberFormat="1" applyFont="1" applyFill="1"/>
    <xf numFmtId="1" fontId="275" fillId="0" borderId="0" xfId="0" applyNumberFormat="1" applyFont="1" applyFill="1"/>
    <xf numFmtId="175" fontId="5" fillId="0" borderId="0" xfId="0" applyNumberFormat="1" applyFont="1" applyFill="1"/>
    <xf numFmtId="174" fontId="18" fillId="0" borderId="0" xfId="0" applyNumberFormat="1" applyFont="1" applyFill="1"/>
    <xf numFmtId="171" fontId="274" fillId="0" borderId="0" xfId="0" applyNumberFormat="1" applyFont="1" applyFill="1" applyAlignment="1">
      <alignment horizontal="left" indent="1"/>
    </xf>
    <xf numFmtId="164" fontId="275" fillId="0" borderId="0" xfId="0" applyNumberFormat="1" applyFont="1" applyFill="1"/>
    <xf numFmtId="175" fontId="274" fillId="0" borderId="0" xfId="0" applyNumberFormat="1" applyFont="1" applyFill="1"/>
    <xf numFmtId="10" fontId="5" fillId="0" borderId="0" xfId="0" applyNumberFormat="1" applyFont="1" applyFill="1"/>
    <xf numFmtId="3" fontId="7" fillId="0" borderId="96" xfId="0" applyNumberFormat="1" applyFont="1" applyFill="1" applyBorder="1" applyAlignment="1">
      <alignment horizontal="left"/>
    </xf>
    <xf numFmtId="3" fontId="6" fillId="0" borderId="96" xfId="0" applyNumberFormat="1" applyFont="1" applyFill="1" applyBorder="1" applyAlignment="1">
      <alignment horizontal="right"/>
    </xf>
    <xf numFmtId="10" fontId="7" fillId="0" borderId="96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10" fontId="7" fillId="0" borderId="0" xfId="0" applyNumberFormat="1" applyFont="1" applyFill="1" applyBorder="1"/>
    <xf numFmtId="2" fontId="274" fillId="0" borderId="0" xfId="0" applyNumberFormat="1" applyFont="1" applyFill="1"/>
    <xf numFmtId="0" fontId="24" fillId="0" borderId="0" xfId="0" applyFont="1" applyFill="1"/>
    <xf numFmtId="164" fontId="5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9" fontId="275" fillId="0" borderId="0" xfId="0" applyNumberFormat="1" applyFont="1" applyFill="1"/>
    <xf numFmtId="9" fontId="5" fillId="0" borderId="0" xfId="0" applyNumberFormat="1" applyFont="1" applyFill="1"/>
    <xf numFmtId="164" fontId="7" fillId="0" borderId="0" xfId="0" applyNumberFormat="1" applyFont="1" applyFill="1"/>
    <xf numFmtId="3" fontId="279" fillId="0" borderId="0" xfId="0" applyNumberFormat="1" applyFont="1" applyFill="1"/>
    <xf numFmtId="10" fontId="0" fillId="0" borderId="0" xfId="0" applyNumberFormat="1" applyFill="1"/>
    <xf numFmtId="167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174" fontId="0" fillId="0" borderId="0" xfId="0" applyNumberFormat="1" applyFill="1" applyAlignment="1">
      <alignment horizontal="center"/>
    </xf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World-Consumer, Cyclical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50.193729443967264</c:v>
                </c:pt>
                <c:pt idx="1">
                  <c:v>12.626832281494556</c:v>
                </c:pt>
                <c:pt idx="2">
                  <c:v>9.1372159900795022</c:v>
                </c:pt>
                <c:pt idx="3">
                  <c:v>9.2045496825498425</c:v>
                </c:pt>
                <c:pt idx="4">
                  <c:v>8.605287658317943</c:v>
                </c:pt>
                <c:pt idx="5">
                  <c:v>8.5205411300041725</c:v>
                </c:pt>
                <c:pt idx="6">
                  <c:v>7.5450656703112937</c:v>
                </c:pt>
                <c:pt idx="7">
                  <c:v>9.6210886196234515</c:v>
                </c:pt>
                <c:pt idx="8">
                  <c:v>12.106896259880505</c:v>
                </c:pt>
                <c:pt idx="9">
                  <c:v>12.588865851883696</c:v>
                </c:pt>
                <c:pt idx="10">
                  <c:v>15.037805305204124</c:v>
                </c:pt>
                <c:pt idx="11">
                  <c:v>12.095509806116453</c:v>
                </c:pt>
                <c:pt idx="12">
                  <c:v>12.363307235511565</c:v>
                </c:pt>
                <c:pt idx="13">
                  <c:v>6.2440247551393346</c:v>
                </c:pt>
                <c:pt idx="14">
                  <c:v>9.5259269039364387</c:v>
                </c:pt>
                <c:pt idx="15">
                  <c:v>11.870298169161902</c:v>
                </c:pt>
                <c:pt idx="16">
                  <c:v>11.794868876123138</c:v>
                </c:pt>
                <c:pt idx="17">
                  <c:v>12.60623361256669</c:v>
                </c:pt>
                <c:pt idx="18">
                  <c:v>12.806290402606066</c:v>
                </c:pt>
                <c:pt idx="19">
                  <c:v>13.437645135726289</c:v>
                </c:pt>
                <c:pt idx="20">
                  <c:v>12.103629698920271</c:v>
                </c:pt>
                <c:pt idx="21">
                  <c:v>12.376292303385718</c:v>
                </c:pt>
                <c:pt idx="22">
                  <c:v>12.367682419294173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STATES-Consumer, Cyclical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12.270458057754485</c:v>
                </c:pt>
                <c:pt idx="1">
                  <c:v>13.040282238947619</c:v>
                </c:pt>
                <c:pt idx="2">
                  <c:v>12.700225601558477</c:v>
                </c:pt>
                <c:pt idx="3">
                  <c:v>12.234493941336973</c:v>
                </c:pt>
                <c:pt idx="4">
                  <c:v>12.407645010004318</c:v>
                </c:pt>
                <c:pt idx="5">
                  <c:v>10.991690611774731</c:v>
                </c:pt>
                <c:pt idx="6">
                  <c:v>7.5403368376426387</c:v>
                </c:pt>
                <c:pt idx="7">
                  <c:v>12.022010781976284</c:v>
                </c:pt>
                <c:pt idx="8">
                  <c:v>15.548215523559447</c:v>
                </c:pt>
                <c:pt idx="9">
                  <c:v>14.735856874141936</c:v>
                </c:pt>
                <c:pt idx="10">
                  <c:v>15.437015582335663</c:v>
                </c:pt>
                <c:pt idx="11">
                  <c:v>13.810267181702597</c:v>
                </c:pt>
                <c:pt idx="12">
                  <c:v>4.6135465046174922</c:v>
                </c:pt>
                <c:pt idx="13">
                  <c:v>10.281157271213115</c:v>
                </c:pt>
                <c:pt idx="14">
                  <c:v>11.3496892380661</c:v>
                </c:pt>
                <c:pt idx="15">
                  <c:v>15.944426969329047</c:v>
                </c:pt>
                <c:pt idx="16">
                  <c:v>16.37637853459907</c:v>
                </c:pt>
                <c:pt idx="17">
                  <c:v>17.029399746676077</c:v>
                </c:pt>
                <c:pt idx="18">
                  <c:v>16.160081961802675</c:v>
                </c:pt>
                <c:pt idx="19">
                  <c:v>18.198735348922121</c:v>
                </c:pt>
                <c:pt idx="20">
                  <c:v>14.305613437203961</c:v>
                </c:pt>
                <c:pt idx="21">
                  <c:v>13.857168496008109</c:v>
                </c:pt>
                <c:pt idx="22">
                  <c:v>15.291544373205301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World-Retail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9.4887328969132216</c:v>
                </c:pt>
                <c:pt idx="1">
                  <c:v>13.679211228433809</c:v>
                </c:pt>
                <c:pt idx="2">
                  <c:v>9.9832273952921575</c:v>
                </c:pt>
                <c:pt idx="3">
                  <c:v>11.041506466647286</c:v>
                </c:pt>
                <c:pt idx="4">
                  <c:v>10.080741851806195</c:v>
                </c:pt>
                <c:pt idx="5">
                  <c:v>9.51872076996532</c:v>
                </c:pt>
                <c:pt idx="6">
                  <c:v>11.711392212363309</c:v>
                </c:pt>
                <c:pt idx="7">
                  <c:v>11.689429457364104</c:v>
                </c:pt>
                <c:pt idx="8">
                  <c:v>12.559230388284695</c:v>
                </c:pt>
                <c:pt idx="9">
                  <c:v>14.894431927057639</c:v>
                </c:pt>
                <c:pt idx="10">
                  <c:v>16.282045556955765</c:v>
                </c:pt>
                <c:pt idx="11">
                  <c:v>13.985420825351213</c:v>
                </c:pt>
                <c:pt idx="12">
                  <c:v>13.407793079164046</c:v>
                </c:pt>
                <c:pt idx="13">
                  <c:v>12.454332418717071</c:v>
                </c:pt>
                <c:pt idx="14">
                  <c:v>14.544960667958167</c:v>
                </c:pt>
                <c:pt idx="15">
                  <c:v>15.349706018294842</c:v>
                </c:pt>
                <c:pt idx="16">
                  <c:v>15.478215166462268</c:v>
                </c:pt>
                <c:pt idx="17">
                  <c:v>15.452968136277882</c:v>
                </c:pt>
                <c:pt idx="18">
                  <c:v>16.143355900189814</c:v>
                </c:pt>
                <c:pt idx="19">
                  <c:v>16.975683652324328</c:v>
                </c:pt>
                <c:pt idx="20">
                  <c:v>15.790479284660822</c:v>
                </c:pt>
                <c:pt idx="21">
                  <c:v>16.657087735335043</c:v>
                </c:pt>
                <c:pt idx="22">
                  <c:v>17.661964391325135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STATES-Retail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11.441943167999483</c:v>
                </c:pt>
                <c:pt idx="1">
                  <c:v>12.323718986891127</c:v>
                </c:pt>
                <c:pt idx="2">
                  <c:v>12.746270328951917</c:v>
                </c:pt>
                <c:pt idx="3">
                  <c:v>14.342529876013945</c:v>
                </c:pt>
                <c:pt idx="4">
                  <c:v>16.716142268159576</c:v>
                </c:pt>
                <c:pt idx="5">
                  <c:v>12.916850058274552</c:v>
                </c:pt>
                <c:pt idx="6">
                  <c:v>12.821398321044798</c:v>
                </c:pt>
                <c:pt idx="7">
                  <c:v>13.415223254756047</c:v>
                </c:pt>
                <c:pt idx="8">
                  <c:v>13.824616064354831</c:v>
                </c:pt>
                <c:pt idx="9">
                  <c:v>15.868815523271854</c:v>
                </c:pt>
                <c:pt idx="10">
                  <c:v>16.693003631872532</c:v>
                </c:pt>
                <c:pt idx="11">
                  <c:v>15.286396303556769</c:v>
                </c:pt>
                <c:pt idx="12">
                  <c:v>14.739713886103029</c:v>
                </c:pt>
                <c:pt idx="13">
                  <c:v>13.455896242584105</c:v>
                </c:pt>
                <c:pt idx="14">
                  <c:v>15.517895892883388</c:v>
                </c:pt>
                <c:pt idx="15">
                  <c:v>17.321956986602579</c:v>
                </c:pt>
                <c:pt idx="16">
                  <c:v>16.384633901483284</c:v>
                </c:pt>
                <c:pt idx="17">
                  <c:v>16.166641398324934</c:v>
                </c:pt>
                <c:pt idx="18">
                  <c:v>18.34439789400226</c:v>
                </c:pt>
                <c:pt idx="19">
                  <c:v>19.037053506016125</c:v>
                </c:pt>
                <c:pt idx="20">
                  <c:v>17.499752954387546</c:v>
                </c:pt>
                <c:pt idx="21">
                  <c:v>19.549359793642573</c:v>
                </c:pt>
                <c:pt idx="22">
                  <c:v>24.049235775719406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70"/>
  <sheetViews>
    <sheetView showGridLines="0" tabSelected="1" zoomScale="85" zoomScaleNormal="85" workbookViewId="0">
      <selection activeCell="D12" sqref="D12"/>
    </sheetView>
  </sheetViews>
  <sheetFormatPr defaultRowHeight="14.5" outlineLevelRow="1" outlineLevelCol="1"/>
  <cols>
    <col min="2" max="2" width="25.26953125" bestFit="1" customWidth="1"/>
    <col min="3" max="13" width="9.7265625" customWidth="1"/>
    <col min="15" max="15" width="15.7265625" customWidth="1"/>
    <col min="16" max="16" width="28.54296875" customWidth="1"/>
    <col min="18" max="18" width="24.26953125" hidden="1" customWidth="1" outlineLevel="1"/>
    <col min="19" max="41" width="9.1796875" hidden="1" customWidth="1" outlineLevel="1"/>
    <col min="42" max="42" width="9.1796875" collapsed="1"/>
  </cols>
  <sheetData>
    <row r="2" spans="2:41">
      <c r="B2" s="53" t="s">
        <v>100</v>
      </c>
      <c r="C2" s="53"/>
      <c r="D2" s="53"/>
      <c r="E2" s="53"/>
    </row>
    <row r="3" spans="2:41" ht="5.15" customHeight="1"/>
    <row r="4" spans="2:41">
      <c r="B4" s="3" t="s">
        <v>91</v>
      </c>
      <c r="C4" s="44">
        <f ca="1">TODAY()</f>
        <v>44328</v>
      </c>
    </row>
    <row r="5" spans="2:41">
      <c r="B5" s="3" t="s">
        <v>92</v>
      </c>
      <c r="C5" s="172" t="s">
        <v>243</v>
      </c>
    </row>
    <row r="6" spans="2:41">
      <c r="B6" s="3" t="s">
        <v>93</v>
      </c>
      <c r="C6" s="172" t="s">
        <v>244</v>
      </c>
    </row>
    <row r="7" spans="2:41" ht="5.15" customHeight="1"/>
    <row r="8" spans="2:41">
      <c r="B8" s="53" t="s">
        <v>88</v>
      </c>
      <c r="C8" s="53"/>
      <c r="D8" s="53"/>
      <c r="E8" s="53"/>
      <c r="G8" s="53" t="s">
        <v>58</v>
      </c>
      <c r="H8" s="54"/>
      <c r="I8" s="54"/>
      <c r="J8" s="54"/>
      <c r="K8" s="54"/>
      <c r="L8" s="54"/>
      <c r="M8" s="54"/>
      <c r="O8" s="53" t="s">
        <v>86</v>
      </c>
      <c r="P8" s="54"/>
      <c r="Q8" s="54"/>
      <c r="R8" s="16" t="s">
        <v>85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15" customHeight="1"/>
    <row r="10" spans="2:41">
      <c r="C10" s="21" t="s">
        <v>65</v>
      </c>
      <c r="D10" s="21" t="s">
        <v>65</v>
      </c>
      <c r="E10" s="21" t="s">
        <v>64</v>
      </c>
      <c r="G10" s="40"/>
      <c r="J10" s="21" t="s">
        <v>87</v>
      </c>
      <c r="K10" s="31" t="s">
        <v>59</v>
      </c>
      <c r="L10" s="31" t="s">
        <v>59</v>
      </c>
      <c r="M10" s="31" t="s">
        <v>59</v>
      </c>
      <c r="O10" s="3" t="s">
        <v>68</v>
      </c>
      <c r="P10" s="6" t="s">
        <v>76</v>
      </c>
      <c r="Q10" s="6"/>
      <c r="S10" s="6">
        <v>1996</v>
      </c>
      <c r="T10">
        <v>1997</v>
      </c>
      <c r="U10">
        <v>1998</v>
      </c>
      <c r="V10">
        <v>1999</v>
      </c>
      <c r="W10">
        <v>2000</v>
      </c>
      <c r="X10">
        <v>2001</v>
      </c>
      <c r="Y10">
        <v>2002</v>
      </c>
      <c r="Z10">
        <v>2003</v>
      </c>
      <c r="AA10">
        <v>2004</v>
      </c>
      <c r="AB10">
        <v>2005</v>
      </c>
      <c r="AC10">
        <v>2006</v>
      </c>
      <c r="AD10">
        <v>2007</v>
      </c>
      <c r="AE10">
        <v>2008</v>
      </c>
      <c r="AF10">
        <v>2009</v>
      </c>
      <c r="AG10">
        <v>2010</v>
      </c>
      <c r="AH10">
        <v>2011</v>
      </c>
      <c r="AI10">
        <v>2012</v>
      </c>
      <c r="AJ10">
        <v>2013</v>
      </c>
      <c r="AK10">
        <v>2014</v>
      </c>
      <c r="AL10">
        <v>2015</v>
      </c>
      <c r="AM10">
        <v>2016</v>
      </c>
      <c r="AN10">
        <v>2017</v>
      </c>
      <c r="AO10">
        <v>2018</v>
      </c>
    </row>
    <row r="11" spans="2:41">
      <c r="C11" s="21" t="s">
        <v>0</v>
      </c>
      <c r="D11" s="21" t="s">
        <v>66</v>
      </c>
      <c r="E11" s="34">
        <f ca="1">+C82</f>
        <v>173.03892538854288</v>
      </c>
      <c r="G11" s="40"/>
      <c r="J11" s="21" t="s">
        <v>54</v>
      </c>
      <c r="K11" s="21" t="s">
        <v>57</v>
      </c>
      <c r="L11" s="21" t="s">
        <v>56</v>
      </c>
      <c r="M11" s="21" t="s">
        <v>98</v>
      </c>
      <c r="O11" s="3" t="s">
        <v>69</v>
      </c>
      <c r="P11" s="6" t="s">
        <v>494</v>
      </c>
      <c r="Q11" s="6"/>
      <c r="R11" s="5" t="s">
        <v>618</v>
      </c>
      <c r="S11" s="4">
        <v>50.193729443967264</v>
      </c>
      <c r="T11" s="4">
        <v>12.626832281494556</v>
      </c>
      <c r="U11" s="4">
        <v>9.1372159900795022</v>
      </c>
      <c r="V11" s="4">
        <v>9.2045496825498425</v>
      </c>
      <c r="W11" s="4">
        <v>8.605287658317943</v>
      </c>
      <c r="X11" s="4">
        <v>8.5205411300041725</v>
      </c>
      <c r="Y11" s="4">
        <v>7.5450656703112937</v>
      </c>
      <c r="Z11" s="4">
        <v>9.6210886196234515</v>
      </c>
      <c r="AA11" s="4">
        <v>12.106896259880505</v>
      </c>
      <c r="AB11" s="4">
        <v>12.588865851883696</v>
      </c>
      <c r="AC11" s="4">
        <v>15.037805305204124</v>
      </c>
      <c r="AD11" s="4">
        <v>12.095509806116453</v>
      </c>
      <c r="AE11" s="4">
        <v>12.363307235511565</v>
      </c>
      <c r="AF11" s="4">
        <v>6.2440247551393346</v>
      </c>
      <c r="AG11" s="4">
        <v>9.5259269039364387</v>
      </c>
      <c r="AH11" s="4">
        <v>11.870298169161902</v>
      </c>
      <c r="AI11" s="4">
        <v>11.794868876123138</v>
      </c>
      <c r="AJ11" s="4">
        <v>12.60623361256669</v>
      </c>
      <c r="AK11" s="4">
        <v>12.806290402606066</v>
      </c>
      <c r="AL11" s="4">
        <v>13.437645135726289</v>
      </c>
      <c r="AM11" s="4">
        <v>12.103629698920271</v>
      </c>
      <c r="AN11" s="4">
        <v>12.376292303385718</v>
      </c>
      <c r="AO11" s="4">
        <v>12.367682419294173</v>
      </c>
    </row>
    <row r="12" spans="2:41" ht="15" thickBot="1">
      <c r="B12" s="3" t="s">
        <v>61</v>
      </c>
      <c r="C12" s="32">
        <f t="array" ref="C12:C14">TRANSPOSE(J23:L23)</f>
        <v>14.161171547867999</v>
      </c>
      <c r="D12" s="33">
        <f t="array" ref="D12:D14">TRANSPOSE(J36:L36)</f>
        <v>0.02</v>
      </c>
      <c r="E12" s="49">
        <f t="dataTable" ref="E12:E14" dt2D="0" dtr="0" r1="L85" ca="1"/>
        <v>149.50841556440639</v>
      </c>
      <c r="G12" s="3" t="str">
        <f>("World-"&amp;$P$10)</f>
        <v>World-Consumer, Cyclical</v>
      </c>
      <c r="J12" s="42">
        <v>232.30434782608697</v>
      </c>
      <c r="K12" s="43">
        <v>0.13959944077420991</v>
      </c>
      <c r="L12" s="43">
        <v>0.12816503791817582</v>
      </c>
      <c r="M12" s="43">
        <v>0.58406343998581367</v>
      </c>
      <c r="O12" s="3" t="s">
        <v>70</v>
      </c>
      <c r="P12" s="6" t="s">
        <v>81</v>
      </c>
      <c r="Q12" s="6"/>
      <c r="R12" s="5" t="s">
        <v>619</v>
      </c>
      <c r="S12" s="4">
        <v>12.270458057754485</v>
      </c>
      <c r="T12" s="4">
        <v>13.040282238947619</v>
      </c>
      <c r="U12" s="4">
        <v>12.700225601558477</v>
      </c>
      <c r="V12" s="4">
        <v>12.234493941336973</v>
      </c>
      <c r="W12" s="4">
        <v>12.407645010004318</v>
      </c>
      <c r="X12" s="4">
        <v>10.991690611774731</v>
      </c>
      <c r="Y12" s="4">
        <v>7.5403368376426387</v>
      </c>
      <c r="Z12" s="4">
        <v>12.022010781976284</v>
      </c>
      <c r="AA12" s="4">
        <v>15.548215523559447</v>
      </c>
      <c r="AB12" s="4">
        <v>14.735856874141936</v>
      </c>
      <c r="AC12" s="4">
        <v>15.437015582335663</v>
      </c>
      <c r="AD12" s="4">
        <v>13.810267181702597</v>
      </c>
      <c r="AE12" s="4">
        <v>4.6135465046174922</v>
      </c>
      <c r="AF12" s="4">
        <v>10.281157271213115</v>
      </c>
      <c r="AG12" s="4">
        <v>11.3496892380661</v>
      </c>
      <c r="AH12" s="4">
        <v>15.944426969329047</v>
      </c>
      <c r="AI12" s="4">
        <v>16.37637853459907</v>
      </c>
      <c r="AJ12" s="4">
        <v>17.029399746676077</v>
      </c>
      <c r="AK12" s="4">
        <v>16.160081961802675</v>
      </c>
      <c r="AL12" s="4">
        <v>18.198735348922121</v>
      </c>
      <c r="AM12" s="4">
        <v>14.305613437203961</v>
      </c>
      <c r="AN12" s="4">
        <v>13.857168496008109</v>
      </c>
      <c r="AO12" s="4">
        <v>15.291544373205301</v>
      </c>
    </row>
    <row r="13" spans="2:41" ht="15" thickBot="1">
      <c r="B13" s="3" t="s">
        <v>63</v>
      </c>
      <c r="C13" s="32">
        <v>17.788385540929653</v>
      </c>
      <c r="D13" s="33">
        <v>3.5000000000000003E-2</v>
      </c>
      <c r="E13" s="152">
        <v>173.30472522875345</v>
      </c>
      <c r="G13" s="3" t="str">
        <f>($P$12&amp;"-"&amp;$P$10)</f>
        <v>UNITED STATES-Consumer, Cyclical</v>
      </c>
      <c r="J13" s="42">
        <v>69.086956521739125</v>
      </c>
      <c r="K13" s="43">
        <v>0.19116856254316492</v>
      </c>
      <c r="L13" s="43">
        <v>0.13310706092364272</v>
      </c>
      <c r="M13" s="43">
        <v>0.21957157165601782</v>
      </c>
      <c r="O13" s="3" t="s">
        <v>72</v>
      </c>
      <c r="P13" s="6" t="s">
        <v>55</v>
      </c>
      <c r="Q13" s="6"/>
      <c r="R13" s="5" t="s">
        <v>620</v>
      </c>
      <c r="S13" s="4">
        <v>9.4887328969132216</v>
      </c>
      <c r="T13" s="4">
        <v>13.679211228433809</v>
      </c>
      <c r="U13" s="4">
        <v>9.9832273952921575</v>
      </c>
      <c r="V13" s="4">
        <v>11.041506466647286</v>
      </c>
      <c r="W13" s="4">
        <v>10.080741851806195</v>
      </c>
      <c r="X13" s="4">
        <v>9.51872076996532</v>
      </c>
      <c r="Y13" s="4">
        <v>11.711392212363309</v>
      </c>
      <c r="Z13" s="4">
        <v>11.689429457364104</v>
      </c>
      <c r="AA13" s="4">
        <v>12.559230388284695</v>
      </c>
      <c r="AB13" s="4">
        <v>14.894431927057639</v>
      </c>
      <c r="AC13" s="4">
        <v>16.282045556955765</v>
      </c>
      <c r="AD13" s="4">
        <v>13.985420825351213</v>
      </c>
      <c r="AE13" s="4">
        <v>13.407793079164046</v>
      </c>
      <c r="AF13" s="4">
        <v>12.454332418717071</v>
      </c>
      <c r="AG13" s="4">
        <v>14.544960667958167</v>
      </c>
      <c r="AH13" s="4">
        <v>15.349706018294842</v>
      </c>
      <c r="AI13" s="4">
        <v>15.478215166462268</v>
      </c>
      <c r="AJ13" s="4">
        <v>15.452968136277882</v>
      </c>
      <c r="AK13" s="4">
        <v>16.143355900189814</v>
      </c>
      <c r="AL13" s="4">
        <v>16.975683652324328</v>
      </c>
      <c r="AM13" s="4">
        <v>15.790479284660822</v>
      </c>
      <c r="AN13" s="4">
        <v>16.657087735335043</v>
      </c>
      <c r="AO13" s="4">
        <v>17.661964391325135</v>
      </c>
    </row>
    <row r="14" spans="2:41">
      <c r="B14" s="3" t="s">
        <v>62</v>
      </c>
      <c r="C14" s="32">
        <v>25.957485065462546</v>
      </c>
      <c r="D14" s="33">
        <v>0.05</v>
      </c>
      <c r="E14" s="49">
        <v>227.49326642897114</v>
      </c>
      <c r="G14" s="3" t="str">
        <f>("World-"&amp;$P$11)</f>
        <v>World-Retail</v>
      </c>
      <c r="J14" s="42">
        <v>74.304347826086953</v>
      </c>
      <c r="K14" s="43">
        <v>0.18084317318247131</v>
      </c>
      <c r="L14" s="43">
        <v>0.13688288583788874</v>
      </c>
      <c r="M14" s="43">
        <v>0.30059551527872613</v>
      </c>
      <c r="R14" s="5" t="s">
        <v>621</v>
      </c>
      <c r="S14" s="4">
        <v>11.441943167999483</v>
      </c>
      <c r="T14" s="4">
        <v>12.323718986891127</v>
      </c>
      <c r="U14" s="4">
        <v>12.746270328951917</v>
      </c>
      <c r="V14" s="4">
        <v>14.342529876013945</v>
      </c>
      <c r="W14" s="4">
        <v>16.716142268159576</v>
      </c>
      <c r="X14" s="4">
        <v>12.916850058274552</v>
      </c>
      <c r="Y14" s="4">
        <v>12.821398321044798</v>
      </c>
      <c r="Z14" s="4">
        <v>13.415223254756047</v>
      </c>
      <c r="AA14" s="4">
        <v>13.824616064354831</v>
      </c>
      <c r="AB14" s="4">
        <v>15.868815523271854</v>
      </c>
      <c r="AC14" s="4">
        <v>16.693003631872532</v>
      </c>
      <c r="AD14" s="4">
        <v>15.286396303556769</v>
      </c>
      <c r="AE14" s="4">
        <v>14.739713886103029</v>
      </c>
      <c r="AF14" s="4">
        <v>13.455896242584105</v>
      </c>
      <c r="AG14" s="4">
        <v>15.517895892883388</v>
      </c>
      <c r="AH14" s="4">
        <v>17.321956986602579</v>
      </c>
      <c r="AI14" s="4">
        <v>16.384633901483284</v>
      </c>
      <c r="AJ14" s="4">
        <v>16.166641398324934</v>
      </c>
      <c r="AK14" s="4">
        <v>18.34439789400226</v>
      </c>
      <c r="AL14" s="4">
        <v>19.037053506016125</v>
      </c>
      <c r="AM14" s="4">
        <v>17.499752954387546</v>
      </c>
      <c r="AN14" s="4">
        <v>19.549359793642573</v>
      </c>
      <c r="AO14" s="4">
        <v>24.049235775719406</v>
      </c>
    </row>
    <row r="15" spans="2:41">
      <c r="G15" s="3" t="str">
        <f>($P$12&amp;"-"&amp;$P$11)</f>
        <v>UNITED STATES-Retail</v>
      </c>
      <c r="J15" s="42">
        <v>32.260869565217391</v>
      </c>
      <c r="K15" s="43">
        <v>0.21826970310844346</v>
      </c>
      <c r="L15" s="43">
        <v>0.15672323739865071</v>
      </c>
      <c r="M15" s="43">
        <v>4.9968020946565661E-2</v>
      </c>
    </row>
    <row r="16" spans="2:41">
      <c r="G16" s="3" t="s">
        <v>60</v>
      </c>
      <c r="J16" s="133">
        <f>COUNTA(Model!L447:AB447)</f>
        <v>17</v>
      </c>
      <c r="K16" s="134">
        <f>AVERAGE(Model!L452:AB452)</f>
        <v>0.16598561842756787</v>
      </c>
      <c r="L16" s="134">
        <f>AVERAGE(Model!L447:AB447)</f>
        <v>0.11126645352359821</v>
      </c>
      <c r="M16" s="135">
        <f>-SUM(Model!L253:AB254)/SUM(Model!L218:AB218)</f>
        <v>0.30689469126158758</v>
      </c>
    </row>
    <row r="17" spans="2:22">
      <c r="G17" s="3" t="s">
        <v>84</v>
      </c>
      <c r="J17" s="159" t="s">
        <v>41</v>
      </c>
      <c r="K17" s="159" t="s">
        <v>41</v>
      </c>
      <c r="L17" s="50">
        <f>+K40</f>
        <v>0.12605318543679911</v>
      </c>
      <c r="M17" s="50">
        <f ca="1">IFERROR(-M65/M61,"na")</f>
        <v>0.18021726147052286</v>
      </c>
    </row>
    <row r="18" spans="2:22" ht="5.15" customHeight="1"/>
    <row r="19" spans="2:22">
      <c r="B19" s="53" t="s">
        <v>11</v>
      </c>
      <c r="C19" s="54"/>
      <c r="D19" s="54"/>
      <c r="E19" s="54"/>
      <c r="G19" s="53" t="s">
        <v>48</v>
      </c>
      <c r="H19" s="54"/>
      <c r="I19" s="54"/>
      <c r="J19" s="54"/>
      <c r="K19" s="54"/>
      <c r="L19" s="54"/>
      <c r="M19" s="54"/>
    </row>
    <row r="20" spans="2:22" ht="5.15" customHeight="1"/>
    <row r="21" spans="2:22">
      <c r="B21" t="s">
        <v>30</v>
      </c>
      <c r="C21" s="40">
        <v>2022</v>
      </c>
      <c r="J21" s="21" t="s">
        <v>42</v>
      </c>
      <c r="K21" s="222" t="s">
        <v>43</v>
      </c>
      <c r="L21" s="222" t="s">
        <v>44</v>
      </c>
    </row>
    <row r="22" spans="2:22">
      <c r="B22" t="s">
        <v>31</v>
      </c>
      <c r="C22" s="52">
        <v>0.02</v>
      </c>
      <c r="G22" t="s">
        <v>53</v>
      </c>
      <c r="J22" s="35">
        <f>+J36</f>
        <v>0.02</v>
      </c>
      <c r="K22" s="223">
        <f>+K36</f>
        <v>3.5000000000000003E-2</v>
      </c>
      <c r="L22" s="223">
        <f>+L36</f>
        <v>0.05</v>
      </c>
    </row>
    <row r="23" spans="2:22">
      <c r="B23" t="s">
        <v>32</v>
      </c>
      <c r="C23" s="52">
        <v>0.06</v>
      </c>
      <c r="G23" s="36" t="s">
        <v>0</v>
      </c>
      <c r="H23" s="36"/>
      <c r="I23" s="37">
        <f ca="1">+$L$83</f>
        <v>17.80984367218888</v>
      </c>
      <c r="J23" s="38">
        <f t="dataTable" ref="J23:L23" dt2D="0" dtr="1" r1="L85" ca="1"/>
        <v>14.161171547867999</v>
      </c>
      <c r="K23" s="224">
        <v>17.788385540929653</v>
      </c>
      <c r="L23" s="224">
        <v>25.957485065462546</v>
      </c>
    </row>
    <row r="24" spans="2:22">
      <c r="B24" t="s">
        <v>3</v>
      </c>
      <c r="C24" s="181">
        <v>1</v>
      </c>
      <c r="G24" s="36"/>
      <c r="H24" s="36"/>
      <c r="I24" s="36"/>
      <c r="J24" s="39"/>
      <c r="K24" s="39"/>
      <c r="L24" s="39"/>
    </row>
    <row r="25" spans="2:22">
      <c r="B25" t="s">
        <v>2</v>
      </c>
      <c r="C25" s="1">
        <f>+C22+C23*C24</f>
        <v>0.08</v>
      </c>
      <c r="G25" s="53" t="s">
        <v>233</v>
      </c>
      <c r="H25" s="54"/>
      <c r="I25" s="54"/>
      <c r="J25" s="54"/>
      <c r="K25" s="54"/>
      <c r="L25" s="54"/>
      <c r="M25" s="54"/>
    </row>
    <row r="26" spans="2:22">
      <c r="B26" t="s">
        <v>33</v>
      </c>
      <c r="C26" s="17">
        <v>4.4999999999999998E-2</v>
      </c>
      <c r="G26" s="163" t="s">
        <v>234</v>
      </c>
      <c r="H26" s="36"/>
      <c r="I26" s="36"/>
      <c r="J26" s="36"/>
      <c r="K26" s="38">
        <f ca="1">+Model!AK341</f>
        <v>1.455555555555555</v>
      </c>
      <c r="L26" s="36"/>
      <c r="M26" s="36"/>
    </row>
    <row r="27" spans="2:22">
      <c r="B27" t="s">
        <v>97</v>
      </c>
      <c r="C27" s="52">
        <v>0.02</v>
      </c>
      <c r="G27" s="163" t="s">
        <v>235</v>
      </c>
      <c r="H27" s="36"/>
      <c r="I27" s="36"/>
      <c r="J27" s="36"/>
      <c r="K27" s="43">
        <f ca="1">IFERROR((-L76)/L75,0.1)</f>
        <v>0.12609715384443809</v>
      </c>
      <c r="L27" s="36"/>
      <c r="M27" s="36"/>
    </row>
    <row r="28" spans="2:22">
      <c r="B28" t="s">
        <v>99</v>
      </c>
      <c r="C28" s="17">
        <v>0.02</v>
      </c>
      <c r="G28" s="163" t="s">
        <v>232</v>
      </c>
      <c r="H28" s="36"/>
      <c r="I28" s="36"/>
      <c r="J28" s="36"/>
      <c r="K28" s="218">
        <f ca="1">+K27*C33+D37*C26+(1-K27-D37)*C25</f>
        <v>7.3745581169315871E-2</v>
      </c>
      <c r="L28" s="36"/>
      <c r="M28" s="36"/>
    </row>
    <row r="29" spans="2:22">
      <c r="B29" t="s">
        <v>34</v>
      </c>
      <c r="C29" s="48">
        <f>+C27+C28</f>
        <v>0.04</v>
      </c>
      <c r="G29" s="36"/>
      <c r="H29" s="36"/>
      <c r="I29" s="36"/>
      <c r="J29" s="36"/>
      <c r="K29" s="36"/>
      <c r="L29" s="36"/>
      <c r="M29" s="36"/>
      <c r="O29" s="3"/>
      <c r="P29" s="24"/>
      <c r="Q29" s="24"/>
      <c r="R29" s="24"/>
      <c r="S29" s="24"/>
      <c r="T29" s="24"/>
      <c r="U29" s="24"/>
      <c r="V29" s="24"/>
    </row>
    <row r="30" spans="2:22" ht="5.15" customHeight="1">
      <c r="C30" s="124"/>
      <c r="G30" s="36"/>
      <c r="H30" s="36"/>
      <c r="I30" s="36"/>
      <c r="J30" s="36"/>
      <c r="K30" s="36"/>
      <c r="L30" s="36"/>
      <c r="M30" s="36"/>
      <c r="P30" s="24"/>
    </row>
    <row r="31" spans="2:22">
      <c r="B31" t="s">
        <v>5</v>
      </c>
      <c r="C31" s="173">
        <v>0.24</v>
      </c>
      <c r="G31" s="53" t="s">
        <v>49</v>
      </c>
      <c r="H31" s="54"/>
      <c r="I31" s="54"/>
      <c r="J31" s="54"/>
      <c r="K31" s="54"/>
      <c r="L31" s="54"/>
      <c r="M31" s="54"/>
      <c r="O31" s="3"/>
      <c r="P31" s="24"/>
      <c r="Q31" s="24"/>
      <c r="R31" s="24"/>
      <c r="S31" s="24"/>
      <c r="T31" s="24"/>
      <c r="U31" s="24"/>
      <c r="V31" s="24"/>
    </row>
    <row r="32" spans="2:22" ht="5.15" customHeight="1"/>
    <row r="33" spans="2:22">
      <c r="B33" t="s">
        <v>35</v>
      </c>
      <c r="C33" s="136">
        <f>+C29*(1-C31)</f>
        <v>3.04E-2</v>
      </c>
      <c r="J33" s="21" t="s">
        <v>42</v>
      </c>
      <c r="K33" s="22" t="s">
        <v>43</v>
      </c>
      <c r="L33" s="21" t="s">
        <v>44</v>
      </c>
    </row>
    <row r="34" spans="2:22">
      <c r="B34" t="s">
        <v>22</v>
      </c>
      <c r="C34" s="137">
        <f>+C81</f>
        <v>165.13300000000001</v>
      </c>
      <c r="D34" s="14"/>
      <c r="G34" t="s">
        <v>31</v>
      </c>
      <c r="I34" s="29"/>
      <c r="J34" s="30">
        <f>+$C$22</f>
        <v>0.02</v>
      </c>
      <c r="K34" s="25">
        <f>+$C$22</f>
        <v>0.02</v>
      </c>
      <c r="L34" s="30">
        <f>+$C$22</f>
        <v>0.02</v>
      </c>
      <c r="M34" s="27"/>
    </row>
    <row r="35" spans="2:22">
      <c r="B35" t="s">
        <v>36</v>
      </c>
      <c r="C35" s="214">
        <v>123</v>
      </c>
      <c r="D35" s="14"/>
      <c r="E35" s="200"/>
      <c r="G35" t="s">
        <v>96</v>
      </c>
      <c r="I35" s="29"/>
      <c r="J35" s="179">
        <v>0</v>
      </c>
      <c r="K35" s="180">
        <v>1.4999999999999999E-2</v>
      </c>
      <c r="L35" s="179">
        <v>0.03</v>
      </c>
      <c r="M35" s="27"/>
    </row>
    <row r="36" spans="2:22">
      <c r="B36" t="s">
        <v>21</v>
      </c>
      <c r="C36" s="7">
        <f>+C35*C34</f>
        <v>20311.359</v>
      </c>
      <c r="D36" s="14">
        <f>+C36/SUM($C$36:$C$38)</f>
        <v>0.92042712574191732</v>
      </c>
      <c r="G36" t="s">
        <v>53</v>
      </c>
      <c r="I36" s="29"/>
      <c r="J36" s="174">
        <f>+J34+J35</f>
        <v>0.02</v>
      </c>
      <c r="K36" s="175">
        <f>+K34+K35</f>
        <v>3.5000000000000003E-2</v>
      </c>
      <c r="L36" s="174">
        <f>+L34+L35</f>
        <v>0.05</v>
      </c>
      <c r="M36" s="27"/>
    </row>
    <row r="37" spans="2:22">
      <c r="B37" t="s">
        <v>37</v>
      </c>
      <c r="C37" s="138">
        <f>-C77</f>
        <v>0</v>
      </c>
      <c r="D37" s="14">
        <f>+C37/SUM($C$36:$C$38)</f>
        <v>0</v>
      </c>
      <c r="G37" t="s">
        <v>89</v>
      </c>
      <c r="I37" s="27"/>
      <c r="J37" s="45">
        <f>+J36/J40</f>
        <v>0.19791558191412428</v>
      </c>
      <c r="K37" s="46">
        <f>+K36/K40</f>
        <v>0.27766057540488254</v>
      </c>
      <c r="L37" s="47">
        <f>+L36/L40</f>
        <v>0.33100923926506731</v>
      </c>
      <c r="M37" s="27"/>
    </row>
    <row r="38" spans="2:22">
      <c r="B38" t="s">
        <v>38</v>
      </c>
      <c r="C38" s="139">
        <f>-C76</f>
        <v>1755.9599999999998</v>
      </c>
      <c r="D38" s="14">
        <f>+C38/SUM($C$36:$C$38)</f>
        <v>7.9572874258082724E-2</v>
      </c>
      <c r="G38" t="s">
        <v>51</v>
      </c>
      <c r="I38" s="27"/>
      <c r="J38" s="28">
        <f>+$C$42</f>
        <v>7.6053185436799092E-2</v>
      </c>
      <c r="K38" s="25">
        <f>+$C$42</f>
        <v>7.6053185436799092E-2</v>
      </c>
      <c r="L38" s="26">
        <f>+$C$42</f>
        <v>7.6053185436799092E-2</v>
      </c>
      <c r="M38" s="27"/>
    </row>
    <row r="39" spans="2:22" ht="15.75" customHeight="1">
      <c r="G39" t="s">
        <v>52</v>
      </c>
      <c r="I39" s="27"/>
      <c r="J39" s="176">
        <v>2.5000000000000001E-2</v>
      </c>
      <c r="K39" s="177">
        <v>0.05</v>
      </c>
      <c r="L39" s="178">
        <v>7.4999999999999997E-2</v>
      </c>
      <c r="M39" s="27"/>
    </row>
    <row r="40" spans="2:22" ht="15" thickBot="1">
      <c r="B40" t="s">
        <v>11</v>
      </c>
      <c r="C40" s="18">
        <f>+(D36*C25)+(D37*C26)+(C33*D38)</f>
        <v>7.6053185436799092E-2</v>
      </c>
      <c r="G40" s="2" t="s">
        <v>67</v>
      </c>
      <c r="H40" s="2"/>
      <c r="I40" s="2"/>
      <c r="J40" s="23">
        <f>+J39+J38</f>
        <v>0.10105318543679909</v>
      </c>
      <c r="K40" s="23">
        <f>+K39+K38</f>
        <v>0.12605318543679911</v>
      </c>
      <c r="L40" s="23">
        <f>+L39+L38</f>
        <v>0.15105318543679908</v>
      </c>
    </row>
    <row r="41" spans="2:22" ht="15" thickBot="1">
      <c r="B41" t="s">
        <v>39</v>
      </c>
      <c r="C41" s="19"/>
      <c r="G41" s="3" t="s">
        <v>90</v>
      </c>
      <c r="J41" s="35">
        <f ca="1">(18.94-23.62*(-$M$65/$M$61)+12.19*((-$M$65/$M$61)^2))/100</f>
        <v>0.15079178289702536</v>
      </c>
      <c r="K41" s="35">
        <f ca="1">(18.94-23.62*(-$M$65/$M$61)+12.19*((-$M$65/$M$61)^2))/100</f>
        <v>0.15079178289702536</v>
      </c>
      <c r="L41" s="35">
        <f ca="1">(18.94-23.62*(-$M$65/$M$61)+12.19*((-$M$65/$M$61)^2))/100</f>
        <v>0.15079178289702536</v>
      </c>
    </row>
    <row r="42" spans="2:22">
      <c r="B42" t="s">
        <v>40</v>
      </c>
      <c r="C42" s="20">
        <f>+IF(ISBLANK(C41)=TRUE,C40,C41)</f>
        <v>7.6053185436799092E-2</v>
      </c>
      <c r="O42" s="3"/>
      <c r="P42" s="24"/>
      <c r="Q42" s="24"/>
      <c r="R42" s="24"/>
      <c r="S42" s="24"/>
      <c r="T42" s="24"/>
      <c r="U42" s="24"/>
      <c r="V42" s="24"/>
    </row>
    <row r="43" spans="2:22" ht="5.15" customHeight="1"/>
    <row r="44" spans="2:22">
      <c r="B44" s="53" t="s">
        <v>29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2:22" ht="5.15" customHeight="1"/>
    <row r="46" spans="2:22">
      <c r="B46" s="5" t="s">
        <v>11</v>
      </c>
      <c r="C46" s="217">
        <f>+C42</f>
        <v>7.6053185436799092E-2</v>
      </c>
      <c r="D46" s="217">
        <f ca="1">C46-($C$46-$L$46)/8</f>
        <v>7.5764734903368075E-2</v>
      </c>
      <c r="E46" s="217">
        <f t="shared" ref="E46:K46" ca="1" si="0">D46-($C$46-$L$46)/8</f>
        <v>7.5476284369937058E-2</v>
      </c>
      <c r="F46" s="217">
        <f t="shared" ca="1" si="0"/>
        <v>7.5187833836506041E-2</v>
      </c>
      <c r="G46" s="217">
        <f t="shared" ca="1" si="0"/>
        <v>7.4899383303075023E-2</v>
      </c>
      <c r="H46" s="217">
        <f t="shared" ca="1" si="0"/>
        <v>7.4610932769644006E-2</v>
      </c>
      <c r="I46" s="217">
        <f t="shared" ca="1" si="0"/>
        <v>7.4322482236212989E-2</v>
      </c>
      <c r="J46" s="217">
        <f t="shared" ca="1" si="0"/>
        <v>7.4034031702781972E-2</v>
      </c>
      <c r="K46" s="217">
        <f t="shared" ca="1" si="0"/>
        <v>7.3745581169350954E-2</v>
      </c>
      <c r="L46" s="52">
        <f ca="1">IF($C$41&gt;0,$C$41,K28)</f>
        <v>7.3745581169315871E-2</v>
      </c>
      <c r="M46" s="217">
        <f ca="1">+L46</f>
        <v>7.3745581169315871E-2</v>
      </c>
    </row>
    <row r="47" spans="2:22">
      <c r="B47" s="5" t="s">
        <v>14</v>
      </c>
      <c r="C47" s="263">
        <f ca="1">+YEAR(TODAY())-$C$21+(DAY(TODAY())+MONTH(TODAY())*30-30+300)/365</f>
        <v>0.18356164383561646</v>
      </c>
      <c r="D47" t="s">
        <v>615</v>
      </c>
    </row>
    <row r="48" spans="2:22">
      <c r="B48" t="s">
        <v>13</v>
      </c>
      <c r="C48" s="219">
        <v>0.5</v>
      </c>
      <c r="D48" s="36"/>
      <c r="O48" s="15"/>
      <c r="P48" s="15"/>
      <c r="Q48" s="15"/>
      <c r="R48" s="15"/>
      <c r="S48" s="15"/>
      <c r="T48" s="15"/>
      <c r="U48" s="15"/>
      <c r="V48" s="15"/>
    </row>
    <row r="49" spans="2:16383" ht="5.15" customHeight="1"/>
    <row r="50" spans="2:16383">
      <c r="B50" s="55" t="s">
        <v>9</v>
      </c>
      <c r="C50" s="55">
        <v>1</v>
      </c>
      <c r="D50" s="55">
        <f t="shared" ref="D50:M50" si="1">+C50+1</f>
        <v>2</v>
      </c>
      <c r="E50" s="55">
        <f t="shared" si="1"/>
        <v>3</v>
      </c>
      <c r="F50" s="55">
        <f t="shared" si="1"/>
        <v>4</v>
      </c>
      <c r="G50" s="55">
        <f t="shared" si="1"/>
        <v>5</v>
      </c>
      <c r="H50" s="55">
        <f t="shared" si="1"/>
        <v>6</v>
      </c>
      <c r="I50" s="55">
        <f t="shared" si="1"/>
        <v>7</v>
      </c>
      <c r="J50" s="55">
        <f t="shared" si="1"/>
        <v>8</v>
      </c>
      <c r="K50" s="55">
        <f t="shared" si="1"/>
        <v>9</v>
      </c>
      <c r="L50" s="55">
        <f t="shared" si="1"/>
        <v>10</v>
      </c>
      <c r="M50" s="55">
        <f t="shared" si="1"/>
        <v>11</v>
      </c>
    </row>
    <row r="51" spans="2:16383">
      <c r="B51" s="55" t="s">
        <v>8</v>
      </c>
      <c r="C51" s="55">
        <f>+C21</f>
        <v>2022</v>
      </c>
      <c r="D51" s="55">
        <f>+C51+1</f>
        <v>2023</v>
      </c>
      <c r="E51" s="55">
        <f t="shared" ref="E51:L51" si="2">+D51+1</f>
        <v>2024</v>
      </c>
      <c r="F51" s="55">
        <f t="shared" si="2"/>
        <v>2025</v>
      </c>
      <c r="G51" s="55">
        <f>+F51+1</f>
        <v>2026</v>
      </c>
      <c r="H51" s="55">
        <f t="shared" si="2"/>
        <v>2027</v>
      </c>
      <c r="I51" s="55">
        <f t="shared" si="2"/>
        <v>2028</v>
      </c>
      <c r="J51" s="55">
        <f t="shared" si="2"/>
        <v>2029</v>
      </c>
      <c r="K51" s="55">
        <f t="shared" si="2"/>
        <v>2030</v>
      </c>
      <c r="L51" s="55">
        <f t="shared" si="2"/>
        <v>2031</v>
      </c>
      <c r="M51" s="55">
        <f>+L51+1</f>
        <v>2032</v>
      </c>
      <c r="O51" s="15"/>
      <c r="P51" s="15"/>
      <c r="Q51" s="15"/>
      <c r="R51" s="15"/>
      <c r="S51" s="15"/>
      <c r="T51" s="15"/>
      <c r="U51" s="15"/>
      <c r="V51" s="15"/>
    </row>
    <row r="52" spans="2:16383" ht="5.15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28">
        <f ca="1">+INDEX(Model!$A:$AP,MATCH("EPS",Model!$A:$A,0),MATCH(DCF!C$51,Model!$3:$3,0))</f>
        <v>5.7551253701407097</v>
      </c>
      <c r="D53" s="128">
        <f ca="1">+INDEX(Model!$A:$AP,MATCH("EPS",Model!$A:$A,0),MATCH(DCF!D$51,Model!$3:$3,0))</f>
        <v>6.7144864400221769</v>
      </c>
      <c r="E53" s="128">
        <f ca="1">+INDEX(Model!$A:$AP,MATCH("EPS",Model!$A:$A,0),MATCH(DCF!E$51,Model!$3:$3,0))</f>
        <v>7.5834864557750885</v>
      </c>
      <c r="F53" s="128">
        <f ca="1">+INDEX(Model!$A:$AP,MATCH("EPS",Model!$A:$A,0),MATCH(DCF!F$51,Model!$3:$3,0))</f>
        <v>8.7074697197851485</v>
      </c>
      <c r="G53" s="128">
        <f ca="1">+INDEX(Model!$A:$AP,MATCH("EPS",Model!$A:$A,0),MATCH(DCF!G$51,Model!$3:$3,0))</f>
        <v>9.9620812077307104</v>
      </c>
      <c r="H53" s="128">
        <f ca="1">+INDEX(Model!$A:$AP,MATCH("EPS",Model!$A:$A,0),MATCH(DCF!H$51,Model!$3:$3,0))</f>
        <v>11.290458122069285</v>
      </c>
      <c r="I53" s="128">
        <f ca="1">+INDEX(Model!$A:$AP,MATCH("EPS",Model!$A:$A,0),MATCH(DCF!I$51,Model!$3:$3,0))</f>
        <v>12.731216733213985</v>
      </c>
      <c r="J53" s="128">
        <f ca="1">+INDEX(Model!$A:$AP,MATCH("EPS",Model!$A:$A,0),MATCH(DCF!J$51,Model!$3:$3,0))</f>
        <v>14.453228553462369</v>
      </c>
      <c r="K53" s="128">
        <f ca="1">+INDEX(Model!$A:$AP,MATCH("EPS",Model!$A:$A,0),MATCH(DCF!K$51,Model!$3:$3,0))</f>
        <v>16.381959349436375</v>
      </c>
      <c r="L53" s="128">
        <f ca="1">+INDEX(Model!$A:$AP,MATCH("EPS",Model!$A:$A,0),MATCH(DCF!L$51,Model!$3:$3,0))</f>
        <v>18.492056974724274</v>
      </c>
      <c r="M53" s="199">
        <f ca="1">+L53*(1+$K$36)</f>
        <v>19.139278968839623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56" t="s">
        <v>27</v>
      </c>
      <c r="C54" s="129"/>
      <c r="D54" s="131">
        <f ca="1">IFERROR(D53/C53-1,"na")</f>
        <v>0.16669681513089452</v>
      </c>
      <c r="E54" s="131">
        <f t="shared" ref="E54:M54" ca="1" si="3">IFERROR(E53/D53-1,"na")</f>
        <v>0.12942166515865972</v>
      </c>
      <c r="F54" s="131">
        <f t="shared" ca="1" si="3"/>
        <v>0.14821458053163772</v>
      </c>
      <c r="G54" s="131">
        <f t="shared" ca="1" si="3"/>
        <v>0.14408450770662218</v>
      </c>
      <c r="H54" s="131">
        <f t="shared" ca="1" si="3"/>
        <v>0.13334331317312853</v>
      </c>
      <c r="I54" s="131">
        <f t="shared" ca="1" si="3"/>
        <v>0.12760851646298321</v>
      </c>
      <c r="J54" s="131">
        <f t="shared" ca="1" si="3"/>
        <v>0.13525901383454508</v>
      </c>
      <c r="K54" s="131">
        <f t="shared" ca="1" si="3"/>
        <v>0.13344636382380926</v>
      </c>
      <c r="L54" s="131">
        <f t="shared" ca="1" si="3"/>
        <v>0.12880618125575416</v>
      </c>
      <c r="M54" s="131">
        <f t="shared" ca="1" si="3"/>
        <v>3.499999999999992E-2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217</v>
      </c>
      <c r="C55" s="130">
        <f ca="1">+INDEX(Model!$A:$AP,MATCH("Gross Revenue",Model!$A:$A,0),MATCH(DCF!C$51,Model!$3:$3,0))</f>
        <v>23576.853044347881</v>
      </c>
      <c r="D55" s="130">
        <f ca="1">+INDEX(Model!$A:$AP,MATCH("Gross Revenue",Model!$A:$A,0),MATCH(DCF!D$51,Model!$3:$3,0))</f>
        <v>25364.700219572529</v>
      </c>
      <c r="E55" s="130">
        <f ca="1">+INDEX(Model!$A:$AP,MATCH("Gross Revenue",Model!$A:$A,0),MATCH(DCF!E$51,Model!$3:$3,0))</f>
        <v>27470.385186803585</v>
      </c>
      <c r="F55" s="130">
        <f ca="1">+INDEX(Model!$A:$AP,MATCH("Gross Revenue",Model!$A:$A,0),MATCH(DCF!F$51,Model!$3:$3,0))</f>
        <v>29789.2798998365</v>
      </c>
      <c r="G55" s="130">
        <f ca="1">+INDEX(Model!$A:$AP,MATCH("Gross Revenue",Model!$A:$A,0),MATCH(DCF!G$51,Model!$3:$3,0))</f>
        <v>32253.039491216939</v>
      </c>
      <c r="H55" s="130">
        <f ca="1">+INDEX(Model!$A:$AP,MATCH("Gross Revenue",Model!$A:$A,0),MATCH(DCF!H$51,Model!$3:$3,0))</f>
        <v>34884.583898200457</v>
      </c>
      <c r="I55" s="130">
        <f ca="1">+INDEX(Model!$A:$AP,MATCH("Gross Revenue",Model!$A:$A,0),MATCH(DCF!I$51,Model!$3:$3,0))</f>
        <v>37688.385413367141</v>
      </c>
      <c r="J55" s="130">
        <f ca="1">+INDEX(Model!$A:$AP,MATCH("Gross Revenue",Model!$A:$A,0),MATCH(DCF!J$51,Model!$3:$3,0))</f>
        <v>40675.645736750506</v>
      </c>
      <c r="K55" s="130">
        <f ca="1">+INDEX(Model!$A:$AP,MATCH("Gross Revenue",Model!$A:$A,0),MATCH(DCF!K$51,Model!$3:$3,0))</f>
        <v>43847.710089198074</v>
      </c>
      <c r="L55" s="130">
        <f ca="1">+INDEX(Model!$A:$AP,MATCH("Gross Revenue",Model!$A:$A,0),MATCH(DCF!L$51,Model!$3:$3,0))</f>
        <v>47215.515978298856</v>
      </c>
      <c r="M55" s="186">
        <f ca="1">+L55*(1+$K$36)</f>
        <v>48868.059037539315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56" t="s">
        <v>220</v>
      </c>
      <c r="C56" s="129"/>
      <c r="D56" s="131">
        <f t="shared" ref="D56:M56" ca="1" si="4">IFERROR(D55/C55-1,"na")</f>
        <v>7.5830611144825921E-2</v>
      </c>
      <c r="E56" s="131">
        <f t="shared" ca="1" si="4"/>
        <v>8.301635536800922E-2</v>
      </c>
      <c r="F56" s="131">
        <f t="shared" ca="1" si="4"/>
        <v>8.4414350117918202E-2</v>
      </c>
      <c r="G56" s="131">
        <f t="shared" ca="1" si="4"/>
        <v>8.2706248679544681E-2</v>
      </c>
      <c r="H56" s="131">
        <f t="shared" ca="1" si="4"/>
        <v>8.159058645310413E-2</v>
      </c>
      <c r="I56" s="131">
        <f t="shared" ca="1" si="4"/>
        <v>8.0373655117936593E-2</v>
      </c>
      <c r="J56" s="131">
        <f t="shared" ca="1" si="4"/>
        <v>7.9262093364282471E-2</v>
      </c>
      <c r="K56" s="131">
        <f t="shared" ca="1" si="4"/>
        <v>7.7984363738855311E-2</v>
      </c>
      <c r="L56" s="131">
        <f t="shared" ca="1" si="4"/>
        <v>7.680688187022211E-2</v>
      </c>
      <c r="M56" s="131">
        <f t="shared" ca="1" si="4"/>
        <v>3.499999999999992E-2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102</v>
      </c>
      <c r="C57" s="130">
        <f ca="1">+INDEX(Model!$A:$AP,MATCH("EBITDA",Model!$A:$A,0),MATCH(DCF!C$51,Model!$3:$3,0))</f>
        <v>1542.9781946616058</v>
      </c>
      <c r="D57" s="130">
        <f ca="1">+INDEX(Model!$A:$AP,MATCH("EBITDA",Model!$A:$A,0),MATCH(DCF!D$51,Model!$3:$3,0))</f>
        <v>1729.8654675072726</v>
      </c>
      <c r="E57" s="130">
        <f ca="1">+INDEX(Model!$A:$AP,MATCH("EBITDA",Model!$A:$A,0),MATCH(DCF!E$51,Model!$3:$3,0))</f>
        <v>1883.0455148591295</v>
      </c>
      <c r="F57" s="130">
        <f ca="1">+INDEX(Model!$A:$AP,MATCH("EBITDA",Model!$A:$A,0),MATCH(DCF!F$51,Model!$3:$3,0))</f>
        <v>2077.9232639381507</v>
      </c>
      <c r="G57" s="130">
        <f ca="1">+INDEX(Model!$A:$AP,MATCH("EBITDA",Model!$A:$A,0),MATCH(DCF!G$51,Model!$3:$3,0))</f>
        <v>2286.9307064605755</v>
      </c>
      <c r="H57" s="130">
        <f ca="1">+INDEX(Model!$A:$AP,MATCH("EBITDA",Model!$A:$A,0),MATCH(DCF!H$51,Model!$3:$3,0))</f>
        <v>2496.0485855861634</v>
      </c>
      <c r="I57" s="130">
        <f ca="1">+INDEX(Model!$A:$AP,MATCH("EBITDA",Model!$A:$A,0),MATCH(DCF!I$51,Model!$3:$3,0))</f>
        <v>2711.3224110281099</v>
      </c>
      <c r="J57" s="130">
        <f ca="1">+INDEX(Model!$A:$AP,MATCH("EBITDA",Model!$A:$A,0),MATCH(DCF!J$51,Model!$3:$3,0))</f>
        <v>2961.9824587726698</v>
      </c>
      <c r="K57" s="130">
        <f ca="1">+INDEX(Model!$A:$AP,MATCH("EBITDA",Model!$A:$A,0),MATCH(DCF!K$51,Model!$3:$3,0))</f>
        <v>3231.2608856816973</v>
      </c>
      <c r="L57" s="130">
        <f ca="1">+INDEX(Model!$A:$AP,MATCH("EBITDA",Model!$A:$A,0),MATCH(DCF!L$51,Model!$3:$3,0))</f>
        <v>3511.4726436433625</v>
      </c>
      <c r="M57" s="186">
        <f ca="1">+L57*(1+$K$36)</f>
        <v>3634.37418617088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56" t="s">
        <v>221</v>
      </c>
      <c r="C58" s="129"/>
      <c r="D58" s="131">
        <f t="shared" ref="D58:M58" ca="1" si="5">IFERROR(D57/C57-1,"na")</f>
        <v>0.12112113670320102</v>
      </c>
      <c r="E58" s="131">
        <f t="shared" ca="1" si="5"/>
        <v>8.8550266034611802E-2</v>
      </c>
      <c r="F58" s="131">
        <f t="shared" ca="1" si="5"/>
        <v>0.10349072687900485</v>
      </c>
      <c r="G58" s="131">
        <f t="shared" ca="1" si="5"/>
        <v>0.10058477430312163</v>
      </c>
      <c r="H58" s="131">
        <f t="shared" ca="1" si="5"/>
        <v>9.1440408987832678E-2</v>
      </c>
      <c r="I58" s="131">
        <f t="shared" ca="1" si="5"/>
        <v>8.6245847410615362E-2</v>
      </c>
      <c r="J58" s="131">
        <f t="shared" ca="1" si="5"/>
        <v>9.2449369623110123E-2</v>
      </c>
      <c r="K58" s="131">
        <f t="shared" ca="1" si="5"/>
        <v>9.0911553548026713E-2</v>
      </c>
      <c r="L58" s="131">
        <f t="shared" ca="1" si="5"/>
        <v>8.6719013993371563E-2</v>
      </c>
      <c r="M58" s="131">
        <f t="shared" ca="1" si="5"/>
        <v>3.499999999999992E-2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56" t="s">
        <v>218</v>
      </c>
      <c r="C59" s="131">
        <f ca="1">IFERROR(C57/C55,"na")</f>
        <v>6.5444620270537185E-2</v>
      </c>
      <c r="D59" s="131">
        <f t="shared" ref="D59:M59" ca="1" si="6">IFERROR(D57/D55,"na")</f>
        <v>6.8199720577514708E-2</v>
      </c>
      <c r="E59" s="131">
        <f t="shared" ca="1" si="6"/>
        <v>6.8548202074855513E-2</v>
      </c>
      <c r="F59" s="131">
        <f t="shared" ca="1" si="6"/>
        <v>6.9754061559224048E-2</v>
      </c>
      <c r="G59" s="131">
        <f t="shared" ca="1" si="6"/>
        <v>7.0905897321191888E-2</v>
      </c>
      <c r="H59" s="131">
        <f t="shared" ca="1" si="6"/>
        <v>7.155162271306105E-2</v>
      </c>
      <c r="I59" s="131">
        <f t="shared" ca="1" si="6"/>
        <v>7.1940529722625657E-2</v>
      </c>
      <c r="J59" s="131">
        <f t="shared" ca="1" si="6"/>
        <v>7.2819555906804306E-2</v>
      </c>
      <c r="K59" s="131">
        <f t="shared" ca="1" si="6"/>
        <v>7.369280811035378E-2</v>
      </c>
      <c r="L59" s="131">
        <f t="shared" ca="1" si="6"/>
        <v>7.4371158948200455E-2</v>
      </c>
      <c r="M59" s="131">
        <f t="shared" ca="1" si="6"/>
        <v>7.4371158948200455E-2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15" customHeight="1">
      <c r="B60" s="9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</row>
    <row r="61" spans="2:16383">
      <c r="B61" t="s">
        <v>4</v>
      </c>
      <c r="C61" s="130">
        <f ca="1">+INDEX(Model!$A:$AP,MATCH("EBIT",Model!$A:$A,0),MATCH(DCF!C$51,Model!$3:$3,0))</f>
        <v>1323.1265715716229</v>
      </c>
      <c r="D61" s="130">
        <f ca="1">+INDEX(Model!$A:$AP,MATCH("EBIT",Model!$A:$A,0),MATCH(DCF!D$51,Model!$3:$3,0))</f>
        <v>1493.3895236489479</v>
      </c>
      <c r="E61" s="130">
        <f ca="1">+INDEX(Model!$A:$AP,MATCH("EBIT",Model!$A:$A,0),MATCH(DCF!E$51,Model!$3:$3,0))</f>
        <v>1629.5959479768653</v>
      </c>
      <c r="F61" s="130">
        <f ca="1">+INDEX(Model!$A:$AP,MATCH("EBIT",Model!$A:$A,0),MATCH(DCF!F$51,Model!$3:$3,0))</f>
        <v>1804.7008446604002</v>
      </c>
      <c r="G61" s="130">
        <f ca="1">+INDEX(Model!$A:$AP,MATCH("EBIT",Model!$A:$A,0),MATCH(DCF!G$51,Model!$3:$3,0))</f>
        <v>1993.0379899824898</v>
      </c>
      <c r="H61" s="130">
        <f ca="1">+INDEX(Model!$A:$AP,MATCH("EBIT",Model!$A:$A,0),MATCH(DCF!H$51,Model!$3:$3,0))</f>
        <v>2180.8269272088951</v>
      </c>
      <c r="I61" s="130">
        <f ca="1">+INDEX(Model!$A:$AP,MATCH("EBIT",Model!$A:$A,0),MATCH(DCF!I$51,Model!$3:$3,0))</f>
        <v>2373.910497714784</v>
      </c>
      <c r="J61" s="130">
        <f ca="1">+INDEX(Model!$A:$AP,MATCH("EBIT",Model!$A:$A,0),MATCH(DCF!J$51,Model!$3:$3,0))</f>
        <v>2601.5637853407852</v>
      </c>
      <c r="K61" s="130">
        <f ca="1">+INDEX(Model!$A:$AP,MATCH("EBIT",Model!$A:$A,0),MATCH(DCF!K$51,Model!$3:$3,0))</f>
        <v>2846.9845208723691</v>
      </c>
      <c r="L61" s="130">
        <f ca="1">+INDEX(Model!$A:$AP,MATCH("EBIT",Model!$A:$A,0),MATCH(DCF!L$51,Model!$3:$3,0))</f>
        <v>3102.5760491198544</v>
      </c>
      <c r="M61" s="186">
        <f ca="1">+L61*(1+$K$36)</f>
        <v>3211.1662108390492</v>
      </c>
    </row>
    <row r="62" spans="2:16383" s="15" customFormat="1">
      <c r="B62" s="156" t="s">
        <v>5</v>
      </c>
      <c r="C62" s="131">
        <f>-IFERROR(-INDEX(Model!$A:$AP,MATCH("Current Tax Rate",Model!$A:$A,0),MATCH(DCF!C$51,Model!$3:$3,0))-INDEX(Model!$A:$AP,MATCH("Deferred Tax Rate",Model!$A:$A,0),MATCH(DCF!C$51,Model!$3:$3,0)),"na")</f>
        <v>-0.24</v>
      </c>
      <c r="D62" s="131">
        <f>-IFERROR(-INDEX(Model!$A:$AP,MATCH("Current Tax Rate",Model!$A:$A,0),MATCH(DCF!D$51,Model!$3:$3,0))-INDEX(Model!$A:$AP,MATCH("Deferred Tax Rate",Model!$A:$A,0),MATCH(DCF!D$51,Model!$3:$3,0)),"na")</f>
        <v>-0.24</v>
      </c>
      <c r="E62" s="131">
        <f>-IFERROR(-INDEX(Model!$A:$AP,MATCH("Current Tax Rate",Model!$A:$A,0),MATCH(DCF!E$51,Model!$3:$3,0))-INDEX(Model!$A:$AP,MATCH("Deferred Tax Rate",Model!$A:$A,0),MATCH(DCF!E$51,Model!$3:$3,0)),"na")</f>
        <v>-0.24</v>
      </c>
      <c r="F62" s="131">
        <f>-IFERROR(-INDEX(Model!$A:$AP,MATCH("Current Tax Rate",Model!$A:$A,0),MATCH(DCF!F$51,Model!$3:$3,0))-INDEX(Model!$A:$AP,MATCH("Deferred Tax Rate",Model!$A:$A,0),MATCH(DCF!F$51,Model!$3:$3,0)),"na")</f>
        <v>-0.24</v>
      </c>
      <c r="G62" s="131">
        <f>-IFERROR(-INDEX(Model!$A:$AP,MATCH("Current Tax Rate",Model!$A:$A,0),MATCH(DCF!G$51,Model!$3:$3,0))-INDEX(Model!$A:$AP,MATCH("Deferred Tax Rate",Model!$A:$A,0),MATCH(DCF!G$51,Model!$3:$3,0)),"na")</f>
        <v>-0.24</v>
      </c>
      <c r="H62" s="131">
        <f>-IFERROR(-INDEX(Model!$A:$AP,MATCH("Current Tax Rate",Model!$A:$A,0),MATCH(DCF!H$51,Model!$3:$3,0))-INDEX(Model!$A:$AP,MATCH("Deferred Tax Rate",Model!$A:$A,0),MATCH(DCF!H$51,Model!$3:$3,0)),"na")</f>
        <v>-0.24</v>
      </c>
      <c r="I62" s="131">
        <f>-IFERROR(-INDEX(Model!$A:$AP,MATCH("Current Tax Rate",Model!$A:$A,0),MATCH(DCF!I$51,Model!$3:$3,0))-INDEX(Model!$A:$AP,MATCH("Deferred Tax Rate",Model!$A:$A,0),MATCH(DCF!I$51,Model!$3:$3,0)),"na")</f>
        <v>-0.24</v>
      </c>
      <c r="J62" s="131">
        <f>-IFERROR(-INDEX(Model!$A:$AP,MATCH("Current Tax Rate",Model!$A:$A,0),MATCH(DCF!J$51,Model!$3:$3,0))-INDEX(Model!$A:$AP,MATCH("Deferred Tax Rate",Model!$A:$A,0),MATCH(DCF!J$51,Model!$3:$3,0)),"na")</f>
        <v>-0.24</v>
      </c>
      <c r="K62" s="131">
        <f>-IFERROR(-INDEX(Model!$A:$AP,MATCH("Current Tax Rate",Model!$A:$A,0),MATCH(DCF!K$51,Model!$3:$3,0))-INDEX(Model!$A:$AP,MATCH("Deferred Tax Rate",Model!$A:$A,0),MATCH(DCF!K$51,Model!$3:$3,0)),"na")</f>
        <v>-0.24</v>
      </c>
      <c r="L62" s="131">
        <f>-IFERROR(-INDEX(Model!$A:$AP,MATCH("Current Tax Rate",Model!$A:$A,0),MATCH(DCF!L$51,Model!$3:$3,0))-INDEX(Model!$A:$AP,MATCH("Deferred Tax Rate",Model!$A:$A,0),MATCH(DCF!L$51,Model!$3:$3,0)),"na")</f>
        <v>-0.24</v>
      </c>
      <c r="M62" s="131">
        <f>-IFERROR(-INDEX(Model!$A:$AP,MATCH("Current Tax Rate",Model!$A:$A,0),MATCH(DCF!M$51,Model!$3:$3,0))-INDEX(Model!$A:$AP,MATCH("Deferred Tax Rate",Model!$A:$A,0),MATCH(DCF!M$51,Model!$3:$3,0)),"na")</f>
        <v>-0.24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67">
        <f ca="1">IFERROR(C61*(1+C62),0)</f>
        <v>1005.5761943944334</v>
      </c>
      <c r="D63" s="167">
        <f t="shared" ref="D63:M63" ca="1" si="7">IFERROR(D61*(1+D62),0)</f>
        <v>1134.9760379732004</v>
      </c>
      <c r="E63" s="167">
        <f t="shared" ca="1" si="7"/>
        <v>1238.4929204624177</v>
      </c>
      <c r="F63" s="167">
        <f t="shared" ca="1" si="7"/>
        <v>1371.5726419419041</v>
      </c>
      <c r="G63" s="167">
        <f t="shared" ca="1" si="7"/>
        <v>1514.7088723866923</v>
      </c>
      <c r="H63" s="167">
        <f t="shared" ca="1" si="7"/>
        <v>1657.4284646787603</v>
      </c>
      <c r="I63" s="167">
        <f t="shared" ca="1" si="7"/>
        <v>1804.1719782632358</v>
      </c>
      <c r="J63" s="167">
        <f t="shared" ca="1" si="7"/>
        <v>1977.1884768589969</v>
      </c>
      <c r="K63" s="167">
        <f t="shared" ca="1" si="7"/>
        <v>2163.7082358630005</v>
      </c>
      <c r="L63" s="167">
        <f t="shared" ca="1" si="7"/>
        <v>2357.9577973310893</v>
      </c>
      <c r="M63" s="167">
        <f t="shared" ca="1" si="7"/>
        <v>2440.4863202376773</v>
      </c>
    </row>
    <row r="64" spans="2:16383">
      <c r="B64" s="27" t="s">
        <v>7</v>
      </c>
      <c r="C64" s="130">
        <f>-INDEX(Model!$A:$AP,MATCH("DD&amp;A",Model!$A:$A,0),MATCH(DCF!C$51,Model!$3:$3,0))</f>
        <v>219.85162308998301</v>
      </c>
      <c r="D64" s="130">
        <f ca="1">-INDEX(Model!$A:$AP,MATCH("DD&amp;A",Model!$A:$A,0),MATCH(DCF!D$51,Model!$3:$3,0))</f>
        <v>236.47594385832471</v>
      </c>
      <c r="E64" s="130">
        <f ca="1">-INDEX(Model!$A:$AP,MATCH("DD&amp;A",Model!$A:$A,0),MATCH(DCF!E$51,Model!$3:$3,0))</f>
        <v>253.44956688226421</v>
      </c>
      <c r="F64" s="130">
        <f ca="1">-INDEX(Model!$A:$AP,MATCH("DD&amp;A",Model!$A:$A,0),MATCH(DCF!F$51,Model!$3:$3,0))</f>
        <v>273.22241927775059</v>
      </c>
      <c r="G64" s="130">
        <f ca="1">-INDEX(Model!$A:$AP,MATCH("DD&amp;A",Model!$A:$A,0),MATCH(DCF!G$51,Model!$3:$3,0))</f>
        <v>293.89271647808567</v>
      </c>
      <c r="H64" s="130">
        <f ca="1">-INDEX(Model!$A:$AP,MATCH("DD&amp;A",Model!$A:$A,0),MATCH(DCF!H$51,Model!$3:$3,0))</f>
        <v>315.22165837726834</v>
      </c>
      <c r="I64" s="130">
        <f ca="1">-INDEX(Model!$A:$AP,MATCH("DD&amp;A",Model!$A:$A,0),MATCH(DCF!I$51,Model!$3:$3,0))</f>
        <v>337.4119133133259</v>
      </c>
      <c r="J64" s="130">
        <f ca="1">-INDEX(Model!$A:$AP,MATCH("DD&amp;A",Model!$A:$A,0),MATCH(DCF!J$51,Model!$3:$3,0))</f>
        <v>360.41867343188477</v>
      </c>
      <c r="K64" s="130">
        <f ca="1">-INDEX(Model!$A:$AP,MATCH("DD&amp;A",Model!$A:$A,0),MATCH(DCF!K$51,Model!$3:$3,0))</f>
        <v>384.27636480932819</v>
      </c>
      <c r="L64" s="130">
        <f ca="1">-INDEX(Model!$A:$AP,MATCH("DD&amp;A",Model!$A:$A,0),MATCH(DCF!L$51,Model!$3:$3,0))</f>
        <v>408.89659452350833</v>
      </c>
      <c r="M64" s="130">
        <f ca="1">-INDEX(Model!$A:$AP,MATCH("DD&amp;A",Model!$A:$A,0),MATCH(DCF!M$51,Model!$3:$3,0))</f>
        <v>434.30259240128078</v>
      </c>
    </row>
    <row r="65" spans="2:16383">
      <c r="B65" s="27" t="s">
        <v>219</v>
      </c>
      <c r="C65" s="130">
        <f ca="1">+INDEX(Model!$A:$AP,MATCH("Capex",Model!$A:$A,0),MATCH(DCF!C$51,Model!$3:$3,0))+INDEX(Model!$A:$AP,MATCH("M&amp;A",Model!$A:$A,0),MATCH(DCF!C$51,Model!$3:$3,0))</f>
        <v>-711.52424343194411</v>
      </c>
      <c r="D65" s="130">
        <f ca="1">+INDEX(Model!$A:$AP,MATCH("Capex",Model!$A:$A,0),MATCH(DCF!D$51,Model!$3:$3,0))+INDEX(Model!$A:$AP,MATCH("M&amp;A",Model!$A:$A,0),MATCH(DCF!D$51,Model!$3:$3,0))</f>
        <v>-377.07053234203465</v>
      </c>
      <c r="E65" s="130">
        <f ca="1">+INDEX(Model!$A:$AP,MATCH("Capex",Model!$A:$A,0),MATCH(DCF!E$51,Model!$3:$3,0))+INDEX(Model!$A:$AP,MATCH("M&amp;A",Model!$A:$A,0),MATCH(DCF!E$51,Model!$3:$3,0))</f>
        <v>-427.32800111489212</v>
      </c>
      <c r="F65" s="130">
        <f ca="1">+INDEX(Model!$A:$AP,MATCH("Capex",Model!$A:$A,0),MATCH(DCF!F$51,Model!$3:$3,0))+INDEX(Model!$A:$AP,MATCH("M&amp;A",Model!$A:$A,0),MATCH(DCF!F$51,Model!$3:$3,0))</f>
        <v>-454.02574212824413</v>
      </c>
      <c r="G65" s="130">
        <f ca="1">+INDEX(Model!$A:$AP,MATCH("Capex",Model!$A:$A,0),MATCH(DCF!G$51,Model!$3:$3,0))+INDEX(Model!$A:$AP,MATCH("M&amp;A",Model!$A:$A,0),MATCH(DCF!G$51,Model!$3:$3,0))</f>
        <v>-477.94261644344863</v>
      </c>
      <c r="H65" s="130">
        <f ca="1">+INDEX(Model!$A:$AP,MATCH("Capex",Model!$A:$A,0),MATCH(DCF!H$51,Model!$3:$3,0))+INDEX(Model!$A:$AP,MATCH("M&amp;A",Model!$A:$A,0),MATCH(DCF!H$51,Model!$3:$3,0))</f>
        <v>-504.86566836839597</v>
      </c>
      <c r="I65" s="130">
        <f ca="1">+INDEX(Model!$A:$AP,MATCH("Capex",Model!$A:$A,0),MATCH(DCF!I$51,Model!$3:$3,0))+INDEX(Model!$A:$AP,MATCH("M&amp;A",Model!$A:$A,0),MATCH(DCF!I$51,Model!$3:$3,0))</f>
        <v>-531.57247800599521</v>
      </c>
      <c r="J65" s="130">
        <f ca="1">+INDEX(Model!$A:$AP,MATCH("Capex",Model!$A:$A,0),MATCH(DCF!J$51,Model!$3:$3,0))+INDEX(Model!$A:$AP,MATCH("M&amp;A",Model!$A:$A,0),MATCH(DCF!J$51,Model!$3:$3,0))</f>
        <v>-559.07449041371797</v>
      </c>
      <c r="K65" s="130">
        <f ca="1">+INDEX(Model!$A:$AP,MATCH("Capex",Model!$A:$A,0),MATCH(DCF!K$51,Model!$3:$3,0))+INDEX(Model!$A:$AP,MATCH("M&amp;A",Model!$A:$A,0),MATCH(DCF!K$51,Model!$3:$3,0))</f>
        <v>-585.68856093966781</v>
      </c>
      <c r="L65" s="130">
        <f ca="1">+INDEX(Model!$A:$AP,MATCH("Capex",Model!$A:$A,0),MATCH(DCF!L$51,Model!$3:$3,0))+INDEX(Model!$A:$AP,MATCH("M&amp;A",Model!$A:$A,0),MATCH(DCF!L$51,Model!$3:$3,0))</f>
        <v>-612.82282919636248</v>
      </c>
      <c r="M65" s="158">
        <f ca="1">(M63*-INDEX($J$37:$L$37,MATCH($L$85,$J$36:$L$36,0)))-M64-M66</f>
        <v>-578.7075806453995</v>
      </c>
    </row>
    <row r="66" spans="2:16383">
      <c r="B66" s="27" t="s">
        <v>131</v>
      </c>
      <c r="C66" s="130">
        <f ca="1">+INDEX(Model!$A:$AP,MATCH("Change in NWC",Model!$A:$A,0),MATCH(DCF!C$51,Model!$3:$3,0))</f>
        <v>-531.08042620870356</v>
      </c>
      <c r="D66" s="130">
        <f ca="1">+INDEX(Model!$A:$AP,MATCH("Change in NWC",Model!$A:$A,0),MATCH(DCF!D$51,Model!$3:$3,0))</f>
        <v>-250.29860453145056</v>
      </c>
      <c r="E66" s="130">
        <f ca="1">+INDEX(Model!$A:$AP,MATCH("Change in NWC",Model!$A:$A,0),MATCH(DCF!E$51,Model!$3:$3,0))</f>
        <v>-294.79589541234827</v>
      </c>
      <c r="F66" s="130">
        <f ca="1">+INDEX(Model!$A:$AP,MATCH("Change in NWC",Model!$A:$A,0),MATCH(DCF!F$51,Model!$3:$3,0))</f>
        <v>-324.64525974697563</v>
      </c>
      <c r="G66" s="130">
        <f ca="1">+INDEX(Model!$A:$AP,MATCH("Change in NWC",Model!$A:$A,0),MATCH(DCF!G$51,Model!$3:$3,0))</f>
        <v>-344.92634273977092</v>
      </c>
      <c r="H66" s="130">
        <f ca="1">+INDEX(Model!$A:$AP,MATCH("Change in NWC",Model!$A:$A,0),MATCH(DCF!H$51,Model!$3:$3,0))</f>
        <v>-368.4162169555475</v>
      </c>
      <c r="I66" s="130">
        <f ca="1">+INDEX(Model!$A:$AP,MATCH("Change in NWC",Model!$A:$A,0),MATCH(DCF!I$51,Model!$3:$3,0))</f>
        <v>-392.53221213291181</v>
      </c>
      <c r="J66" s="130">
        <f ca="1">+INDEX(Model!$A:$AP,MATCH("Change in NWC",Model!$A:$A,0),MATCH(DCF!J$51,Model!$3:$3,0))</f>
        <v>-418.21644530932463</v>
      </c>
      <c r="K66" s="130">
        <f ca="1">+INDEX(Model!$A:$AP,MATCH("Change in NWC",Model!$A:$A,0),MATCH(DCF!K$51,Model!$3:$3,0))</f>
        <v>-444.08900939448176</v>
      </c>
      <c r="L66" s="130">
        <f ca="1">+INDEX(Model!$A:$AP,MATCH("Change in NWC",Model!$A:$A,0),MATCH(DCF!L$51,Model!$3:$3,0))</f>
        <v>-471.49282453032538</v>
      </c>
      <c r="M66" s="130">
        <f ca="1">+INDEX(Model!$A:$AP,MATCH("Change in NWC",Model!$A:$A,0),MATCH(DCF!M$51,Model!$3:$3,0))</f>
        <v>-533.22184770081913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7" t="s">
        <v>113</v>
      </c>
      <c r="C67" s="130">
        <f ca="1">+INDEX(Model!$A:$AP,MATCH("Deferred taxes",Model!$A:$A,0),MATCH(DCF!C$51,Model!$3:$3,0))</f>
        <v>0</v>
      </c>
      <c r="D67" s="130">
        <f ca="1">+INDEX(Model!$A:$AP,MATCH("Deferred taxes",Model!$A:$A,0),MATCH(DCF!D$51,Model!$3:$3,0))</f>
        <v>0</v>
      </c>
      <c r="E67" s="130">
        <f ca="1">+INDEX(Model!$A:$AP,MATCH("Deferred taxes",Model!$A:$A,0),MATCH(DCF!E$51,Model!$3:$3,0))</f>
        <v>0</v>
      </c>
      <c r="F67" s="130">
        <f ca="1">+INDEX(Model!$A:$AP,MATCH("Deferred taxes",Model!$A:$A,0),MATCH(DCF!F$51,Model!$3:$3,0))</f>
        <v>0</v>
      </c>
      <c r="G67" s="130">
        <f ca="1">+INDEX(Model!$A:$AP,MATCH("Deferred taxes",Model!$A:$A,0),MATCH(DCF!G$51,Model!$3:$3,0))</f>
        <v>0</v>
      </c>
      <c r="H67" s="130">
        <f ca="1">+INDEX(Model!$A:$AP,MATCH("Deferred taxes",Model!$A:$A,0),MATCH(DCF!H$51,Model!$3:$3,0))</f>
        <v>0</v>
      </c>
      <c r="I67" s="130">
        <f ca="1">+INDEX(Model!$A:$AP,MATCH("Deferred taxes",Model!$A:$A,0),MATCH(DCF!I$51,Model!$3:$3,0))</f>
        <v>0</v>
      </c>
      <c r="J67" s="130">
        <f ca="1">+INDEX(Model!$A:$AP,MATCH("Deferred taxes",Model!$A:$A,0),MATCH(DCF!J$51,Model!$3:$3,0))</f>
        <v>0</v>
      </c>
      <c r="K67" s="130">
        <f ca="1">+INDEX(Model!$A:$AP,MATCH("Deferred taxes",Model!$A:$A,0),MATCH(DCF!K$51,Model!$3:$3,0))</f>
        <v>0</v>
      </c>
      <c r="L67" s="130">
        <f ca="1">+INDEX(Model!$A:$AP,MATCH("Deferred taxes",Model!$A:$A,0),MATCH(DCF!L$51,Model!$3:$3,0))</f>
        <v>0</v>
      </c>
      <c r="M67" s="130">
        <f ca="1">+INDEX(Model!$A:$AP,MATCH("Deferred taxes",Model!$A:$A,0),MATCH(DCF!M$51,Model!$3:$3,0))</f>
        <v>0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 ca="1">SUM(C63:C67)</f>
        <v>-17.176852156231234</v>
      </c>
      <c r="D68" s="8">
        <f t="shared" ref="D68:K68" ca="1" si="8">SUM(D63:D67)</f>
        <v>744.0828449580398</v>
      </c>
      <c r="E68" s="8">
        <f t="shared" ca="1" si="8"/>
        <v>769.81859081744142</v>
      </c>
      <c r="F68" s="8">
        <f t="shared" ca="1" si="8"/>
        <v>866.12405934443495</v>
      </c>
      <c r="G68" s="8">
        <f t="shared" ca="1" si="8"/>
        <v>985.73262968155859</v>
      </c>
      <c r="H68" s="8">
        <f t="shared" ca="1" si="8"/>
        <v>1099.3682377320852</v>
      </c>
      <c r="I68" s="8">
        <f t="shared" ca="1" si="8"/>
        <v>1217.4792014376546</v>
      </c>
      <c r="J68" s="8">
        <f t="shared" ca="1" si="8"/>
        <v>1360.3162145678391</v>
      </c>
      <c r="K68" s="8">
        <f t="shared" ca="1" si="8"/>
        <v>1518.2070303381793</v>
      </c>
      <c r="L68" s="8">
        <f ca="1">SUM(L63:L67)</f>
        <v>1682.5387381279097</v>
      </c>
      <c r="M68" s="8">
        <f ca="1">SUM(M63:M67)</f>
        <v>1762.8594842927396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57">
        <f ca="1">IFERROR(D68/C68-1,"na")</f>
        <v>-44.318929346906522</v>
      </c>
      <c r="E69" s="157">
        <f t="shared" ref="E69:M69" ca="1" si="9">IFERROR(E68/D68-1,"na")</f>
        <v>3.4587204951423089E-2</v>
      </c>
      <c r="F69" s="157">
        <f t="shared" ca="1" si="9"/>
        <v>0.12510151050617058</v>
      </c>
      <c r="G69" s="157">
        <f t="shared" ca="1" si="9"/>
        <v>0.13809634895450751</v>
      </c>
      <c r="H69" s="157">
        <f t="shared" ca="1" si="9"/>
        <v>0.11528035557394167</v>
      </c>
      <c r="I69" s="157">
        <f t="shared" ca="1" si="9"/>
        <v>0.10743530661684719</v>
      </c>
      <c r="J69" s="157">
        <f t="shared" ca="1" si="9"/>
        <v>0.11732193286054993</v>
      </c>
      <c r="K69" s="157">
        <f t="shared" ca="1" si="9"/>
        <v>0.11606920073396365</v>
      </c>
      <c r="L69" s="157">
        <f ca="1">IFERROR(L68/K68-1,"na")</f>
        <v>0.10824064472493311</v>
      </c>
      <c r="M69" s="157">
        <f t="shared" ca="1" si="9"/>
        <v>4.7737828761196477E-2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15" customHeight="1"/>
    <row r="71" spans="2:16383">
      <c r="B71" t="s">
        <v>26</v>
      </c>
      <c r="C71" s="7">
        <f ca="1">+C68</f>
        <v>-17.176852156231234</v>
      </c>
      <c r="D71" s="7">
        <f t="shared" ref="D71:K71" ca="1" si="10">+D68</f>
        <v>744.0828449580398</v>
      </c>
      <c r="E71" s="7">
        <f t="shared" ca="1" si="10"/>
        <v>769.81859081744142</v>
      </c>
      <c r="F71" s="7">
        <f t="shared" ca="1" si="10"/>
        <v>866.12405934443495</v>
      </c>
      <c r="G71" s="7">
        <f t="shared" ca="1" si="10"/>
        <v>985.73262968155859</v>
      </c>
      <c r="H71" s="7">
        <f t="shared" ca="1" si="10"/>
        <v>1099.3682377320852</v>
      </c>
      <c r="I71" s="7">
        <f t="shared" ca="1" si="10"/>
        <v>1217.4792014376546</v>
      </c>
      <c r="J71" s="7">
        <f t="shared" ca="1" si="10"/>
        <v>1360.3162145678391</v>
      </c>
      <c r="K71" s="7">
        <f t="shared" ca="1" si="10"/>
        <v>1518.2070303381793</v>
      </c>
      <c r="L71" s="7">
        <f ca="1">+L68+L75</f>
        <v>47180.875092000104</v>
      </c>
      <c r="M71" s="7"/>
    </row>
    <row r="72" spans="2:16383">
      <c r="B72" t="s">
        <v>12</v>
      </c>
      <c r="C72" s="4">
        <f ca="1">+(1+C$46)^(C$50-$C$47-$C$48)</f>
        <v>1.0234659900466856</v>
      </c>
      <c r="D72" s="4">
        <f t="shared" ref="D72:K72" ca="1" si="11">+(1+D$46)^(D$50-$C$47-$C$48)</f>
        <v>1.1009152172360011</v>
      </c>
      <c r="E72" s="4">
        <f t="shared" ca="1" si="11"/>
        <v>1.1835902894505919</v>
      </c>
      <c r="F72" s="4">
        <f t="shared" ca="1" si="11"/>
        <v>1.2717913823002926</v>
      </c>
      <c r="G72" s="4">
        <f t="shared" ca="1" si="11"/>
        <v>1.3658318450434805</v>
      </c>
      <c r="H72" s="4">
        <f t="shared" ca="1" si="11"/>
        <v>1.4660384772515271</v>
      </c>
      <c r="I72" s="4">
        <f t="shared" ca="1" si="11"/>
        <v>1.572751787874259</v>
      </c>
      <c r="J72" s="4">
        <f t="shared" ca="1" si="11"/>
        <v>1.6863262344942562</v>
      </c>
      <c r="K72" s="4">
        <f t="shared" ca="1" si="11"/>
        <v>1.807130440470857</v>
      </c>
      <c r="L72" s="4">
        <f ca="1">+(1+L$46)^(L$50-$C$47-$C$48)</f>
        <v>1.9403983250516148</v>
      </c>
      <c r="M72" s="4"/>
    </row>
    <row r="73" spans="2:16383">
      <c r="B73" t="s">
        <v>15</v>
      </c>
      <c r="C73" s="7">
        <f t="shared" ref="C73:L73" ca="1" si="12">+C71/C72</f>
        <v>-16.78302193065322</v>
      </c>
      <c r="D73" s="7">
        <f t="shared" ca="1" si="12"/>
        <v>675.87661003193512</v>
      </c>
      <c r="E73" s="7">
        <f t="shared" ca="1" si="12"/>
        <v>650.40968794597143</v>
      </c>
      <c r="F73" s="7">
        <f t="shared" ca="1" si="12"/>
        <v>681.0268345881334</v>
      </c>
      <c r="G73" s="7">
        <f t="shared" ca="1" si="12"/>
        <v>721.70862998891221</v>
      </c>
      <c r="H73" s="7">
        <f t="shared" ca="1" si="12"/>
        <v>749.89043929674938</v>
      </c>
      <c r="I73" s="7">
        <f t="shared" ca="1" si="12"/>
        <v>774.10765692608561</v>
      </c>
      <c r="J73" s="7">
        <f t="shared" ca="1" si="12"/>
        <v>806.67440661374144</v>
      </c>
      <c r="K73" s="7">
        <f t="shared" ca="1" si="12"/>
        <v>840.12033461325723</v>
      </c>
      <c r="L73" s="7">
        <f t="shared" ca="1" si="12"/>
        <v>24315.046288624832</v>
      </c>
      <c r="M73" s="7"/>
    </row>
    <row r="74" spans="2:16383" ht="5.15" customHeight="1"/>
    <row r="75" spans="2:16383">
      <c r="B75" s="3" t="s">
        <v>16</v>
      </c>
      <c r="C75" s="140">
        <f ca="1">+SUM(C73:M73)</f>
        <v>30198.077866698964</v>
      </c>
      <c r="K75" s="10" t="s">
        <v>94</v>
      </c>
      <c r="L75" s="140">
        <f ca="1">(M68)/(L46-L85)</f>
        <v>45498.336354516126</v>
      </c>
    </row>
    <row r="76" spans="2:16383">
      <c r="B76" s="144" t="s">
        <v>17</v>
      </c>
      <c r="C76" s="141">
        <f>-Model!AB300-Model!AB292-Model!AB303</f>
        <v>-1755.9599999999998</v>
      </c>
      <c r="K76" s="148" t="s">
        <v>17</v>
      </c>
      <c r="L76" s="138">
        <f ca="1">-Model!AL300-Model!AL292-Model!AL303</f>
        <v>-5737.2107189874996</v>
      </c>
    </row>
    <row r="77" spans="2:16383">
      <c r="B77" s="144" t="s">
        <v>18</v>
      </c>
      <c r="C77" s="142">
        <f>-Model!AA308</f>
        <v>0</v>
      </c>
      <c r="K77" s="148" t="s">
        <v>18</v>
      </c>
      <c r="L77" s="150">
        <f>-Model!AJ308</f>
        <v>0</v>
      </c>
    </row>
    <row r="78" spans="2:16383">
      <c r="B78" s="144" t="s">
        <v>19</v>
      </c>
      <c r="C78" s="142">
        <f>-Model!AA310</f>
        <v>0</v>
      </c>
      <c r="K78" s="148" t="s">
        <v>19</v>
      </c>
      <c r="L78" s="150">
        <f>-Model!AJ310</f>
        <v>0</v>
      </c>
    </row>
    <row r="79" spans="2:16383">
      <c r="B79" s="145" t="s">
        <v>20</v>
      </c>
      <c r="C79" s="143">
        <f>Model!AB275+Model!AB278</f>
        <v>132.31899999999999</v>
      </c>
      <c r="K79" s="149" t="s">
        <v>20</v>
      </c>
      <c r="L79" s="151">
        <f ca="1">Model!AL275+Model!AL278</f>
        <v>372.01695249505519</v>
      </c>
    </row>
    <row r="80" spans="2:16383">
      <c r="B80" s="2" t="s">
        <v>21</v>
      </c>
      <c r="C80" s="147">
        <f ca="1">SUM(C75:C79)</f>
        <v>28574.436866698965</v>
      </c>
      <c r="D80" s="213"/>
      <c r="E80" s="9"/>
      <c r="F80" s="9"/>
      <c r="G80" s="9"/>
      <c r="H80" s="9"/>
      <c r="I80" s="9"/>
      <c r="J80" s="9"/>
      <c r="K80" s="11" t="s">
        <v>95</v>
      </c>
      <c r="L80" s="147">
        <f ca="1">+SUM(L75:L79)</f>
        <v>40133.142588023678</v>
      </c>
    </row>
    <row r="81" spans="2:15" ht="15" thickBot="1">
      <c r="B81" s="146" t="s">
        <v>22</v>
      </c>
      <c r="C81" s="194">
        <f>+Model!AB329</f>
        <v>165.13300000000001</v>
      </c>
      <c r="K81" s="149" t="s">
        <v>22</v>
      </c>
      <c r="L81" s="193">
        <f ca="1">+Model!AL329</f>
        <v>117.73822604394888</v>
      </c>
    </row>
    <row r="82" spans="2:15" ht="15" thickBot="1">
      <c r="B82" s="154" t="s">
        <v>23</v>
      </c>
      <c r="C82" s="153">
        <f ca="1">+C80/C81</f>
        <v>173.03892539164772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340.8675664354152</v>
      </c>
      <c r="M82" s="200"/>
      <c r="N82" s="351"/>
    </row>
    <row r="83" spans="2:15">
      <c r="K83" s="10" t="s">
        <v>71</v>
      </c>
      <c r="L83" s="155">
        <f ca="1">IFERROR(L82/L84,"na")</f>
        <v>17.80984367237178</v>
      </c>
      <c r="N83" s="351"/>
    </row>
    <row r="84" spans="2:15">
      <c r="C84" s="352"/>
      <c r="K84" s="10" t="str">
        <f>$L$51+1&amp;" EPS (1Y Forward)"</f>
        <v>2032 EPS (1Y Forward)</v>
      </c>
      <c r="L84" s="128">
        <f ca="1">+M53</f>
        <v>19.139278968839623</v>
      </c>
      <c r="O84" s="7"/>
    </row>
    <row r="85" spans="2:15">
      <c r="C85" s="36"/>
      <c r="K85" s="10" t="s">
        <v>50</v>
      </c>
      <c r="L85" s="51">
        <f>+$K$36</f>
        <v>3.5000000000000003E-2</v>
      </c>
    </row>
    <row r="86" spans="2:15">
      <c r="C86" s="36"/>
    </row>
    <row r="87" spans="2:15">
      <c r="C87" s="353"/>
      <c r="D87" s="220"/>
      <c r="E87" s="220"/>
      <c r="F87" s="220"/>
      <c r="G87" s="220"/>
      <c r="H87" s="220"/>
      <c r="I87" s="220"/>
      <c r="J87" s="220"/>
      <c r="K87" s="220"/>
      <c r="L87" s="220"/>
    </row>
    <row r="88" spans="2:15" hidden="1" outlineLevel="1">
      <c r="B88" s="12" t="s">
        <v>82</v>
      </c>
      <c r="C88" s="161"/>
      <c r="D88" s="12"/>
      <c r="E88" s="12"/>
    </row>
    <row r="89" spans="2:15" hidden="1" outlineLevel="1">
      <c r="B89" t="s">
        <v>73</v>
      </c>
      <c r="C89" s="166"/>
    </row>
    <row r="90" spans="2:15" hidden="1" outlineLevel="1">
      <c r="B90" t="s">
        <v>75</v>
      </c>
      <c r="C90" s="166"/>
    </row>
    <row r="91" spans="2:15" hidden="1" outlineLevel="1">
      <c r="B91" t="s">
        <v>78</v>
      </c>
      <c r="C91" s="166"/>
    </row>
    <row r="92" spans="2:15" hidden="1" outlineLevel="1">
      <c r="B92" t="s">
        <v>76</v>
      </c>
      <c r="C92" s="166"/>
    </row>
    <row r="93" spans="2:15" hidden="1" outlineLevel="1">
      <c r="B93" t="s">
        <v>80</v>
      </c>
      <c r="C93" s="166"/>
    </row>
    <row r="94" spans="2:15" hidden="1" outlineLevel="1">
      <c r="B94" t="s">
        <v>77</v>
      </c>
      <c r="C94" s="166"/>
    </row>
    <row r="95" spans="2:15" hidden="1" outlineLevel="1">
      <c r="B95" t="s">
        <v>47</v>
      </c>
      <c r="C95" s="166"/>
    </row>
    <row r="96" spans="2:15" hidden="1" outlineLevel="1">
      <c r="B96" t="s">
        <v>74</v>
      </c>
      <c r="C96" s="166"/>
    </row>
    <row r="97" spans="2:3" hidden="1" outlineLevel="1">
      <c r="B97" t="s">
        <v>45</v>
      </c>
      <c r="C97" s="166"/>
    </row>
    <row r="98" spans="2:3" hidden="1" outlineLevel="1">
      <c r="B98" t="s">
        <v>79</v>
      </c>
      <c r="C98" s="166"/>
    </row>
    <row r="99" spans="2:3" hidden="1" outlineLevel="1">
      <c r="B99" t="s">
        <v>46</v>
      </c>
      <c r="C99" s="166"/>
    </row>
    <row r="100" spans="2:3" hidden="1" outlineLevel="1">
      <c r="C100" s="166"/>
    </row>
    <row r="101" spans="2:3" hidden="1" outlineLevel="1">
      <c r="C101" s="166"/>
    </row>
    <row r="102" spans="2:3" hidden="1" outlineLevel="1">
      <c r="C102" s="166"/>
    </row>
    <row r="103" spans="2:3" hidden="1" outlineLevel="1">
      <c r="C103" s="166"/>
    </row>
    <row r="104" spans="2:3" hidden="1" outlineLevel="1">
      <c r="C104" s="166"/>
    </row>
    <row r="105" spans="2:3" hidden="1" outlineLevel="1">
      <c r="C105" s="166"/>
    </row>
    <row r="106" spans="2:3" hidden="1" outlineLevel="1">
      <c r="C106" s="166"/>
    </row>
    <row r="107" spans="2:3" hidden="1" outlineLevel="1">
      <c r="C107" s="166"/>
    </row>
    <row r="108" spans="2:3" hidden="1" outlineLevel="1">
      <c r="C108" s="166"/>
    </row>
    <row r="109" spans="2:3" hidden="1" outlineLevel="1">
      <c r="C109" s="166"/>
    </row>
    <row r="110" spans="2:3" hidden="1" outlineLevel="1">
      <c r="C110" s="166"/>
    </row>
    <row r="111" spans="2:3" hidden="1" outlineLevel="1">
      <c r="C111" s="166"/>
    </row>
    <row r="112" spans="2:3" hidden="1" outlineLevel="1">
      <c r="C112" s="166"/>
    </row>
    <row r="113" spans="3:3" hidden="1" outlineLevel="1">
      <c r="C113" s="166"/>
    </row>
    <row r="114" spans="3:3" hidden="1" outlineLevel="1">
      <c r="C114" s="166"/>
    </row>
    <row r="115" spans="3:3" hidden="1" outlineLevel="1">
      <c r="C115" s="166"/>
    </row>
    <row r="116" spans="3:3" hidden="1" outlineLevel="1">
      <c r="C116" s="166"/>
    </row>
    <row r="117" spans="3:3" hidden="1" outlineLevel="1">
      <c r="C117" s="166"/>
    </row>
    <row r="118" spans="3:3" hidden="1" outlineLevel="1">
      <c r="C118" s="166"/>
    </row>
    <row r="119" spans="3:3" hidden="1" outlineLevel="1">
      <c r="C119" s="166"/>
    </row>
    <row r="120" spans="3:3" hidden="1" outlineLevel="1">
      <c r="C120" s="166"/>
    </row>
    <row r="121" spans="3:3" hidden="1" outlineLevel="1">
      <c r="C121" s="166"/>
    </row>
    <row r="122" spans="3:3" hidden="1" outlineLevel="1">
      <c r="C122" s="166"/>
    </row>
    <row r="123" spans="3:3" hidden="1" outlineLevel="1">
      <c r="C123" s="166"/>
    </row>
    <row r="124" spans="3:3" hidden="1" outlineLevel="1">
      <c r="C124" s="166"/>
    </row>
    <row r="125" spans="3:3" hidden="1" outlineLevel="1">
      <c r="C125" s="166"/>
    </row>
    <row r="126" spans="3:3" hidden="1" outlineLevel="1">
      <c r="C126" s="166"/>
    </row>
    <row r="127" spans="3:3" hidden="1" outlineLevel="1">
      <c r="C127" s="166"/>
    </row>
    <row r="128" spans="3:3" hidden="1" outlineLevel="1">
      <c r="C128" s="166"/>
    </row>
    <row r="129" spans="3:3" hidden="1" outlineLevel="1">
      <c r="C129" s="166"/>
    </row>
    <row r="130" spans="3:3" hidden="1" outlineLevel="1">
      <c r="C130" s="166"/>
    </row>
    <row r="131" spans="3:3" hidden="1" outlineLevel="1">
      <c r="C131" s="166"/>
    </row>
    <row r="132" spans="3:3" hidden="1" outlineLevel="1">
      <c r="C132" s="166"/>
    </row>
    <row r="133" spans="3:3" hidden="1" outlineLevel="1">
      <c r="C133" s="166"/>
    </row>
    <row r="134" spans="3:3" hidden="1" outlineLevel="1">
      <c r="C134" s="166"/>
    </row>
    <row r="135" spans="3:3" hidden="1" outlineLevel="1">
      <c r="C135" s="166"/>
    </row>
    <row r="136" spans="3:3" hidden="1" outlineLevel="1">
      <c r="C136" s="166"/>
    </row>
    <row r="137" spans="3:3" hidden="1" outlineLevel="1">
      <c r="C137" s="166"/>
    </row>
    <row r="138" spans="3:3" hidden="1" outlineLevel="1">
      <c r="C138" s="166"/>
    </row>
    <row r="139" spans="3:3" hidden="1" outlineLevel="1">
      <c r="C139" s="166"/>
    </row>
    <row r="140" spans="3:3" hidden="1" outlineLevel="1">
      <c r="C140" s="166"/>
    </row>
    <row r="141" spans="3:3" hidden="1" outlineLevel="1">
      <c r="C141" s="166"/>
    </row>
    <row r="142" spans="3:3" hidden="1" outlineLevel="1">
      <c r="C142" s="166"/>
    </row>
    <row r="143" spans="3:3" hidden="1" outlineLevel="1">
      <c r="C143" s="166"/>
    </row>
    <row r="144" spans="3:3" hidden="1" outlineLevel="1">
      <c r="C144" s="166"/>
    </row>
    <row r="145" spans="3:3" hidden="1" outlineLevel="1">
      <c r="C145" s="166"/>
    </row>
    <row r="146" spans="3:3" hidden="1" outlineLevel="1">
      <c r="C146" s="166"/>
    </row>
    <row r="147" spans="3:3" hidden="1" outlineLevel="1">
      <c r="C147" s="166"/>
    </row>
    <row r="148" spans="3:3" hidden="1" outlineLevel="1">
      <c r="C148" s="166"/>
    </row>
    <row r="149" spans="3:3" hidden="1" outlineLevel="1">
      <c r="C149" s="166"/>
    </row>
    <row r="150" spans="3:3" hidden="1" outlineLevel="1">
      <c r="C150" s="166"/>
    </row>
    <row r="151" spans="3:3" hidden="1" outlineLevel="1">
      <c r="C151" s="166"/>
    </row>
    <row r="152" spans="3:3" hidden="1" outlineLevel="1">
      <c r="C152" s="166"/>
    </row>
    <row r="153" spans="3:3" hidden="1" outlineLevel="1">
      <c r="C153" s="166"/>
    </row>
    <row r="154" spans="3:3" hidden="1" outlineLevel="1">
      <c r="C154" s="166"/>
    </row>
    <row r="155" spans="3:3" hidden="1" outlineLevel="1">
      <c r="C155" s="166"/>
    </row>
    <row r="156" spans="3:3" hidden="1" outlineLevel="1">
      <c r="C156" s="166"/>
    </row>
    <row r="157" spans="3:3" hidden="1" outlineLevel="1">
      <c r="C157" s="166"/>
    </row>
    <row r="158" spans="3:3" hidden="1" outlineLevel="1">
      <c r="C158" s="166"/>
    </row>
    <row r="159" spans="3:3" hidden="1" outlineLevel="1">
      <c r="C159" s="36"/>
    </row>
    <row r="160" spans="3:3" hidden="1" outlineLevel="1">
      <c r="C160" s="36"/>
    </row>
    <row r="161" spans="3:12" hidden="1" outlineLevel="1">
      <c r="C161" s="36"/>
    </row>
    <row r="162" spans="3:12" hidden="1" outlineLevel="1">
      <c r="C162" s="36"/>
    </row>
    <row r="163" spans="3:12" hidden="1" outlineLevel="1">
      <c r="C163" s="36"/>
    </row>
    <row r="164" spans="3:12" hidden="1" outlineLevel="1">
      <c r="C164" s="36"/>
    </row>
    <row r="165" spans="3:12" hidden="1" outlineLevel="1">
      <c r="C165" s="36"/>
    </row>
    <row r="166" spans="3:12" hidden="1" outlineLevel="1">
      <c r="C166" s="36"/>
    </row>
    <row r="167" spans="3:12" hidden="1" outlineLevel="1">
      <c r="C167" s="36"/>
    </row>
    <row r="168" spans="3:12" hidden="1" outlineLevel="1">
      <c r="C168" s="36"/>
    </row>
    <row r="169" spans="3:12" collapsed="1">
      <c r="C169" s="112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3:12">
      <c r="C170" s="36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N63: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4.5"/>
  <sheetData>
    <row r="1" spans="1:4">
      <c r="A1">
        <v>4</v>
      </c>
      <c r="B1" t="s">
        <v>240</v>
      </c>
      <c r="C1" t="s">
        <v>241</v>
      </c>
      <c r="D1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W655"/>
  <sheetViews>
    <sheetView zoomScale="85" zoomScaleNormal="85" workbookViewId="0">
      <pane xSplit="6" ySplit="3" topLeftCell="L4" activePane="bottomRight" state="frozen"/>
      <selection activeCell="L64" sqref="L64"/>
      <selection pane="topRight" activeCell="L64" sqref="L64"/>
      <selection pane="bottomLeft" activeCell="L64" sqref="L64"/>
      <selection pane="bottomRight" activeCell="L24" sqref="L24"/>
    </sheetView>
  </sheetViews>
  <sheetFormatPr defaultRowHeight="14.5" outlineLevelRow="1" outlineLevelCol="1"/>
  <cols>
    <col min="1" max="1" width="23.453125" style="124" hidden="1" customWidth="1" outlineLevel="1"/>
    <col min="2" max="2" width="1.7265625" style="36" customWidth="1" collapsed="1"/>
    <col min="3" max="3" width="1.7265625" customWidth="1"/>
    <col min="4" max="4" width="15.7265625" customWidth="1"/>
    <col min="5" max="5" width="17.26953125" customWidth="1"/>
    <col min="7" max="11" width="9.1796875" hidden="1" customWidth="1" outlineLevel="1"/>
    <col min="12" max="12" width="9.1796875" customWidth="1" collapsed="1"/>
    <col min="13" max="13" width="9.1796875" customWidth="1"/>
    <col min="19" max="19" width="9" customWidth="1"/>
  </cols>
  <sheetData>
    <row r="1" spans="2:44" ht="23.5">
      <c r="B1" s="160"/>
      <c r="C1" s="56"/>
      <c r="D1" s="202">
        <f ca="1">+DCF!C82</f>
        <v>173.03892539164772</v>
      </c>
      <c r="L1" s="57"/>
      <c r="M1" s="5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O1" s="58"/>
    </row>
    <row r="2" spans="2:44" ht="15.5">
      <c r="D2" s="59"/>
      <c r="E2" s="60"/>
      <c r="L2" s="297">
        <f t="shared" ref="L2:AA2" si="0">+L3-1</f>
        <v>2004</v>
      </c>
      <c r="M2" s="297">
        <f t="shared" si="0"/>
        <v>2005</v>
      </c>
      <c r="N2" s="297">
        <f t="shared" si="0"/>
        <v>2006</v>
      </c>
      <c r="O2" s="297">
        <f t="shared" si="0"/>
        <v>2007</v>
      </c>
      <c r="P2" s="297">
        <f t="shared" si="0"/>
        <v>2008</v>
      </c>
      <c r="Q2" s="297">
        <f t="shared" si="0"/>
        <v>2009</v>
      </c>
      <c r="R2" s="297">
        <f t="shared" si="0"/>
        <v>2010</v>
      </c>
      <c r="S2" s="297">
        <f t="shared" si="0"/>
        <v>2011</v>
      </c>
      <c r="T2" s="297">
        <f t="shared" si="0"/>
        <v>2012</v>
      </c>
      <c r="U2" s="297">
        <f t="shared" si="0"/>
        <v>2013</v>
      </c>
      <c r="V2" s="297">
        <f t="shared" si="0"/>
        <v>2014</v>
      </c>
      <c r="W2" s="297">
        <f t="shared" si="0"/>
        <v>2015</v>
      </c>
      <c r="X2" s="297">
        <f t="shared" si="0"/>
        <v>2016</v>
      </c>
      <c r="Y2" s="297">
        <f t="shared" si="0"/>
        <v>2017</v>
      </c>
      <c r="Z2" s="297">
        <f t="shared" si="0"/>
        <v>2018</v>
      </c>
      <c r="AA2" s="297">
        <f t="shared" si="0"/>
        <v>2019</v>
      </c>
      <c r="AB2" s="297">
        <f>+AB3-1</f>
        <v>2020</v>
      </c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O2" s="62" t="s">
        <v>101</v>
      </c>
      <c r="AP2" s="63"/>
      <c r="AQ2" s="63"/>
      <c r="AR2" s="63"/>
    </row>
    <row r="3" spans="2:44">
      <c r="B3" s="161"/>
      <c r="C3" s="53"/>
      <c r="D3" s="53"/>
      <c r="E3" s="53"/>
      <c r="F3" s="53"/>
      <c r="G3" s="123">
        <v>2000</v>
      </c>
      <c r="H3" s="53">
        <f>+G3+1</f>
        <v>2001</v>
      </c>
      <c r="I3" s="53">
        <f t="shared" ref="I3:AM3" si="1">+H3+1</f>
        <v>2002</v>
      </c>
      <c r="J3" s="53">
        <f t="shared" si="1"/>
        <v>2003</v>
      </c>
      <c r="K3" s="53">
        <f t="shared" si="1"/>
        <v>2004</v>
      </c>
      <c r="L3" s="53">
        <f t="shared" si="1"/>
        <v>2005</v>
      </c>
      <c r="M3" s="53">
        <f t="shared" si="1"/>
        <v>2006</v>
      </c>
      <c r="N3" s="53">
        <f t="shared" si="1"/>
        <v>2007</v>
      </c>
      <c r="O3" s="53">
        <f t="shared" si="1"/>
        <v>2008</v>
      </c>
      <c r="P3" s="53">
        <f t="shared" si="1"/>
        <v>2009</v>
      </c>
      <c r="Q3" s="53">
        <f t="shared" si="1"/>
        <v>2010</v>
      </c>
      <c r="R3" s="53">
        <f t="shared" si="1"/>
        <v>2011</v>
      </c>
      <c r="S3" s="53">
        <f t="shared" si="1"/>
        <v>2012</v>
      </c>
      <c r="T3" s="53">
        <f t="shared" si="1"/>
        <v>2013</v>
      </c>
      <c r="U3" s="53">
        <f t="shared" si="1"/>
        <v>2014</v>
      </c>
      <c r="V3" s="53">
        <f t="shared" si="1"/>
        <v>2015</v>
      </c>
      <c r="W3" s="53">
        <f t="shared" si="1"/>
        <v>2016</v>
      </c>
      <c r="X3" s="53">
        <f t="shared" si="1"/>
        <v>2017</v>
      </c>
      <c r="Y3" s="53">
        <f t="shared" si="1"/>
        <v>2018</v>
      </c>
      <c r="Z3" s="53">
        <f t="shared" si="1"/>
        <v>2019</v>
      </c>
      <c r="AA3" s="53">
        <f t="shared" si="1"/>
        <v>2020</v>
      </c>
      <c r="AB3" s="53">
        <f t="shared" si="1"/>
        <v>2021</v>
      </c>
      <c r="AC3" s="53">
        <f t="shared" si="1"/>
        <v>2022</v>
      </c>
      <c r="AD3" s="53">
        <f t="shared" si="1"/>
        <v>2023</v>
      </c>
      <c r="AE3" s="53">
        <f t="shared" si="1"/>
        <v>2024</v>
      </c>
      <c r="AF3" s="53">
        <f t="shared" si="1"/>
        <v>2025</v>
      </c>
      <c r="AG3" s="53">
        <f t="shared" si="1"/>
        <v>2026</v>
      </c>
      <c r="AH3" s="53">
        <f t="shared" si="1"/>
        <v>2027</v>
      </c>
      <c r="AI3" s="53">
        <f t="shared" si="1"/>
        <v>2028</v>
      </c>
      <c r="AJ3" s="53">
        <f t="shared" si="1"/>
        <v>2029</v>
      </c>
      <c r="AK3" s="53">
        <f t="shared" si="1"/>
        <v>2030</v>
      </c>
      <c r="AL3" s="53">
        <f t="shared" si="1"/>
        <v>2031</v>
      </c>
      <c r="AM3" s="53">
        <f t="shared" si="1"/>
        <v>2032</v>
      </c>
      <c r="AO3" s="121" t="s">
        <v>602</v>
      </c>
      <c r="AP3" s="121" t="s">
        <v>603</v>
      </c>
      <c r="AQ3" s="121" t="s">
        <v>604</v>
      </c>
      <c r="AR3" s="121" t="s">
        <v>605</v>
      </c>
    </row>
    <row r="4" spans="2:44">
      <c r="B4" s="161" t="s">
        <v>213</v>
      </c>
      <c r="C4" s="53" t="s">
        <v>213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</row>
    <row r="5" spans="2:44">
      <c r="C5" s="119"/>
      <c r="D5" s="120" t="s">
        <v>170</v>
      </c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208"/>
      <c r="AC5" s="208"/>
      <c r="AD5" s="119"/>
      <c r="AE5" s="119"/>
      <c r="AF5" s="119"/>
      <c r="AG5" s="119"/>
      <c r="AH5" s="119"/>
      <c r="AI5" s="119"/>
      <c r="AJ5" s="119"/>
      <c r="AK5" s="119"/>
      <c r="AL5" s="119"/>
      <c r="AM5" s="119"/>
    </row>
    <row r="6" spans="2:44" ht="5.15" customHeight="1">
      <c r="B6" s="16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7"/>
      <c r="AO6" s="1"/>
    </row>
    <row r="7" spans="2:44">
      <c r="D7" s="257" t="s">
        <v>217</v>
      </c>
      <c r="G7" s="7"/>
      <c r="H7" s="7"/>
      <c r="I7" s="7"/>
      <c r="J7" s="7"/>
      <c r="K7" s="7"/>
      <c r="L7" s="76">
        <f t="shared" ref="L7:Z7" si="2">+L57</f>
        <v>5260.2999999999993</v>
      </c>
      <c r="M7" s="76">
        <f t="shared" si="2"/>
        <v>6260</v>
      </c>
      <c r="N7" s="76">
        <f t="shared" si="2"/>
        <v>7465.5999999999995</v>
      </c>
      <c r="O7" s="76">
        <f t="shared" si="2"/>
        <v>8199.4</v>
      </c>
      <c r="P7" s="76">
        <f t="shared" si="2"/>
        <v>6974.1</v>
      </c>
      <c r="Q7" s="76">
        <f t="shared" si="2"/>
        <v>7470.2</v>
      </c>
      <c r="R7" s="76">
        <f t="shared" si="2"/>
        <v>8975.5</v>
      </c>
      <c r="S7" s="76">
        <f t="shared" si="2"/>
        <v>10003.500000000002</v>
      </c>
      <c r="T7" s="76">
        <f t="shared" si="2"/>
        <v>10962.9</v>
      </c>
      <c r="U7" s="76">
        <f t="shared" si="2"/>
        <v>12574.3</v>
      </c>
      <c r="V7" s="76">
        <f t="shared" si="2"/>
        <v>14268.7</v>
      </c>
      <c r="W7" s="76">
        <f t="shared" si="2"/>
        <v>15149.7</v>
      </c>
      <c r="X7" s="76">
        <f t="shared" si="2"/>
        <v>15875.2</v>
      </c>
      <c r="Y7" s="76">
        <f t="shared" si="2"/>
        <v>17120.3</v>
      </c>
      <c r="Z7" s="76">
        <f t="shared" si="2"/>
        <v>18173.099999999999</v>
      </c>
      <c r="AA7" s="76">
        <f>+AA57</f>
        <v>20320.000000000004</v>
      </c>
      <c r="AB7" s="76">
        <f t="shared" ref="AB7:AL7" si="3">+AB57</f>
        <v>18949.599999999999</v>
      </c>
      <c r="AC7" s="76">
        <f t="shared" ca="1" si="3"/>
        <v>23576.853044347881</v>
      </c>
      <c r="AD7" s="76">
        <f t="shared" ca="1" si="3"/>
        <v>25364.700219572529</v>
      </c>
      <c r="AE7" s="76">
        <f t="shared" ca="1" si="3"/>
        <v>27470.385186803585</v>
      </c>
      <c r="AF7" s="76">
        <f t="shared" ca="1" si="3"/>
        <v>29789.279900286627</v>
      </c>
      <c r="AG7" s="76">
        <f t="shared" ca="1" si="3"/>
        <v>32253.039491977197</v>
      </c>
      <c r="AH7" s="76">
        <f t="shared" ca="1" si="3"/>
        <v>34884.583899089164</v>
      </c>
      <c r="AI7" s="76">
        <f t="shared" ca="1" si="3"/>
        <v>37688.385414200267</v>
      </c>
      <c r="AJ7" s="76">
        <f t="shared" ca="1" si="3"/>
        <v>40675.645737376915</v>
      </c>
      <c r="AK7" s="76">
        <f t="shared" ca="1" si="3"/>
        <v>43847.710089524044</v>
      </c>
      <c r="AL7" s="76">
        <f t="shared" ca="1" si="3"/>
        <v>47215.515978298856</v>
      </c>
      <c r="AM7" s="76">
        <f ca="1">+AM57</f>
        <v>51024.243461876133</v>
      </c>
      <c r="AN7" s="7"/>
      <c r="AO7" s="314">
        <f ca="1">(AL7/AB7)^(1/10)-1</f>
        <v>9.5591033616915011E-2</v>
      </c>
      <c r="AP7" s="314">
        <f>(AB7/L7)^(1/16)-1</f>
        <v>8.3395047242525555E-2</v>
      </c>
      <c r="AQ7" s="314">
        <f t="shared" ref="AQ7:AQ11" si="4">(AA7/Q7)^(1/10)-1</f>
        <v>0.10524649779104256</v>
      </c>
      <c r="AR7" s="314">
        <f ca="1">(AL7/AA7)^(1/11)-1</f>
        <v>7.9660883347912881E-2</v>
      </c>
    </row>
    <row r="8" spans="2:44">
      <c r="D8" s="187" t="s">
        <v>268</v>
      </c>
      <c r="G8" s="7"/>
      <c r="H8" s="7"/>
      <c r="I8" s="7"/>
      <c r="J8" s="7"/>
      <c r="K8" s="7"/>
      <c r="L8" s="76">
        <f t="shared" ref="L8:Z8" si="5">+L9-L7</f>
        <v>-4610.1039999999994</v>
      </c>
      <c r="M8" s="76">
        <f t="shared" si="5"/>
        <v>-5469.2860000000001</v>
      </c>
      <c r="N8" s="76">
        <f t="shared" si="5"/>
        <v>-6494.5379999999996</v>
      </c>
      <c r="O8" s="76">
        <f t="shared" si="5"/>
        <v>-7126.9</v>
      </c>
      <c r="P8" s="76">
        <f t="shared" si="5"/>
        <v>-6006</v>
      </c>
      <c r="Q8" s="76">
        <f t="shared" si="5"/>
        <v>-6371.2999999999993</v>
      </c>
      <c r="R8" s="76">
        <f t="shared" si="5"/>
        <v>-7674.3</v>
      </c>
      <c r="S8" s="76">
        <f t="shared" si="5"/>
        <v>-8624.7000000000007</v>
      </c>
      <c r="T8" s="76">
        <f t="shared" si="5"/>
        <v>-9498.5</v>
      </c>
      <c r="U8" s="76">
        <f t="shared" si="5"/>
        <v>-10925.599999999999</v>
      </c>
      <c r="V8" s="76">
        <f t="shared" si="5"/>
        <v>-12381.2</v>
      </c>
      <c r="W8" s="76">
        <f t="shared" si="5"/>
        <v>-13130.900000000001</v>
      </c>
      <c r="X8" s="76">
        <f t="shared" si="5"/>
        <v>-13691.900000000001</v>
      </c>
      <c r="Y8" s="76">
        <f t="shared" si="5"/>
        <v>-14791.4</v>
      </c>
      <c r="Z8" s="76">
        <f t="shared" si="5"/>
        <v>-15692.499999999998</v>
      </c>
      <c r="AA8" s="76">
        <f>+AA9-AA7</f>
        <v>-17597.700000000004</v>
      </c>
      <c r="AB8" s="76">
        <f t="shared" ref="AB8:AL8" si="6">+AB9-AB7</f>
        <v>-16570.5</v>
      </c>
      <c r="AC8" s="76">
        <f t="shared" ca="1" si="6"/>
        <v>-20474.769344034714</v>
      </c>
      <c r="AD8" s="76">
        <f t="shared" ca="1" si="6"/>
        <v>-22013.666010385274</v>
      </c>
      <c r="AE8" s="76">
        <f t="shared" ca="1" si="6"/>
        <v>-23860.71191934701</v>
      </c>
      <c r="AF8" s="76">
        <f t="shared" ca="1" si="6"/>
        <v>-25892.996126376529</v>
      </c>
      <c r="AG8" s="76">
        <f t="shared" ca="1" si="6"/>
        <v>-28053.820185155768</v>
      </c>
      <c r="AH8" s="76">
        <f t="shared" ca="1" si="6"/>
        <v>-30363.294430569476</v>
      </c>
      <c r="AI8" s="76">
        <f t="shared" ca="1" si="6"/>
        <v>-32827.391942172748</v>
      </c>
      <c r="AJ8" s="76">
        <f t="shared" ca="1" si="6"/>
        <v>-35454.182231149432</v>
      </c>
      <c r="AK8" s="76">
        <f t="shared" ca="1" si="6"/>
        <v>-38245.0018137636</v>
      </c>
      <c r="AL8" s="76">
        <f t="shared" ca="1" si="6"/>
        <v>-41209.543432093255</v>
      </c>
      <c r="AM8" s="76">
        <f ca="1">+AM9-AM7</f>
        <v>-44562.159608283931</v>
      </c>
      <c r="AN8" s="7"/>
      <c r="AO8" s="314">
        <f ca="1">(AL8/AB8)^(1/10)-1</f>
        <v>9.5383561078734358E-2</v>
      </c>
      <c r="AP8" s="314">
        <f>(AB8/L8)^(1/16)-1</f>
        <v>8.3244657111738229E-2</v>
      </c>
      <c r="AQ8" s="314">
        <f t="shared" si="4"/>
        <v>0.10693669735374089</v>
      </c>
      <c r="AR8" s="314">
        <f t="shared" ref="AR8:AR11" ca="1" si="7">(AL8/AA8)^(1/11)-1</f>
        <v>8.0425230801873138E-2</v>
      </c>
    </row>
    <row r="9" spans="2:44">
      <c r="D9" s="2" t="s">
        <v>265</v>
      </c>
      <c r="E9" s="229"/>
      <c r="F9" s="229"/>
      <c r="G9" s="230"/>
      <c r="H9" s="230"/>
      <c r="I9" s="230"/>
      <c r="J9" s="230"/>
      <c r="K9" s="230"/>
      <c r="L9" s="188">
        <f t="shared" ref="L9:Z9" si="8">+L62</f>
        <v>650.19600000000003</v>
      </c>
      <c r="M9" s="188">
        <f t="shared" si="8"/>
        <v>790.71400000000006</v>
      </c>
      <c r="N9" s="188">
        <f t="shared" si="8"/>
        <v>971.06200000000001</v>
      </c>
      <c r="O9" s="188">
        <f t="shared" si="8"/>
        <v>1072.5</v>
      </c>
      <c r="P9" s="188">
        <f t="shared" si="8"/>
        <v>968.09999999999991</v>
      </c>
      <c r="Q9" s="188">
        <f t="shared" si="8"/>
        <v>1098.9000000000001</v>
      </c>
      <c r="R9" s="188">
        <f t="shared" si="8"/>
        <v>1301.2</v>
      </c>
      <c r="S9" s="188">
        <f t="shared" si="8"/>
        <v>1378.8000000000002</v>
      </c>
      <c r="T9" s="188">
        <f t="shared" si="8"/>
        <v>1464.3999999999999</v>
      </c>
      <c r="U9" s="188">
        <f t="shared" si="8"/>
        <v>1648.7000000000003</v>
      </c>
      <c r="V9" s="188">
        <f t="shared" si="8"/>
        <v>1887.5</v>
      </c>
      <c r="W9" s="188">
        <f t="shared" si="8"/>
        <v>2018.7999999999997</v>
      </c>
      <c r="X9" s="188">
        <f t="shared" si="8"/>
        <v>2183.3000000000002</v>
      </c>
      <c r="Y9" s="188">
        <f t="shared" si="8"/>
        <v>2328.9</v>
      </c>
      <c r="Z9" s="188">
        <f t="shared" si="8"/>
        <v>2480.6</v>
      </c>
      <c r="AA9" s="188">
        <f>+AA62</f>
        <v>2722.3</v>
      </c>
      <c r="AB9" s="188">
        <f t="shared" ref="AB9:AL9" si="9">+AB62</f>
        <v>2379.1</v>
      </c>
      <c r="AC9" s="188">
        <f t="shared" ca="1" si="9"/>
        <v>3102.0837003131692</v>
      </c>
      <c r="AD9" s="188">
        <f t="shared" ca="1" si="9"/>
        <v>3351.0342091872553</v>
      </c>
      <c r="AE9" s="188">
        <f t="shared" ca="1" si="9"/>
        <v>3609.6732674565751</v>
      </c>
      <c r="AF9" s="188">
        <f t="shared" ca="1" si="9"/>
        <v>3896.2837739688339</v>
      </c>
      <c r="AG9" s="188">
        <f t="shared" ca="1" si="9"/>
        <v>4199.2193069201503</v>
      </c>
      <c r="AH9" s="188">
        <f t="shared" ca="1" si="9"/>
        <v>4521.2894686345408</v>
      </c>
      <c r="AI9" s="188">
        <f t="shared" ca="1" si="9"/>
        <v>4860.9934721346872</v>
      </c>
      <c r="AJ9" s="188">
        <f t="shared" ca="1" si="9"/>
        <v>5221.4635063076994</v>
      </c>
      <c r="AK9" s="188">
        <f t="shared" ca="1" si="9"/>
        <v>5602.7082758020024</v>
      </c>
      <c r="AL9" s="188">
        <f t="shared" ca="1" si="9"/>
        <v>6005.9725462055994</v>
      </c>
      <c r="AM9" s="188">
        <f ca="1">+AM62</f>
        <v>6462.0838535921985</v>
      </c>
      <c r="AN9" s="7"/>
      <c r="AO9" s="314">
        <f ca="1">(AL9/AB9)^(1/10)-1</f>
        <v>9.7026363492391132E-2</v>
      </c>
      <c r="AP9" s="314">
        <f>(AB9/L9)^(1/16)-1</f>
        <v>8.4452477399472592E-2</v>
      </c>
      <c r="AQ9" s="314">
        <f t="shared" si="4"/>
        <v>9.4958806774056104E-2</v>
      </c>
      <c r="AR9" s="314">
        <f t="shared" ca="1" si="7"/>
        <v>7.4584740281923079E-2</v>
      </c>
    </row>
    <row r="10" spans="2:44">
      <c r="D10" s="187" t="s">
        <v>276</v>
      </c>
      <c r="G10" s="7"/>
      <c r="H10" s="7"/>
      <c r="I10" s="7"/>
      <c r="J10" s="7"/>
      <c r="K10" s="7"/>
      <c r="L10" s="76">
        <f t="shared" ref="L10:Z10" si="10">+L183</f>
        <v>82.656000000000006</v>
      </c>
      <c r="M10" s="76">
        <f t="shared" si="10"/>
        <v>104.327</v>
      </c>
      <c r="N10" s="76">
        <f t="shared" si="10"/>
        <v>132.625</v>
      </c>
      <c r="O10" s="76">
        <f t="shared" si="10"/>
        <v>85.9</v>
      </c>
      <c r="P10" s="76">
        <f t="shared" si="10"/>
        <v>15.3</v>
      </c>
      <c r="Q10" s="76">
        <f t="shared" si="10"/>
        <v>175.2</v>
      </c>
      <c r="R10" s="76">
        <f t="shared" si="10"/>
        <v>220</v>
      </c>
      <c r="S10" s="76">
        <f t="shared" si="10"/>
        <v>262.2</v>
      </c>
      <c r="T10" s="76">
        <f t="shared" si="10"/>
        <v>299.3</v>
      </c>
      <c r="U10" s="76">
        <f t="shared" si="10"/>
        <v>336.2</v>
      </c>
      <c r="V10" s="76">
        <f t="shared" si="10"/>
        <v>367.3</v>
      </c>
      <c r="W10" s="76">
        <f t="shared" si="10"/>
        <v>392</v>
      </c>
      <c r="X10" s="76">
        <f t="shared" si="10"/>
        <v>369</v>
      </c>
      <c r="Y10" s="76">
        <f t="shared" si="10"/>
        <v>421.2</v>
      </c>
      <c r="Z10" s="76">
        <f t="shared" si="10"/>
        <v>438.7</v>
      </c>
      <c r="AA10" s="76">
        <f>+AA183</f>
        <v>456</v>
      </c>
      <c r="AB10" s="76">
        <f t="shared" ref="AB10:AL10" si="11">+AB183</f>
        <v>562.79999999999995</v>
      </c>
      <c r="AC10" s="76">
        <f t="shared" ca="1" si="11"/>
        <v>544.13858493018336</v>
      </c>
      <c r="AD10" s="76">
        <f t="shared" ca="1" si="11"/>
        <v>579.72394188481508</v>
      </c>
      <c r="AE10" s="76">
        <f t="shared" ca="1" si="11"/>
        <v>617.6775993287531</v>
      </c>
      <c r="AF10" s="76">
        <f t="shared" ca="1" si="11"/>
        <v>669.1637153489105</v>
      </c>
      <c r="AG10" s="76">
        <f t="shared" ca="1" si="11"/>
        <v>723.33929981142069</v>
      </c>
      <c r="AH10" s="76">
        <f t="shared" ca="1" si="11"/>
        <v>782.60186039831694</v>
      </c>
      <c r="AI10" s="76">
        <f t="shared" ca="1" si="11"/>
        <v>847.17139523895594</v>
      </c>
      <c r="AJ10" s="76">
        <f t="shared" ca="1" si="11"/>
        <v>916.51886626690202</v>
      </c>
      <c r="AK10" s="76">
        <f t="shared" ca="1" si="11"/>
        <v>990.78191303477479</v>
      </c>
      <c r="AL10" s="76">
        <f t="shared" ca="1" si="11"/>
        <v>1070.4209722667169</v>
      </c>
      <c r="AM10" s="76">
        <f ca="1">+AM183</f>
        <v>1155.326030822572</v>
      </c>
      <c r="AN10" s="7"/>
      <c r="AO10" s="314">
        <f ca="1">(AL10/AB10)^(1/10)-1</f>
        <v>6.6399792909723754E-2</v>
      </c>
      <c r="AP10" s="314">
        <f>(AB10/L10)^(1/16)-1</f>
        <v>0.12737261590505566</v>
      </c>
      <c r="AQ10" s="314">
        <f t="shared" si="4"/>
        <v>0.10038097758585329</v>
      </c>
      <c r="AR10" s="314">
        <f t="shared" ca="1" si="7"/>
        <v>8.0662244930905791E-2</v>
      </c>
    </row>
    <row r="11" spans="2:44">
      <c r="D11" s="187" t="s">
        <v>371</v>
      </c>
      <c r="G11" s="7"/>
      <c r="H11" s="7"/>
      <c r="I11" s="7"/>
      <c r="J11" s="7"/>
      <c r="K11" s="7"/>
      <c r="L11" s="76">
        <f t="shared" ref="L11:Z11" si="12">-L29-L14</f>
        <v>-526.43200000000002</v>
      </c>
      <c r="M11" s="76">
        <f t="shared" si="12"/>
        <v>-647.678</v>
      </c>
      <c r="N11" s="76">
        <f t="shared" si="12"/>
        <v>-741.61699999999996</v>
      </c>
      <c r="O11" s="76">
        <f t="shared" si="12"/>
        <v>-811.75699999999995</v>
      </c>
      <c r="P11" s="76">
        <f t="shared" si="12"/>
        <v>-827.61699999999996</v>
      </c>
      <c r="Q11" s="76">
        <f t="shared" si="12"/>
        <v>-716.97200000000009</v>
      </c>
      <c r="R11" s="76">
        <f t="shared" si="12"/>
        <v>-802.47899999999993</v>
      </c>
      <c r="S11" s="76">
        <f t="shared" si="12"/>
        <v>-857.98800000000006</v>
      </c>
      <c r="T11" s="76">
        <f t="shared" si="12"/>
        <v>-935.71699999999998</v>
      </c>
      <c r="U11" s="76">
        <f t="shared" si="12"/>
        <v>-1053.289</v>
      </c>
      <c r="V11" s="76">
        <f t="shared" si="12"/>
        <v>-1142.527</v>
      </c>
      <c r="W11" s="76">
        <f t="shared" si="12"/>
        <v>-1214.54</v>
      </c>
      <c r="X11" s="76">
        <f t="shared" si="12"/>
        <v>-1319.625</v>
      </c>
      <c r="Y11" s="76">
        <f t="shared" si="12"/>
        <v>-1437.1579999999999</v>
      </c>
      <c r="Z11" s="76">
        <f t="shared" si="12"/>
        <v>-1548.0530000000001</v>
      </c>
      <c r="AA11" s="76">
        <f>-AA29-AA14</f>
        <v>-1724.289</v>
      </c>
      <c r="AB11" s="76">
        <f t="shared" ref="AB11:AL11" si="13">-AB29-AB14</f>
        <v>-1656.644</v>
      </c>
      <c r="AC11" s="76">
        <f t="shared" ca="1" si="13"/>
        <v>-2116.3690905817448</v>
      </c>
      <c r="AD11" s="76">
        <f t="shared" ca="1" si="13"/>
        <v>-2218.3926835647976</v>
      </c>
      <c r="AE11" s="76">
        <f t="shared" ca="1" si="13"/>
        <v>-2363.5553519261989</v>
      </c>
      <c r="AF11" s="76">
        <f t="shared" ca="1" si="13"/>
        <v>-2508.6992252995869</v>
      </c>
      <c r="AG11" s="76">
        <f t="shared" ca="1" si="13"/>
        <v>-2658.9204001214566</v>
      </c>
      <c r="AH11" s="76">
        <f t="shared" ca="1" si="13"/>
        <v>-2833.4644932613187</v>
      </c>
      <c r="AI11" s="76">
        <f t="shared" ca="1" si="13"/>
        <v>-3025.0263811605414</v>
      </c>
      <c r="AJ11" s="76">
        <f t="shared" ca="1" si="13"/>
        <v>-3207.0022311483217</v>
      </c>
      <c r="AK11" s="76">
        <f t="shared" ca="1" si="13"/>
        <v>-3396.331852304626</v>
      </c>
      <c r="AL11" s="76">
        <f t="shared" ca="1" si="13"/>
        <v>-3602.4336789656986</v>
      </c>
      <c r="AM11" s="76">
        <f ca="1">-AM29-AM14</f>
        <v>-3837.2069485457159</v>
      </c>
      <c r="AN11" s="7"/>
      <c r="AO11" s="314">
        <f ca="1">(AL11/AB11)^(1/10)-1</f>
        <v>8.0778459125374624E-2</v>
      </c>
      <c r="AP11" s="314">
        <f>(AB11/L11)^(1/16)-1</f>
        <v>7.4281091999847781E-2</v>
      </c>
      <c r="AQ11" s="314">
        <f t="shared" si="4"/>
        <v>9.1718792610367084E-2</v>
      </c>
      <c r="AR11" s="314">
        <f t="shared" ca="1" si="7"/>
        <v>6.9275535746554873E-2</v>
      </c>
    </row>
    <row r="12" spans="2:44">
      <c r="D12" s="187" t="s">
        <v>609</v>
      </c>
      <c r="G12" s="7"/>
      <c r="H12" s="7"/>
      <c r="I12" s="7"/>
      <c r="J12" s="7"/>
      <c r="K12" s="7"/>
      <c r="L12" s="81">
        <v>0.42099999999999999</v>
      </c>
      <c r="M12" s="81">
        <v>1.0229999999999999</v>
      </c>
      <c r="N12" s="81">
        <v>1.2030000000000001</v>
      </c>
      <c r="O12" s="81">
        <f>1.366+0.74</f>
        <v>2.1059999999999999</v>
      </c>
      <c r="P12" s="81">
        <v>1.786</v>
      </c>
      <c r="Q12" s="81">
        <v>0.56000000000000005</v>
      </c>
      <c r="R12" s="81">
        <v>0.48</v>
      </c>
      <c r="S12" s="81">
        <v>0.46400000000000002</v>
      </c>
      <c r="T12" s="81">
        <v>1.113</v>
      </c>
      <c r="U12" s="81">
        <v>-1.4970000000000001</v>
      </c>
      <c r="V12" s="81">
        <v>-3.2919999999999998</v>
      </c>
      <c r="W12" s="81">
        <v>-12.558999999999999</v>
      </c>
      <c r="X12" s="81">
        <v>-0.95299999999999996</v>
      </c>
      <c r="Y12" s="81">
        <v>1.363</v>
      </c>
      <c r="Z12" s="81">
        <v>-0.40799999999999997</v>
      </c>
      <c r="AA12" s="81">
        <v>5.69</v>
      </c>
      <c r="AB12" s="81">
        <v>8.2750000000000004</v>
      </c>
      <c r="AC12" s="81">
        <f>17.5*0.75</f>
        <v>13.125</v>
      </c>
      <c r="AD12" s="81">
        <v>17.5</v>
      </c>
      <c r="AE12" s="81">
        <f t="shared" ref="AE12:AM12" si="14">+AD12*1.1</f>
        <v>19.25</v>
      </c>
      <c r="AF12" s="81">
        <f t="shared" si="14"/>
        <v>21.175000000000001</v>
      </c>
      <c r="AG12" s="81">
        <f t="shared" si="14"/>
        <v>23.292500000000004</v>
      </c>
      <c r="AH12" s="81">
        <f t="shared" si="14"/>
        <v>25.621750000000006</v>
      </c>
      <c r="AI12" s="81">
        <f t="shared" si="14"/>
        <v>28.183925000000009</v>
      </c>
      <c r="AJ12" s="81">
        <f t="shared" si="14"/>
        <v>31.002317500000014</v>
      </c>
      <c r="AK12" s="81">
        <f t="shared" si="14"/>
        <v>34.102549250000017</v>
      </c>
      <c r="AL12" s="81">
        <f t="shared" si="14"/>
        <v>37.512804175000021</v>
      </c>
      <c r="AM12" s="81">
        <f t="shared" si="14"/>
        <v>41.264084592500026</v>
      </c>
      <c r="AN12" s="7"/>
    </row>
    <row r="13" spans="2:44">
      <c r="D13" s="2" t="s">
        <v>102</v>
      </c>
      <c r="E13" s="229"/>
      <c r="F13" s="229"/>
      <c r="G13" s="230"/>
      <c r="H13" s="230"/>
      <c r="I13" s="230"/>
      <c r="J13" s="230"/>
      <c r="K13" s="230"/>
      <c r="L13" s="188">
        <f t="shared" ref="L13:AL13" si="15">SUM(L9:L12)</f>
        <v>206.84100000000007</v>
      </c>
      <c r="M13" s="188">
        <f t="shared" si="15"/>
        <v>248.38600000000005</v>
      </c>
      <c r="N13" s="188">
        <f t="shared" si="15"/>
        <v>363.27299999999991</v>
      </c>
      <c r="O13" s="188">
        <f t="shared" si="15"/>
        <v>348.74900000000014</v>
      </c>
      <c r="P13" s="188">
        <f t="shared" si="15"/>
        <v>157.5689999999999</v>
      </c>
      <c r="Q13" s="188">
        <f t="shared" si="15"/>
        <v>557.68799999999999</v>
      </c>
      <c r="R13" s="188">
        <f t="shared" si="15"/>
        <v>719.20100000000014</v>
      </c>
      <c r="S13" s="188">
        <f t="shared" si="15"/>
        <v>783.47600000000023</v>
      </c>
      <c r="T13" s="188">
        <f t="shared" si="15"/>
        <v>829.09599999999989</v>
      </c>
      <c r="U13" s="188">
        <f t="shared" si="15"/>
        <v>930.11400000000037</v>
      </c>
      <c r="V13" s="188">
        <f t="shared" si="15"/>
        <v>1108.9810000000002</v>
      </c>
      <c r="W13" s="188">
        <f t="shared" si="15"/>
        <v>1183.7009999999998</v>
      </c>
      <c r="X13" s="188">
        <f t="shared" si="15"/>
        <v>1231.7220000000002</v>
      </c>
      <c r="Y13" s="188">
        <f t="shared" si="15"/>
        <v>1314.3050000000001</v>
      </c>
      <c r="Z13" s="188">
        <f t="shared" si="15"/>
        <v>1370.8389999999997</v>
      </c>
      <c r="AA13" s="188">
        <f t="shared" si="15"/>
        <v>1459.7010000000002</v>
      </c>
      <c r="AB13" s="188">
        <f t="shared" si="15"/>
        <v>1293.5309999999997</v>
      </c>
      <c r="AC13" s="188">
        <f t="shared" ca="1" si="15"/>
        <v>1542.9781946616076</v>
      </c>
      <c r="AD13" s="188">
        <f t="shared" ca="1" si="15"/>
        <v>1729.8654675072726</v>
      </c>
      <c r="AE13" s="188">
        <f t="shared" ca="1" si="15"/>
        <v>1883.0455148591295</v>
      </c>
      <c r="AF13" s="188">
        <f t="shared" ca="1" si="15"/>
        <v>2077.9232640181581</v>
      </c>
      <c r="AG13" s="188">
        <f t="shared" ca="1" si="15"/>
        <v>2286.9307066101142</v>
      </c>
      <c r="AH13" s="188">
        <f t="shared" ca="1" si="15"/>
        <v>2496.0485857715385</v>
      </c>
      <c r="AI13" s="188">
        <f t="shared" ca="1" si="15"/>
        <v>2711.322411213102</v>
      </c>
      <c r="AJ13" s="188">
        <f t="shared" ca="1" si="15"/>
        <v>2961.9824589262794</v>
      </c>
      <c r="AK13" s="188">
        <f t="shared" ca="1" si="15"/>
        <v>3231.2608857821506</v>
      </c>
      <c r="AL13" s="188">
        <f t="shared" ca="1" si="15"/>
        <v>3511.4726436816172</v>
      </c>
      <c r="AM13" s="188">
        <f ca="1">SUM(AM9:AM12)</f>
        <v>3821.4670204615545</v>
      </c>
      <c r="AN13" s="7"/>
      <c r="AO13" s="314">
        <f ca="1">(AL13/AB13)^(1/10)-1</f>
        <v>0.10502281495563426</v>
      </c>
      <c r="AP13" s="314">
        <f>(AB13/L13)^(1/16)-1</f>
        <v>0.12139538193239896</v>
      </c>
      <c r="AQ13" s="314">
        <f t="shared" ref="AQ13:AQ16" si="16">(AA13/Q13)^(1/10)-1</f>
        <v>0.1009998519797779</v>
      </c>
      <c r="AR13" s="314">
        <f ca="1">(AL13/AA13)^(1/11)-1</f>
        <v>8.3070814531891468E-2</v>
      </c>
    </row>
    <row r="14" spans="2:44">
      <c r="D14" s="187" t="s">
        <v>7</v>
      </c>
      <c r="G14" s="7"/>
      <c r="H14" s="7"/>
      <c r="I14" s="7"/>
      <c r="J14" s="7"/>
      <c r="K14" s="7"/>
      <c r="L14" s="81">
        <v>-20.145</v>
      </c>
      <c r="M14" s="81">
        <v>-26.692</v>
      </c>
      <c r="N14" s="81">
        <v>-34.551000000000002</v>
      </c>
      <c r="O14" s="81">
        <v>-46.615000000000002</v>
      </c>
      <c r="P14" s="81">
        <v>-54.741</v>
      </c>
      <c r="Q14" s="81">
        <v>-75.227999999999994</v>
      </c>
      <c r="R14" s="81">
        <v>-76.320999999999998</v>
      </c>
      <c r="S14" s="81">
        <v>-82.811999999999998</v>
      </c>
      <c r="T14" s="81">
        <v>-95.283000000000001</v>
      </c>
      <c r="U14" s="81">
        <v>-101.911</v>
      </c>
      <c r="V14" s="81">
        <v>-115.173</v>
      </c>
      <c r="W14" s="81">
        <v>-137.36000000000001</v>
      </c>
      <c r="X14" s="81">
        <v>-168.875</v>
      </c>
      <c r="Y14" s="81">
        <v>-179.94200000000001</v>
      </c>
      <c r="Z14" s="81">
        <v>-182.24700000000001</v>
      </c>
      <c r="AA14" s="81">
        <v>-215.81100000000001</v>
      </c>
      <c r="AB14" s="81">
        <v>-242.15600000000001</v>
      </c>
      <c r="AC14" s="92">
        <f>+AC399+AC415</f>
        <v>-219.85162308998301</v>
      </c>
      <c r="AD14" s="92">
        <f ca="1">+AD399+AD415</f>
        <v>-236.47594385832471</v>
      </c>
      <c r="AE14" s="92">
        <f t="shared" ref="AE14:AM14" ca="1" si="17">+AE399+AE415</f>
        <v>-253.44956688226421</v>
      </c>
      <c r="AF14" s="92">
        <f t="shared" ca="1" si="17"/>
        <v>-273.22241927775059</v>
      </c>
      <c r="AG14" s="92">
        <f t="shared" ca="1" si="17"/>
        <v>-293.89271648578779</v>
      </c>
      <c r="AH14" s="76">
        <f t="shared" ca="1" si="17"/>
        <v>-315.2216583899293</v>
      </c>
      <c r="AI14" s="76">
        <f t="shared" ca="1" si="17"/>
        <v>-337.41191332773639</v>
      </c>
      <c r="AJ14" s="76">
        <f t="shared" ca="1" si="17"/>
        <v>-360.41867344504408</v>
      </c>
      <c r="AK14" s="76">
        <f t="shared" ca="1" si="17"/>
        <v>-384.2763648189694</v>
      </c>
      <c r="AL14" s="76">
        <f t="shared" ca="1" si="17"/>
        <v>-408.89659452839879</v>
      </c>
      <c r="AM14" s="76">
        <f t="shared" ca="1" si="17"/>
        <v>-434.30259240128078</v>
      </c>
      <c r="AN14" s="7"/>
      <c r="AO14" s="314">
        <f ca="1">(AL14/AB14)^(1/10)-1</f>
        <v>5.3784547660120641E-2</v>
      </c>
      <c r="AP14" s="314">
        <f>(AB14/L14)^(1/16)-1</f>
        <v>0.16814161963755003</v>
      </c>
      <c r="AQ14" s="314">
        <f t="shared" si="16"/>
        <v>0.11114159663933165</v>
      </c>
      <c r="AR14" s="314">
        <f ca="1">(AL14/AA14)^(1/11)-1</f>
        <v>5.9817048703592945E-2</v>
      </c>
    </row>
    <row r="15" spans="2:44">
      <c r="D15" s="2" t="s">
        <v>4</v>
      </c>
      <c r="E15" s="229"/>
      <c r="F15" s="229"/>
      <c r="G15" s="230"/>
      <c r="H15" s="230"/>
      <c r="I15" s="230"/>
      <c r="J15" s="230"/>
      <c r="K15" s="230"/>
      <c r="L15" s="188">
        <f t="shared" ref="L15:Z15" si="18">SUM(L13:L14)</f>
        <v>186.69600000000005</v>
      </c>
      <c r="M15" s="188">
        <f t="shared" si="18"/>
        <v>221.69400000000005</v>
      </c>
      <c r="N15" s="188">
        <f t="shared" si="18"/>
        <v>328.72199999999992</v>
      </c>
      <c r="O15" s="188">
        <f t="shared" si="18"/>
        <v>302.13400000000013</v>
      </c>
      <c r="P15" s="188">
        <f t="shared" si="18"/>
        <v>102.8279999999999</v>
      </c>
      <c r="Q15" s="188">
        <f t="shared" si="18"/>
        <v>482.46</v>
      </c>
      <c r="R15" s="188">
        <f t="shared" si="18"/>
        <v>642.88000000000011</v>
      </c>
      <c r="S15" s="188">
        <f t="shared" si="18"/>
        <v>700.66400000000021</v>
      </c>
      <c r="T15" s="188">
        <f t="shared" si="18"/>
        <v>733.81299999999987</v>
      </c>
      <c r="U15" s="188">
        <f t="shared" si="18"/>
        <v>828.20300000000043</v>
      </c>
      <c r="V15" s="188">
        <f t="shared" si="18"/>
        <v>993.80800000000022</v>
      </c>
      <c r="W15" s="188">
        <f t="shared" si="18"/>
        <v>1046.3409999999999</v>
      </c>
      <c r="X15" s="188">
        <f t="shared" si="18"/>
        <v>1062.8470000000002</v>
      </c>
      <c r="Y15" s="188">
        <f t="shared" si="18"/>
        <v>1134.3630000000001</v>
      </c>
      <c r="Z15" s="188">
        <f t="shared" si="18"/>
        <v>1188.5919999999996</v>
      </c>
      <c r="AA15" s="188">
        <f>SUM(AA13:AA14)</f>
        <v>1243.8900000000003</v>
      </c>
      <c r="AB15" s="188">
        <f t="shared" ref="AB15:AL15" si="19">SUM(AB13:AB14)</f>
        <v>1051.3749999999998</v>
      </c>
      <c r="AC15" s="188">
        <f t="shared" ca="1" si="19"/>
        <v>1323.1265715716247</v>
      </c>
      <c r="AD15" s="188">
        <f t="shared" ca="1" si="19"/>
        <v>1493.3895236489479</v>
      </c>
      <c r="AE15" s="188">
        <f t="shared" ca="1" si="19"/>
        <v>1629.5959479768653</v>
      </c>
      <c r="AF15" s="188">
        <f t="shared" ca="1" si="19"/>
        <v>1804.7008447404075</v>
      </c>
      <c r="AG15" s="188">
        <f t="shared" ca="1" si="19"/>
        <v>1993.0379901243264</v>
      </c>
      <c r="AH15" s="188">
        <f t="shared" ca="1" si="19"/>
        <v>2180.826927381609</v>
      </c>
      <c r="AI15" s="188">
        <f t="shared" ca="1" si="19"/>
        <v>2373.9104978853657</v>
      </c>
      <c r="AJ15" s="188">
        <f t="shared" ca="1" si="19"/>
        <v>2601.5637854812353</v>
      </c>
      <c r="AK15" s="188">
        <f t="shared" ca="1" si="19"/>
        <v>2846.9845209631812</v>
      </c>
      <c r="AL15" s="188">
        <f t="shared" ca="1" si="19"/>
        <v>3102.5760491532183</v>
      </c>
      <c r="AM15" s="188">
        <f ca="1">SUM(AM13:AM14)</f>
        <v>3387.1644280602736</v>
      </c>
      <c r="AN15" s="7"/>
      <c r="AO15" s="314">
        <f ca="1">(AL15/AB15)^(1/10)-1</f>
        <v>0.11428549948603739</v>
      </c>
      <c r="AP15" s="314">
        <f>(AB15/L15)^(1/16)-1</f>
        <v>0.11407368104782312</v>
      </c>
      <c r="AQ15" s="314">
        <f t="shared" si="16"/>
        <v>9.9340091447625234E-2</v>
      </c>
      <c r="AR15" s="314">
        <f ca="1">(AL15/AA15)^(1/11)-1</f>
        <v>8.6639521107001016E-2</v>
      </c>
    </row>
    <row r="16" spans="2:44">
      <c r="D16" s="187" t="s">
        <v>372</v>
      </c>
      <c r="G16" s="7"/>
      <c r="H16" s="7"/>
      <c r="I16" s="7"/>
      <c r="J16" s="7"/>
      <c r="K16" s="7"/>
      <c r="L16" s="81">
        <v>-2.806</v>
      </c>
      <c r="M16" s="81">
        <v>-4.093</v>
      </c>
      <c r="N16" s="81">
        <v>-5.3730000000000002</v>
      </c>
      <c r="O16" s="81">
        <v>-4.9550000000000001</v>
      </c>
      <c r="P16" s="81">
        <v>-6.0860000000000003</v>
      </c>
      <c r="Q16" s="81">
        <v>-35.994</v>
      </c>
      <c r="R16" s="81">
        <v>-34.68</v>
      </c>
      <c r="S16" s="81">
        <v>-33.713999999999999</v>
      </c>
      <c r="T16" s="81">
        <v>-32.356999999999999</v>
      </c>
      <c r="U16" s="81">
        <v>-30.834</v>
      </c>
      <c r="V16" s="81">
        <v>-24.472999999999999</v>
      </c>
      <c r="W16" s="81">
        <v>-36.357999999999997</v>
      </c>
      <c r="X16" s="81">
        <v>-56.415999999999997</v>
      </c>
      <c r="Y16" s="81">
        <v>-70.745000000000005</v>
      </c>
      <c r="Z16" s="81">
        <v>-75.792000000000002</v>
      </c>
      <c r="AA16" s="81">
        <v>-83.007000000000005</v>
      </c>
      <c r="AB16" s="81">
        <v>-86.177999999999997</v>
      </c>
      <c r="AC16" s="76">
        <f t="shared" ref="AC16:AM16" ca="1" si="20">-AC359</f>
        <v>-84.729804748847172</v>
      </c>
      <c r="AD16" s="76">
        <f t="shared" ca="1" si="20"/>
        <v>-98.812426872233019</v>
      </c>
      <c r="AE16" s="76">
        <f t="shared" ca="1" si="20"/>
        <v>-110.63614956044958</v>
      </c>
      <c r="AF16" s="76">
        <f t="shared" ca="1" si="20"/>
        <v>-123.22096989104338</v>
      </c>
      <c r="AG16" s="76">
        <f t="shared" ca="1" si="20"/>
        <v>-137.86120708779467</v>
      </c>
      <c r="AH16" s="76">
        <f t="shared" ca="1" si="20"/>
        <v>-153.43071044336858</v>
      </c>
      <c r="AI16" s="76">
        <f t="shared" ca="1" si="20"/>
        <v>-170.20069308520706</v>
      </c>
      <c r="AJ16" s="76">
        <f t="shared" ca="1" si="20"/>
        <v>-190.12155985911974</v>
      </c>
      <c r="AK16" s="76">
        <f t="shared" ca="1" si="20"/>
        <v>-212.81795638022194</v>
      </c>
      <c r="AL16" s="76">
        <f t="shared" ca="1" si="20"/>
        <v>-237.81028058005185</v>
      </c>
      <c r="AM16" s="76">
        <f t="shared" ca="1" si="20"/>
        <v>-261.63272757212081</v>
      </c>
      <c r="AN16" s="7"/>
      <c r="AO16" s="314">
        <f ca="1">(AL16/AB16)^(1/10)-1</f>
        <v>0.10683637019852998</v>
      </c>
      <c r="AP16" s="314">
        <f>(AB16/L16)^(1/16)-1</f>
        <v>0.2386733575333182</v>
      </c>
      <c r="AQ16" s="314">
        <f t="shared" si="16"/>
        <v>8.7147472672879367E-2</v>
      </c>
      <c r="AR16" s="314">
        <f ca="1">(AL16/AA16)^(1/11)-1</f>
        <v>0.100413707370554</v>
      </c>
    </row>
    <row r="17" spans="2:44">
      <c r="D17" s="2" t="s">
        <v>110</v>
      </c>
      <c r="E17" s="229"/>
      <c r="F17" s="229"/>
      <c r="G17" s="230"/>
      <c r="H17" s="230"/>
      <c r="I17" s="230"/>
      <c r="J17" s="230"/>
      <c r="K17" s="230"/>
      <c r="L17" s="188">
        <f t="shared" ref="L17:AM17" si="21">SUM(L15:L16)</f>
        <v>183.89000000000004</v>
      </c>
      <c r="M17" s="188">
        <f t="shared" si="21"/>
        <v>217.60100000000006</v>
      </c>
      <c r="N17" s="188">
        <f t="shared" si="21"/>
        <v>323.34899999999993</v>
      </c>
      <c r="O17" s="188">
        <f t="shared" si="21"/>
        <v>297.17900000000014</v>
      </c>
      <c r="P17" s="188">
        <f t="shared" si="21"/>
        <v>96.741999999999905</v>
      </c>
      <c r="Q17" s="188">
        <f t="shared" si="21"/>
        <v>446.46600000000001</v>
      </c>
      <c r="R17" s="188">
        <f t="shared" si="21"/>
        <v>608.20000000000016</v>
      </c>
      <c r="S17" s="188">
        <f t="shared" si="21"/>
        <v>666.95000000000027</v>
      </c>
      <c r="T17" s="188">
        <f t="shared" si="21"/>
        <v>701.4559999999999</v>
      </c>
      <c r="U17" s="188">
        <f t="shared" si="21"/>
        <v>797.36900000000048</v>
      </c>
      <c r="V17" s="188">
        <f t="shared" si="21"/>
        <v>969.33500000000026</v>
      </c>
      <c r="W17" s="188">
        <f t="shared" si="21"/>
        <v>1009.9829999999999</v>
      </c>
      <c r="X17" s="188">
        <f t="shared" si="21"/>
        <v>1006.4310000000003</v>
      </c>
      <c r="Y17" s="188">
        <f t="shared" si="21"/>
        <v>1063.6179999999999</v>
      </c>
      <c r="Z17" s="188">
        <f t="shared" si="21"/>
        <v>1112.7999999999997</v>
      </c>
      <c r="AA17" s="188">
        <f t="shared" si="21"/>
        <v>1160.8830000000003</v>
      </c>
      <c r="AB17" s="188">
        <f t="shared" si="21"/>
        <v>965.19699999999978</v>
      </c>
      <c r="AC17" s="188">
        <f t="shared" ca="1" si="21"/>
        <v>1238.3967668227776</v>
      </c>
      <c r="AD17" s="188">
        <f t="shared" ca="1" si="21"/>
        <v>1394.5770967767148</v>
      </c>
      <c r="AE17" s="188">
        <f t="shared" ca="1" si="21"/>
        <v>1518.9597984164157</v>
      </c>
      <c r="AF17" s="188">
        <f t="shared" ca="1" si="21"/>
        <v>1681.4798748493643</v>
      </c>
      <c r="AG17" s="188">
        <f t="shared" ca="1" si="21"/>
        <v>1855.1767830365318</v>
      </c>
      <c r="AH17" s="188">
        <f t="shared" ca="1" si="21"/>
        <v>2027.3962169382405</v>
      </c>
      <c r="AI17" s="188">
        <f t="shared" ca="1" si="21"/>
        <v>2203.7098048001585</v>
      </c>
      <c r="AJ17" s="188">
        <f t="shared" ca="1" si="21"/>
        <v>2411.4422256221155</v>
      </c>
      <c r="AK17" s="188">
        <f t="shared" ca="1" si="21"/>
        <v>2634.1665645829594</v>
      </c>
      <c r="AL17" s="188">
        <f t="shared" ca="1" si="21"/>
        <v>2864.7657685731665</v>
      </c>
      <c r="AM17" s="188">
        <f t="shared" ca="1" si="21"/>
        <v>3125.5317004881526</v>
      </c>
      <c r="AN17" s="7"/>
      <c r="AO17" s="314">
        <f ca="1">(AL17/AB17)^(1/10)-1</f>
        <v>0.11492926607885612</v>
      </c>
      <c r="AP17" s="314">
        <f>(AB17/L17)^(1/16)-1</f>
        <v>0.10918404958834604</v>
      </c>
      <c r="AQ17" s="314">
        <f>(AA17/Q17)^(1/10)-1</f>
        <v>0.10027186050507808</v>
      </c>
      <c r="AR17" s="314">
        <f ca="1">(AL17/AA17)^(1/11)-1</f>
        <v>8.558465794408221E-2</v>
      </c>
    </row>
    <row r="18" spans="2:44">
      <c r="D18" s="187"/>
      <c r="G18" s="7"/>
      <c r="H18" s="7"/>
      <c r="I18" s="7"/>
      <c r="J18" s="7"/>
      <c r="K18" s="7"/>
      <c r="L18" s="76"/>
      <c r="M18" s="76"/>
      <c r="N18" s="76"/>
      <c r="O18" s="76"/>
      <c r="P18" s="76"/>
      <c r="Q18" s="21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"/>
    </row>
    <row r="19" spans="2:44">
      <c r="D19" s="257" t="s">
        <v>171</v>
      </c>
      <c r="G19" s="7"/>
      <c r="H19" s="7"/>
      <c r="I19" s="7"/>
      <c r="J19" s="7"/>
      <c r="K19" s="7"/>
      <c r="L19" s="41">
        <f t="shared" ref="L19:Z19" si="22">+L9/L7</f>
        <v>0.12360435716594113</v>
      </c>
      <c r="M19" s="41">
        <f t="shared" si="22"/>
        <v>0.12631214057507989</v>
      </c>
      <c r="N19" s="41">
        <f t="shared" si="22"/>
        <v>0.13007152807543937</v>
      </c>
      <c r="O19" s="41">
        <f t="shared" si="22"/>
        <v>0.13080225382345051</v>
      </c>
      <c r="P19" s="41">
        <f t="shared" si="22"/>
        <v>0.13881361035832579</v>
      </c>
      <c r="Q19" s="41">
        <f t="shared" si="22"/>
        <v>0.14710449519423846</v>
      </c>
      <c r="R19" s="41">
        <f t="shared" si="22"/>
        <v>0.14497242493454404</v>
      </c>
      <c r="S19" s="41">
        <f t="shared" si="22"/>
        <v>0.13783175888439045</v>
      </c>
      <c r="T19" s="41">
        <f t="shared" si="22"/>
        <v>0.133577794196791</v>
      </c>
      <c r="U19" s="41">
        <f t="shared" si="22"/>
        <v>0.13111664267593429</v>
      </c>
      <c r="V19" s="41">
        <f t="shared" si="22"/>
        <v>0.13228254851528171</v>
      </c>
      <c r="W19" s="41">
        <f t="shared" si="22"/>
        <v>0.13325676416034637</v>
      </c>
      <c r="X19" s="41">
        <f t="shared" si="22"/>
        <v>0.13752897601290062</v>
      </c>
      <c r="Y19" s="41">
        <f t="shared" si="22"/>
        <v>0.1360314947752084</v>
      </c>
      <c r="Z19" s="41">
        <f t="shared" si="22"/>
        <v>0.13649845100725799</v>
      </c>
      <c r="AA19" s="41">
        <f>+AA9/AA7</f>
        <v>0.13397145669291338</v>
      </c>
      <c r="AB19" s="41">
        <f>+AB9/AB7</f>
        <v>0.12554882424958838</v>
      </c>
      <c r="AC19" s="41">
        <f t="shared" ref="AC19:AL19" ca="1" si="23">+AC9/AC7</f>
        <v>0.1315732720765648</v>
      </c>
      <c r="AD19" s="41">
        <f t="shared" ca="1" si="23"/>
        <v>0.13211408690734094</v>
      </c>
      <c r="AE19" s="41">
        <f t="shared" ca="1" si="23"/>
        <v>0.13140235358587601</v>
      </c>
      <c r="AF19" s="41">
        <f t="shared" ca="1" si="23"/>
        <v>0.13079482911338669</v>
      </c>
      <c r="AG19" s="41">
        <f t="shared" ca="1" si="23"/>
        <v>0.13019607990635076</v>
      </c>
      <c r="AH19" s="41">
        <f t="shared" ca="1" si="23"/>
        <v>0.12960709182352012</v>
      </c>
      <c r="AI19" s="41">
        <f t="shared" ca="1" si="23"/>
        <v>0.12897855449926376</v>
      </c>
      <c r="AJ19" s="41">
        <f t="shared" ca="1" si="23"/>
        <v>0.12836830028514307</v>
      </c>
      <c r="AK19" s="41">
        <f t="shared" ca="1" si="23"/>
        <v>0.12777653073245857</v>
      </c>
      <c r="AL19" s="41">
        <f t="shared" ca="1" si="23"/>
        <v>0.12720336571067142</v>
      </c>
      <c r="AM19" s="41">
        <f ca="1">+AM9/AM7</f>
        <v>0.12664732321647226</v>
      </c>
      <c r="AN19" s="7"/>
    </row>
    <row r="20" spans="2:44">
      <c r="D20" s="257" t="s">
        <v>103</v>
      </c>
      <c r="G20" s="7"/>
      <c r="H20" s="7"/>
      <c r="I20" s="7"/>
      <c r="J20" s="7"/>
      <c r="K20" s="7"/>
      <c r="L20" s="41">
        <f t="shared" ref="L20:Z20" si="24">+L13/L7</f>
        <v>3.9321141379769234E-2</v>
      </c>
      <c r="M20" s="41">
        <f t="shared" si="24"/>
        <v>3.9678274760383395E-2</v>
      </c>
      <c r="N20" s="41">
        <f t="shared" si="24"/>
        <v>4.8659585297899689E-2</v>
      </c>
      <c r="O20" s="41">
        <f t="shared" si="24"/>
        <v>4.2533478059370217E-2</v>
      </c>
      <c r="P20" s="41">
        <f t="shared" si="24"/>
        <v>2.2593452918656155E-2</v>
      </c>
      <c r="Q20" s="41">
        <f t="shared" si="24"/>
        <v>7.465502931648417E-2</v>
      </c>
      <c r="R20" s="41">
        <f t="shared" si="24"/>
        <v>8.0129352125229814E-2</v>
      </c>
      <c r="S20" s="41">
        <f t="shared" si="24"/>
        <v>7.8320187934223032E-2</v>
      </c>
      <c r="T20" s="41">
        <f t="shared" si="24"/>
        <v>7.5627434346751302E-2</v>
      </c>
      <c r="U20" s="41">
        <f t="shared" si="24"/>
        <v>7.3969445615262905E-2</v>
      </c>
      <c r="V20" s="41">
        <f t="shared" si="24"/>
        <v>7.7721235992066567E-2</v>
      </c>
      <c r="W20" s="41">
        <f t="shared" si="24"/>
        <v>7.8133626408443721E-2</v>
      </c>
      <c r="X20" s="41">
        <f t="shared" si="24"/>
        <v>7.758780991735538E-2</v>
      </c>
      <c r="Y20" s="41">
        <f t="shared" si="24"/>
        <v>7.6768806621379304E-2</v>
      </c>
      <c r="Z20" s="41">
        <f t="shared" si="24"/>
        <v>7.5432314794944166E-2</v>
      </c>
      <c r="AA20" s="41">
        <f>+AA13/AA7</f>
        <v>7.1835679133858271E-2</v>
      </c>
      <c r="AB20" s="41">
        <f>+AB13/AB7</f>
        <v>6.8261651960991251E-2</v>
      </c>
      <c r="AC20" s="41">
        <f t="shared" ref="AC20:AL20" ca="1" si="25">+AC13/AC7</f>
        <v>6.5444620270537268E-2</v>
      </c>
      <c r="AD20" s="41">
        <f t="shared" ca="1" si="25"/>
        <v>6.8199720577514708E-2</v>
      </c>
      <c r="AE20" s="41">
        <f t="shared" ca="1" si="25"/>
        <v>6.8548202074855513E-2</v>
      </c>
      <c r="AF20" s="41">
        <f t="shared" ca="1" si="25"/>
        <v>6.9754061560855812E-2</v>
      </c>
      <c r="AG20" s="41">
        <f t="shared" ca="1" si="25"/>
        <v>7.0905897324156947E-2</v>
      </c>
      <c r="AH20" s="41">
        <f t="shared" ca="1" si="25"/>
        <v>7.1551622716552174E-2</v>
      </c>
      <c r="AI20" s="41">
        <f t="shared" ca="1" si="25"/>
        <v>7.1940529725943822E-2</v>
      </c>
      <c r="AJ20" s="41">
        <f t="shared" ca="1" si="25"/>
        <v>7.2819555909459335E-2</v>
      </c>
      <c r="AK20" s="41">
        <f t="shared" ca="1" si="25"/>
        <v>7.36928081120969E-2</v>
      </c>
      <c r="AL20" s="41">
        <f t="shared" ca="1" si="25"/>
        <v>7.4371158949010668E-2</v>
      </c>
      <c r="AM20" s="41">
        <f ca="1">+AM13/AM7</f>
        <v>7.4895123595842161E-2</v>
      </c>
      <c r="AN20" s="7"/>
    </row>
    <row r="21" spans="2:44">
      <c r="D21" s="257" t="s">
        <v>188</v>
      </c>
      <c r="G21" s="7"/>
      <c r="H21" s="7"/>
      <c r="I21" s="7"/>
      <c r="J21" s="7"/>
      <c r="K21" s="7"/>
      <c r="L21" s="41">
        <f t="shared" ref="L21:Z21" si="26">+L15/L7</f>
        <v>3.5491511890956805E-2</v>
      </c>
      <c r="M21" s="41">
        <f t="shared" si="26"/>
        <v>3.5414376996805122E-2</v>
      </c>
      <c r="N21" s="41">
        <f t="shared" si="26"/>
        <v>4.4031558079725669E-2</v>
      </c>
      <c r="O21" s="41">
        <f t="shared" si="26"/>
        <v>3.6848305973607845E-2</v>
      </c>
      <c r="P21" s="41">
        <f t="shared" si="26"/>
        <v>1.4744268077601397E-2</v>
      </c>
      <c r="Q21" s="41">
        <f t="shared" si="26"/>
        <v>6.4584616208401377E-2</v>
      </c>
      <c r="R21" s="41">
        <f t="shared" si="26"/>
        <v>7.1626093253857742E-2</v>
      </c>
      <c r="S21" s="41">
        <f t="shared" si="26"/>
        <v>7.0041885340130963E-2</v>
      </c>
      <c r="T21" s="41">
        <f t="shared" si="26"/>
        <v>6.6936029700170568E-2</v>
      </c>
      <c r="U21" s="41">
        <f t="shared" si="26"/>
        <v>6.5864739985526069E-2</v>
      </c>
      <c r="V21" s="41">
        <f t="shared" si="26"/>
        <v>6.9649512569470245E-2</v>
      </c>
      <c r="W21" s="41">
        <f t="shared" si="26"/>
        <v>6.9066780200267977E-2</v>
      </c>
      <c r="X21" s="41">
        <f t="shared" si="26"/>
        <v>6.6950148659544462E-2</v>
      </c>
      <c r="Y21" s="41">
        <f t="shared" si="26"/>
        <v>6.6258359958645596E-2</v>
      </c>
      <c r="Z21" s="41">
        <f t="shared" si="26"/>
        <v>6.5403921180205896E-2</v>
      </c>
      <c r="AA21" s="41">
        <f>+AA15/AA7</f>
        <v>6.1215059055118114E-2</v>
      </c>
      <c r="AB21" s="41">
        <f>+AB15/AB7</f>
        <v>5.5482701481825464E-2</v>
      </c>
      <c r="AC21" s="41">
        <f t="shared" ref="AC21:AL21" ca="1" si="27">+AC15/AC7</f>
        <v>5.6119727644857169E-2</v>
      </c>
      <c r="AD21" s="41">
        <f t="shared" ca="1" si="27"/>
        <v>5.8876687314308659E-2</v>
      </c>
      <c r="AE21" s="41">
        <f t="shared" ca="1" si="27"/>
        <v>5.9321918382116534E-2</v>
      </c>
      <c r="AF21" s="41">
        <f t="shared" ca="1" si="27"/>
        <v>6.058222457143192E-2</v>
      </c>
      <c r="AG21" s="41">
        <f t="shared" ca="1" si="27"/>
        <v>6.1793803669886238E-2</v>
      </c>
      <c r="AH21" s="41">
        <f t="shared" ca="1" si="27"/>
        <v>6.2515492049155574E-2</v>
      </c>
      <c r="AI21" s="41">
        <f t="shared" ca="1" si="27"/>
        <v>6.2987853467209587E-2</v>
      </c>
      <c r="AJ21" s="41">
        <f t="shared" ca="1" si="27"/>
        <v>6.3958758080407171E-2</v>
      </c>
      <c r="AK21" s="41">
        <f t="shared" ca="1" si="27"/>
        <v>6.4928921376976853E-2</v>
      </c>
      <c r="AL21" s="41">
        <f t="shared" ca="1" si="27"/>
        <v>6.5710942364353722E-2</v>
      </c>
      <c r="AM21" s="41">
        <f ca="1">+AM15/AM7</f>
        <v>6.6383432624357613E-2</v>
      </c>
      <c r="AN21" s="7"/>
    </row>
    <row r="22" spans="2:44">
      <c r="D22" s="187"/>
      <c r="G22" s="7"/>
      <c r="H22" s="7"/>
      <c r="I22" s="7"/>
      <c r="J22" s="7"/>
      <c r="K22" s="7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"/>
    </row>
    <row r="23" spans="2:44">
      <c r="B23"/>
      <c r="D23" s="210" t="s">
        <v>380</v>
      </c>
      <c r="E23" s="205"/>
      <c r="F23" s="205"/>
      <c r="G23" s="205"/>
      <c r="H23" s="205"/>
      <c r="I23" s="205"/>
      <c r="J23" s="205"/>
      <c r="K23" s="205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</row>
    <row r="24" spans="2:44">
      <c r="D24" s="257" t="s">
        <v>375</v>
      </c>
      <c r="G24" s="7"/>
      <c r="H24" s="7"/>
      <c r="I24" s="7"/>
      <c r="J24" s="7"/>
      <c r="K24" s="7"/>
      <c r="L24" s="76"/>
      <c r="M24" s="76"/>
      <c r="N24" s="81"/>
      <c r="O24" s="81"/>
      <c r="P24" s="81"/>
      <c r="Q24" s="81">
        <f>451.6-Q25</f>
        <v>413.74200000000002</v>
      </c>
      <c r="R24" s="81">
        <f>487.8-R25</f>
        <v>444.19400000000002</v>
      </c>
      <c r="S24" s="81">
        <f>521-S25</f>
        <v>472.911</v>
      </c>
      <c r="T24" s="81">
        <f>581.9-T25</f>
        <v>519.78800000000001</v>
      </c>
      <c r="U24" s="81">
        <f>656.7-U25</f>
        <v>590.22</v>
      </c>
      <c r="V24" s="81">
        <f>730.4-V25</f>
        <v>648.52</v>
      </c>
      <c r="W24" s="81">
        <f>737.6-W25</f>
        <v>686.52300000000002</v>
      </c>
      <c r="X24" s="81">
        <f>803.9-X25</f>
        <v>712.30499999999995</v>
      </c>
      <c r="Y24" s="81">
        <v>805.5</v>
      </c>
      <c r="Z24" s="81">
        <v>835</v>
      </c>
      <c r="AA24" s="81">
        <v>913.2</v>
      </c>
      <c r="AB24" s="81">
        <v>909.8</v>
      </c>
      <c r="AC24" s="76">
        <f ca="1">(AC$31*AC$34/1000)*(AB24/SUM(AB$24:AB$25))</f>
        <v>1062.5221025313613</v>
      </c>
      <c r="AD24" s="76">
        <f t="shared" ref="AD24:AM24" ca="1" si="28">(AD$31*AD$34/1000)*(AC24/SUM(AC$24:AC$25))</f>
        <v>1087.5380882179829</v>
      </c>
      <c r="AE24" s="76">
        <f t="shared" ca="1" si="28"/>
        <v>1139.7663622562359</v>
      </c>
      <c r="AF24" s="76">
        <f t="shared" ca="1" si="28"/>
        <v>1199.1661496849101</v>
      </c>
      <c r="AG24" s="76">
        <f t="shared" ca="1" si="28"/>
        <v>1259.5161466989744</v>
      </c>
      <c r="AH24" s="76">
        <f t="shared" ca="1" si="28"/>
        <v>1321.3774690534485</v>
      </c>
      <c r="AI24" s="76">
        <f t="shared" ca="1" si="28"/>
        <v>1391.4325304387244</v>
      </c>
      <c r="AJ24" s="76">
        <f t="shared" ca="1" si="28"/>
        <v>1463.5090536266512</v>
      </c>
      <c r="AK24" s="76">
        <f t="shared" ca="1" si="28"/>
        <v>1537.2975306417775</v>
      </c>
      <c r="AL24" s="76">
        <f t="shared" ca="1" si="28"/>
        <v>1620.8137473847635</v>
      </c>
      <c r="AM24" s="76">
        <f t="shared" ca="1" si="28"/>
        <v>1714.789461924154</v>
      </c>
      <c r="AN24" s="7"/>
      <c r="AO24" s="314">
        <f ca="1">(AL24/AB24)^(1/10)-1</f>
        <v>5.9445737286594413E-2</v>
      </c>
      <c r="AP24" s="314"/>
      <c r="AQ24" s="314">
        <f>(AA24/Q24)^(1/10)-1</f>
        <v>8.238964632572654E-2</v>
      </c>
      <c r="AR24" s="314">
        <f ca="1">(AL24/AA24)^(1/11)-1</f>
        <v>5.3541298370612944E-2</v>
      </c>
    </row>
    <row r="25" spans="2:44">
      <c r="D25" s="257" t="s">
        <v>376</v>
      </c>
      <c r="G25" s="7"/>
      <c r="H25" s="7"/>
      <c r="I25" s="7"/>
      <c r="J25" s="7"/>
      <c r="K25" s="7"/>
      <c r="L25" s="76"/>
      <c r="M25" s="76"/>
      <c r="N25" s="81"/>
      <c r="O25" s="81"/>
      <c r="P25" s="81"/>
      <c r="Q25" s="81">
        <v>37.857999999999997</v>
      </c>
      <c r="R25" s="81">
        <v>43.606000000000002</v>
      </c>
      <c r="S25" s="81">
        <v>48.088999999999999</v>
      </c>
      <c r="T25" s="81">
        <v>62.112000000000002</v>
      </c>
      <c r="U25" s="81">
        <v>66.48</v>
      </c>
      <c r="V25" s="81">
        <v>81.88</v>
      </c>
      <c r="W25" s="81">
        <v>51.076999999999998</v>
      </c>
      <c r="X25" s="81">
        <v>91.594999999999999</v>
      </c>
      <c r="Y25" s="81">
        <v>57.7</v>
      </c>
      <c r="Z25" s="81">
        <v>69.900000000000006</v>
      </c>
      <c r="AA25" s="81">
        <v>99.4</v>
      </c>
      <c r="AB25" s="81">
        <v>111.7</v>
      </c>
      <c r="AC25" s="76">
        <f ca="1">(AC$31*AC$34/1000)*(AB25/SUM(AB$24:AB$25))</f>
        <v>130.45033947323924</v>
      </c>
      <c r="AD25" s="76">
        <f t="shared" ref="AD25:AM25" ca="1" si="29">(AD$31*AD$34/1000)*(AC25/SUM(AC$24:AC$25))</f>
        <v>133.52165800609882</v>
      </c>
      <c r="AE25" s="76">
        <f t="shared" ca="1" si="29"/>
        <v>139.93394445374977</v>
      </c>
      <c r="AF25" s="76">
        <f t="shared" ca="1" si="29"/>
        <v>147.22670797956084</v>
      </c>
      <c r="AG25" s="76">
        <f t="shared" ca="1" si="29"/>
        <v>154.63613276109217</v>
      </c>
      <c r="AH25" s="76">
        <f t="shared" ca="1" si="29"/>
        <v>162.23110935660861</v>
      </c>
      <c r="AI25" s="76">
        <f t="shared" ca="1" si="29"/>
        <v>170.83206600231219</v>
      </c>
      <c r="AJ25" s="76">
        <f t="shared" ca="1" si="29"/>
        <v>179.68120607663803</v>
      </c>
      <c r="AK25" s="76">
        <f t="shared" ca="1" si="29"/>
        <v>188.74052997440947</v>
      </c>
      <c r="AL25" s="76">
        <f t="shared" ca="1" si="29"/>
        <v>198.99416968632138</v>
      </c>
      <c r="AM25" s="76">
        <f t="shared" ca="1" si="29"/>
        <v>210.53196625025754</v>
      </c>
      <c r="AN25" s="7"/>
      <c r="AO25" s="314">
        <f t="shared" ref="AO25:AO29" ca="1" si="30">(AL25/AB25)^(1/10)-1</f>
        <v>5.9445737285270139E-2</v>
      </c>
      <c r="AP25" s="314"/>
      <c r="AQ25" s="314">
        <f t="shared" ref="AQ25:AQ29" si="31">(AA25/Q25)^(1/10)-1</f>
        <v>0.10134369974514779</v>
      </c>
      <c r="AR25" s="314">
        <f t="shared" ref="AR25:AR29" ca="1" si="32">(AL25/AA25)^(1/11)-1</f>
        <v>6.5135614289625554E-2</v>
      </c>
    </row>
    <row r="26" spans="2:44">
      <c r="D26" s="257" t="s">
        <v>377</v>
      </c>
      <c r="G26" s="7"/>
      <c r="H26" s="7"/>
      <c r="I26" s="7"/>
      <c r="J26" s="7"/>
      <c r="K26" s="7"/>
      <c r="L26" s="76"/>
      <c r="M26" s="76"/>
      <c r="N26" s="81"/>
      <c r="O26" s="81"/>
      <c r="P26" s="81"/>
      <c r="Q26" s="81">
        <v>182.5</v>
      </c>
      <c r="R26" s="81">
        <v>181.6</v>
      </c>
      <c r="S26" s="81">
        <v>187.6</v>
      </c>
      <c r="T26" s="81">
        <v>199.9</v>
      </c>
      <c r="U26" s="81">
        <v>216.8</v>
      </c>
      <c r="V26" s="81">
        <v>243.5</v>
      </c>
      <c r="W26" s="81">
        <v>275.60000000000002</v>
      </c>
      <c r="X26" s="81">
        <v>300.8</v>
      </c>
      <c r="Y26" s="81">
        <v>337.3</v>
      </c>
      <c r="Z26" s="81">
        <v>359.1</v>
      </c>
      <c r="AA26" s="81">
        <v>393.4</v>
      </c>
      <c r="AB26" s="81">
        <v>399.1</v>
      </c>
      <c r="AC26" s="76">
        <f ca="1">+AC37*AC38/1000000</f>
        <v>424.15425381451712</v>
      </c>
      <c r="AD26" s="76">
        <f t="shared" ref="AD26:AL26" ca="1" si="33">+AD37*AD38/1000000</f>
        <v>449.21529165711331</v>
      </c>
      <c r="AE26" s="76">
        <f t="shared" ca="1" si="33"/>
        <v>475.68670945938226</v>
      </c>
      <c r="AF26" s="76">
        <f t="shared" ca="1" si="33"/>
        <v>503.16868789791084</v>
      </c>
      <c r="AG26" s="76">
        <f t="shared" ca="1" si="33"/>
        <v>531.33331890292686</v>
      </c>
      <c r="AH26" s="76">
        <f t="shared" ca="1" si="33"/>
        <v>560.42728733706633</v>
      </c>
      <c r="AI26" s="76">
        <f t="shared" ca="1" si="33"/>
        <v>590.37543800668118</v>
      </c>
      <c r="AJ26" s="76">
        <f t="shared" ca="1" si="33"/>
        <v>621.20550286561377</v>
      </c>
      <c r="AK26" s="76">
        <f t="shared" ca="1" si="33"/>
        <v>652.787099017213</v>
      </c>
      <c r="AL26" s="76">
        <f t="shared" ca="1" si="33"/>
        <v>685.13448741424099</v>
      </c>
      <c r="AM26" s="76">
        <f ca="1">+AM37*AM38/1000000</f>
        <v>721.5768764416149</v>
      </c>
      <c r="AN26" s="7"/>
      <c r="AO26" s="314">
        <f t="shared" ca="1" si="30"/>
        <v>5.5527153705942522E-2</v>
      </c>
      <c r="AP26" s="314"/>
      <c r="AQ26" s="314">
        <f t="shared" si="31"/>
        <v>7.9834375430748006E-2</v>
      </c>
      <c r="AR26" s="314">
        <f t="shared" ca="1" si="32"/>
        <v>5.1728809043412483E-2</v>
      </c>
    </row>
    <row r="27" spans="2:44">
      <c r="D27" s="257" t="s">
        <v>378</v>
      </c>
      <c r="G27" s="7"/>
      <c r="H27" s="7"/>
      <c r="I27" s="7"/>
      <c r="J27" s="7"/>
      <c r="K27" s="7"/>
      <c r="L27" s="76"/>
      <c r="M27" s="76"/>
      <c r="N27" s="81"/>
      <c r="O27" s="81"/>
      <c r="P27" s="81"/>
      <c r="Q27" s="81">
        <v>74.7</v>
      </c>
      <c r="R27" s="81">
        <v>95.5</v>
      </c>
      <c r="S27" s="81">
        <v>99.1</v>
      </c>
      <c r="T27" s="81">
        <v>106.3</v>
      </c>
      <c r="U27" s="81">
        <v>112.2</v>
      </c>
      <c r="V27" s="81">
        <v>122.8</v>
      </c>
      <c r="W27" s="81">
        <v>140.6</v>
      </c>
      <c r="X27" s="81">
        <v>144.19999999999999</v>
      </c>
      <c r="Y27" s="81">
        <v>157.69999999999999</v>
      </c>
      <c r="Z27" s="81">
        <v>166.4</v>
      </c>
      <c r="AA27" s="81">
        <v>191.3</v>
      </c>
      <c r="AB27" s="81">
        <v>217.5</v>
      </c>
      <c r="AC27" s="76">
        <f ca="1">+AC$7*AC44</f>
        <v>318.28751609869641</v>
      </c>
      <c r="AD27" s="76">
        <f t="shared" ref="AD27:AM27" ca="1" si="34">+AD$7*AD44</f>
        <v>340.71133569940798</v>
      </c>
      <c r="AE27" s="76">
        <f t="shared" ca="1" si="34"/>
        <v>367.15096927663046</v>
      </c>
      <c r="AF27" s="76">
        <f t="shared" ca="1" si="34"/>
        <v>396.15306085055062</v>
      </c>
      <c r="AG27" s="76">
        <f t="shared" ca="1" si="34"/>
        <v>426.77280744794797</v>
      </c>
      <c r="AH27" s="76">
        <f t="shared" ca="1" si="34"/>
        <v>459.28548383528886</v>
      </c>
      <c r="AI27" s="76">
        <f t="shared" ca="1" si="34"/>
        <v>493.71893722750843</v>
      </c>
      <c r="AJ27" s="76">
        <f t="shared" ca="1" si="34"/>
        <v>530.18787305356557</v>
      </c>
      <c r="AK27" s="76">
        <f t="shared" ca="1" si="34"/>
        <v>568.67656580619621</v>
      </c>
      <c r="AL27" s="76">
        <f t="shared" ca="1" si="34"/>
        <v>609.29306541581457</v>
      </c>
      <c r="AM27" s="76">
        <f t="shared" ca="1" si="34"/>
        <v>655.15061055522108</v>
      </c>
      <c r="AN27" s="7"/>
      <c r="AO27" s="314">
        <f t="shared" ca="1" si="30"/>
        <v>0.10850255228953953</v>
      </c>
      <c r="AP27" s="314"/>
      <c r="AQ27" s="314">
        <f t="shared" si="31"/>
        <v>9.8599600663763054E-2</v>
      </c>
      <c r="AR27" s="314">
        <f t="shared" ca="1" si="32"/>
        <v>0.11105968071316985</v>
      </c>
    </row>
    <row r="28" spans="2:44">
      <c r="D28" s="257" t="s">
        <v>379</v>
      </c>
      <c r="G28" s="7"/>
      <c r="H28" s="7"/>
      <c r="I28" s="7"/>
      <c r="J28" s="7"/>
      <c r="K28" s="7"/>
      <c r="L28" s="76"/>
      <c r="M28" s="76"/>
      <c r="N28" s="81"/>
      <c r="O28" s="81"/>
      <c r="P28" s="81"/>
      <c r="Q28" s="81">
        <v>83.4</v>
      </c>
      <c r="R28" s="81">
        <v>113.9</v>
      </c>
      <c r="S28" s="81">
        <v>133.1</v>
      </c>
      <c r="T28" s="81">
        <v>142.9</v>
      </c>
      <c r="U28" s="81">
        <v>169.5</v>
      </c>
      <c r="V28" s="81">
        <v>161</v>
      </c>
      <c r="W28" s="81">
        <v>198.1</v>
      </c>
      <c r="X28" s="81">
        <v>239.6</v>
      </c>
      <c r="Y28" s="81">
        <v>258.89999999999998</v>
      </c>
      <c r="Z28" s="81">
        <v>299.89999999999998</v>
      </c>
      <c r="AA28" s="81">
        <v>342.8</v>
      </c>
      <c r="AB28" s="81">
        <v>260.7</v>
      </c>
      <c r="AC28" s="76">
        <f ca="1">+AC$7*AC45</f>
        <v>400.80650175391401</v>
      </c>
      <c r="AD28" s="76">
        <f t="shared" ref="AD28:AM28" ca="1" si="35">+AD$7*AD45</f>
        <v>443.88225384251928</v>
      </c>
      <c r="AE28" s="76">
        <f t="shared" ca="1" si="35"/>
        <v>494.46693336246449</v>
      </c>
      <c r="AF28" s="76">
        <f t="shared" ca="1" si="35"/>
        <v>536.20703820515928</v>
      </c>
      <c r="AG28" s="76">
        <f t="shared" ca="1" si="35"/>
        <v>580.55471085558952</v>
      </c>
      <c r="AH28" s="76">
        <f t="shared" ca="1" si="35"/>
        <v>645.36480213314951</v>
      </c>
      <c r="AI28" s="76">
        <f t="shared" ca="1" si="35"/>
        <v>716.07932286980508</v>
      </c>
      <c r="AJ28" s="76">
        <f t="shared" ca="1" si="35"/>
        <v>772.83726901016132</v>
      </c>
      <c r="AK28" s="76">
        <f t="shared" ca="1" si="35"/>
        <v>833.10649170095678</v>
      </c>
      <c r="AL28" s="76">
        <f t="shared" ca="1" si="35"/>
        <v>897.09480358767826</v>
      </c>
      <c r="AM28" s="76">
        <f t="shared" ca="1" si="35"/>
        <v>969.46062577564646</v>
      </c>
      <c r="AN28" s="7"/>
      <c r="AO28" s="314">
        <f t="shared" ca="1" si="30"/>
        <v>0.13153953125411189</v>
      </c>
      <c r="AP28" s="314"/>
      <c r="AQ28" s="314">
        <f t="shared" si="31"/>
        <v>0.15182758783562367</v>
      </c>
      <c r="AR28" s="314">
        <f t="shared" ca="1" si="32"/>
        <v>9.1394079260241901E-2</v>
      </c>
    </row>
    <row r="29" spans="2:44">
      <c r="D29" s="2" t="s">
        <v>371</v>
      </c>
      <c r="E29" s="229"/>
      <c r="F29" s="229"/>
      <c r="G29" s="230"/>
      <c r="H29" s="230"/>
      <c r="I29" s="230"/>
      <c r="J29" s="230"/>
      <c r="K29" s="230"/>
      <c r="L29" s="192">
        <v>546.577</v>
      </c>
      <c r="M29" s="192">
        <v>674.37</v>
      </c>
      <c r="N29" s="192">
        <v>776.16800000000001</v>
      </c>
      <c r="O29" s="192">
        <v>858.37199999999996</v>
      </c>
      <c r="P29" s="192">
        <v>882.35799999999995</v>
      </c>
      <c r="Q29" s="188">
        <f t="shared" ref="Q29:Z29" si="36">SUM(Q24:Q28)</f>
        <v>792.2</v>
      </c>
      <c r="R29" s="188">
        <f t="shared" si="36"/>
        <v>878.8</v>
      </c>
      <c r="S29" s="188">
        <f t="shared" si="36"/>
        <v>940.80000000000007</v>
      </c>
      <c r="T29" s="188">
        <f t="shared" si="36"/>
        <v>1031</v>
      </c>
      <c r="U29" s="188">
        <f t="shared" si="36"/>
        <v>1155.2</v>
      </c>
      <c r="V29" s="188">
        <f t="shared" si="36"/>
        <v>1257.7</v>
      </c>
      <c r="W29" s="188">
        <f t="shared" si="36"/>
        <v>1351.8999999999999</v>
      </c>
      <c r="X29" s="188">
        <f t="shared" si="36"/>
        <v>1488.5</v>
      </c>
      <c r="Y29" s="188">
        <f>SUM(Y24:Y28)</f>
        <v>1617.1</v>
      </c>
      <c r="Z29" s="188">
        <f t="shared" si="36"/>
        <v>1730.3000000000002</v>
      </c>
      <c r="AA29" s="188">
        <f>SUM(AA24:AA28)</f>
        <v>1940.1</v>
      </c>
      <c r="AB29" s="188">
        <f>SUM(AB24:AB28)</f>
        <v>1898.8</v>
      </c>
      <c r="AC29" s="188">
        <f ca="1">SUM(AC24:AC28)</f>
        <v>2336.2207136717279</v>
      </c>
      <c r="AD29" s="188">
        <f t="shared" ref="AD29:AL29" ca="1" si="37">SUM(AD24:AD28)</f>
        <v>2454.8686274231222</v>
      </c>
      <c r="AE29" s="188">
        <f t="shared" ca="1" si="37"/>
        <v>2617.0049188084631</v>
      </c>
      <c r="AF29" s="188">
        <f t="shared" ca="1" si="37"/>
        <v>2781.9216446180917</v>
      </c>
      <c r="AG29" s="188">
        <f t="shared" ca="1" si="37"/>
        <v>2952.8131166665307</v>
      </c>
      <c r="AH29" s="188">
        <f t="shared" ca="1" si="37"/>
        <v>3148.6861517155617</v>
      </c>
      <c r="AI29" s="188">
        <f t="shared" ca="1" si="37"/>
        <v>3362.4382945450316</v>
      </c>
      <c r="AJ29" s="188">
        <f t="shared" ca="1" si="37"/>
        <v>3567.42090463263</v>
      </c>
      <c r="AK29" s="188">
        <f t="shared" ca="1" si="37"/>
        <v>3780.6082171405533</v>
      </c>
      <c r="AL29" s="188">
        <f t="shared" ca="1" si="37"/>
        <v>4011.3302734888184</v>
      </c>
      <c r="AM29" s="188">
        <f ca="1">SUM(AM24:AM28)</f>
        <v>4271.509540946894</v>
      </c>
      <c r="AN29" s="7"/>
      <c r="AO29" s="314">
        <f t="shared" ca="1" si="30"/>
        <v>7.7657907091692513E-2</v>
      </c>
      <c r="AP29" s="314">
        <f t="shared" ref="AP29" si="38">(AB29/L29)^(1/16)-1</f>
        <v>8.0940382727764382E-2</v>
      </c>
      <c r="AQ29" s="314">
        <f t="shared" si="31"/>
        <v>9.3701802237794229E-2</v>
      </c>
      <c r="AR29" s="314">
        <f t="shared" ca="1" si="32"/>
        <v>6.8263951069921891E-2</v>
      </c>
    </row>
    <row r="30" spans="2:44">
      <c r="D30" s="187"/>
      <c r="G30" s="7"/>
      <c r="H30" s="7"/>
      <c r="I30" s="7"/>
      <c r="J30" s="7"/>
      <c r="K30" s="7"/>
      <c r="L30" s="76"/>
      <c r="M30" s="76"/>
      <c r="N30" s="76"/>
      <c r="O30" s="76"/>
      <c r="P30" s="76"/>
      <c r="Q30" s="76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"/>
    </row>
    <row r="31" spans="2:44">
      <c r="D31" s="324" t="s">
        <v>249</v>
      </c>
      <c r="E31" s="325"/>
      <c r="F31" s="325"/>
      <c r="G31" s="326"/>
      <c r="H31" s="326"/>
      <c r="I31" s="326"/>
      <c r="J31" s="326"/>
      <c r="K31" s="326"/>
      <c r="L31" s="190">
        <v>10815</v>
      </c>
      <c r="M31" s="190">
        <v>11712</v>
      </c>
      <c r="N31" s="190">
        <v>13736</v>
      </c>
      <c r="O31" s="190">
        <v>15637</v>
      </c>
      <c r="P31" s="190">
        <v>13035</v>
      </c>
      <c r="Q31" s="190">
        <v>13439</v>
      </c>
      <c r="R31" s="190">
        <v>15565</v>
      </c>
      <c r="S31" s="190">
        <v>16460</v>
      </c>
      <c r="T31" s="190">
        <v>18111</v>
      </c>
      <c r="U31" s="190">
        <v>20171</v>
      </c>
      <c r="V31" s="190">
        <v>22064</v>
      </c>
      <c r="W31" s="190">
        <v>22429</v>
      </c>
      <c r="X31" s="190">
        <v>24344</v>
      </c>
      <c r="Y31" s="190">
        <v>25110</v>
      </c>
      <c r="Z31" s="190">
        <v>25946</v>
      </c>
      <c r="AA31" s="190">
        <v>27050</v>
      </c>
      <c r="AB31" s="190">
        <v>26889</v>
      </c>
      <c r="AC31" s="277">
        <f t="shared" ref="AC31:AM31" ca="1" si="39">+AC32*AC71</f>
        <v>30938.599416063702</v>
      </c>
      <c r="AD31" s="277">
        <f t="shared" ca="1" si="39"/>
        <v>31431.282174146774</v>
      </c>
      <c r="AE31" s="277">
        <f t="shared" ca="1" si="39"/>
        <v>32940.748037043486</v>
      </c>
      <c r="AF31" s="277">
        <f t="shared" ca="1" si="39"/>
        <v>34485.054802530409</v>
      </c>
      <c r="AG31" s="277">
        <f t="shared" ca="1" si="39"/>
        <v>36040.369717103131</v>
      </c>
      <c r="AH31" s="277">
        <f t="shared" ca="1" si="39"/>
        <v>37622.385891764359</v>
      </c>
      <c r="AI31" s="277">
        <f t="shared" ca="1" si="39"/>
        <v>39224.752783100201</v>
      </c>
      <c r="AJ31" s="277">
        <f t="shared" ca="1" si="39"/>
        <v>40848.122717480728</v>
      </c>
      <c r="AK31" s="277">
        <f t="shared" ca="1" si="39"/>
        <v>42482.8109170057</v>
      </c>
      <c r="AL31" s="277">
        <f t="shared" ca="1" si="39"/>
        <v>44128.827084967153</v>
      </c>
      <c r="AM31" s="277">
        <f t="shared" ca="1" si="39"/>
        <v>45997.479698766765</v>
      </c>
      <c r="AN31" s="7"/>
      <c r="AO31" s="314">
        <f t="shared" ref="AO31" ca="1" si="40">(AL31/AB31)^(1/10)-1</f>
        <v>5.0787198702811231E-2</v>
      </c>
      <c r="AP31" s="314">
        <f t="shared" ref="AP31" si="41">(AB31/L31)^(1/16)-1</f>
        <v>5.8575304114075522E-2</v>
      </c>
      <c r="AQ31" s="314">
        <f t="shared" ref="AQ31" si="42">(AA31/Q31)^(1/10)-1</f>
        <v>7.2457353907189992E-2</v>
      </c>
      <c r="AR31" s="314">
        <f t="shared" ref="AR31" ca="1" si="43">(AL31/AA31)^(1/11)-1</f>
        <v>4.5497966053166694E-2</v>
      </c>
    </row>
    <row r="32" spans="2:44">
      <c r="D32" s="324" t="s">
        <v>369</v>
      </c>
      <c r="E32" s="162"/>
      <c r="F32" s="162"/>
      <c r="G32" s="327"/>
      <c r="H32" s="327"/>
      <c r="I32" s="327"/>
      <c r="J32" s="327"/>
      <c r="K32" s="327"/>
      <c r="L32" s="328">
        <f t="shared" ref="L32:AB32" si="44">+L31/L71</f>
        <v>42.718669026101246</v>
      </c>
      <c r="M32" s="328">
        <f t="shared" si="44"/>
        <v>40.401810354343752</v>
      </c>
      <c r="N32" s="328">
        <f t="shared" si="44"/>
        <v>40.75710415671427</v>
      </c>
      <c r="O32" s="328">
        <f t="shared" si="44"/>
        <v>41.450626119964795</v>
      </c>
      <c r="P32" s="328">
        <f t="shared" si="44"/>
        <v>37.731752854847819</v>
      </c>
      <c r="Q32" s="328">
        <f t="shared" si="44"/>
        <v>37.630660069610698</v>
      </c>
      <c r="R32" s="328">
        <f t="shared" si="44"/>
        <v>39.287598345200806</v>
      </c>
      <c r="S32" s="328">
        <f t="shared" si="44"/>
        <v>40.335228386590863</v>
      </c>
      <c r="T32" s="328">
        <f t="shared" si="44"/>
        <v>40.450898759961404</v>
      </c>
      <c r="U32" s="328">
        <f t="shared" si="44"/>
        <v>38.280299622909354</v>
      </c>
      <c r="V32" s="328">
        <f t="shared" si="44"/>
        <v>37.892292737883018</v>
      </c>
      <c r="W32" s="328">
        <f t="shared" si="44"/>
        <v>36.179541113921438</v>
      </c>
      <c r="X32" s="328">
        <f t="shared" si="44"/>
        <v>36.264289566121555</v>
      </c>
      <c r="Y32" s="328">
        <f t="shared" si="44"/>
        <v>34.801915976449457</v>
      </c>
      <c r="Z32" s="328">
        <f t="shared" si="44"/>
        <v>34.642658295959336</v>
      </c>
      <c r="AA32" s="328">
        <f t="shared" si="44"/>
        <v>32.487029208301308</v>
      </c>
      <c r="AB32" s="328">
        <f t="shared" si="44"/>
        <v>35.763211866007325</v>
      </c>
      <c r="AC32" s="329">
        <v>33</v>
      </c>
      <c r="AD32" s="329">
        <v>31.5</v>
      </c>
      <c r="AE32" s="329">
        <f t="shared" ref="AE32:AM32" si="45">+AD32*0.98</f>
        <v>30.87</v>
      </c>
      <c r="AF32" s="329">
        <f t="shared" si="45"/>
        <v>30.252600000000001</v>
      </c>
      <c r="AG32" s="329">
        <f t="shared" si="45"/>
        <v>29.647548</v>
      </c>
      <c r="AH32" s="329">
        <f t="shared" si="45"/>
        <v>29.054597040000001</v>
      </c>
      <c r="AI32" s="329">
        <f t="shared" si="45"/>
        <v>28.473505099200001</v>
      </c>
      <c r="AJ32" s="329">
        <f t="shared" si="45"/>
        <v>27.904034997216002</v>
      </c>
      <c r="AK32" s="329">
        <f t="shared" si="45"/>
        <v>27.345954297271682</v>
      </c>
      <c r="AL32" s="329">
        <f t="shared" si="45"/>
        <v>26.799035211326249</v>
      </c>
      <c r="AM32" s="329">
        <f t="shared" si="45"/>
        <v>26.263054507099724</v>
      </c>
      <c r="AN32" s="7"/>
    </row>
    <row r="33" spans="1:40">
      <c r="D33" s="324" t="s">
        <v>370</v>
      </c>
      <c r="E33" s="162"/>
      <c r="F33" s="162"/>
      <c r="G33" s="327"/>
      <c r="H33" s="327"/>
      <c r="I33" s="327"/>
      <c r="J33" s="327"/>
      <c r="K33" s="327"/>
      <c r="L33" s="330">
        <f t="shared" ref="L33:AM33" si="46">+L31/(L52)</f>
        <v>2.7056439507655359</v>
      </c>
      <c r="M33" s="330">
        <f t="shared" si="46"/>
        <v>2.4546769224320415</v>
      </c>
      <c r="N33" s="330">
        <f t="shared" si="46"/>
        <v>2.3389184034872632</v>
      </c>
      <c r="O33" s="330">
        <f t="shared" si="46"/>
        <v>2.3730897060385776</v>
      </c>
      <c r="P33" s="330">
        <f t="shared" si="46"/>
        <v>2.290579366334546</v>
      </c>
      <c r="Q33" s="330">
        <f t="shared" si="46"/>
        <v>2.170275987920482</v>
      </c>
      <c r="R33" s="330">
        <f t="shared" si="46"/>
        <v>2.1588072122052706</v>
      </c>
      <c r="S33" s="330">
        <f t="shared" si="46"/>
        <v>2.1030037434999809</v>
      </c>
      <c r="T33" s="330">
        <f t="shared" si="46"/>
        <v>2.0705384703326857</v>
      </c>
      <c r="U33" s="330">
        <f t="shared" si="46"/>
        <v>1.9571524213345237</v>
      </c>
      <c r="V33" s="330">
        <f t="shared" si="46"/>
        <v>1.8899310462974859</v>
      </c>
      <c r="W33" s="330">
        <f t="shared" si="46"/>
        <v>1.8030612408958633</v>
      </c>
      <c r="X33" s="330">
        <f t="shared" si="46"/>
        <v>1.83441717467805</v>
      </c>
      <c r="Y33" s="330">
        <f t="shared" si="46"/>
        <v>1.744670798476974</v>
      </c>
      <c r="Z33" s="330">
        <f t="shared" si="46"/>
        <v>1.7100337445955922</v>
      </c>
      <c r="AA33" s="330">
        <f t="shared" si="46"/>
        <v>1.5754681266198782</v>
      </c>
      <c r="AB33" s="330">
        <f t="shared" si="46"/>
        <v>1.7112581938522242</v>
      </c>
      <c r="AC33" s="330">
        <f t="shared" ca="1" si="46"/>
        <v>1.559685531949361</v>
      </c>
      <c r="AD33" s="330">
        <f t="shared" ca="1" si="46"/>
        <v>1.4704106025111816</v>
      </c>
      <c r="AE33" s="330">
        <f t="shared" ca="1" si="46"/>
        <v>1.4232122374923046</v>
      </c>
      <c r="AF33" s="330">
        <f t="shared" ca="1" si="46"/>
        <v>1.3775288817379381</v>
      </c>
      <c r="AG33" s="330">
        <f t="shared" ca="1" si="46"/>
        <v>1.333311905296291</v>
      </c>
      <c r="AH33" s="330">
        <f t="shared" ca="1" si="46"/>
        <v>1.2905142392023556</v>
      </c>
      <c r="AI33" s="330">
        <f t="shared" ca="1" si="46"/>
        <v>1.2490903253479753</v>
      </c>
      <c r="AJ33" s="330">
        <f t="shared" ca="1" si="46"/>
        <v>1.2089960679845111</v>
      </c>
      <c r="AK33" s="330">
        <f t="shared" ca="1" si="46"/>
        <v>1.1701887867823455</v>
      </c>
      <c r="AL33" s="330">
        <f t="shared" ca="1" si="46"/>
        <v>1.1326271713972849</v>
      </c>
      <c r="AM33" s="330">
        <f t="shared" ca="1" si="46"/>
        <v>1.0962712375005819</v>
      </c>
      <c r="AN33" s="7"/>
    </row>
    <row r="34" spans="1:40">
      <c r="D34" s="324" t="s">
        <v>381</v>
      </c>
      <c r="E34" s="162"/>
      <c r="F34" s="162"/>
      <c r="G34" s="327"/>
      <c r="H34" s="327"/>
      <c r="I34" s="327"/>
      <c r="J34" s="327"/>
      <c r="K34" s="327"/>
      <c r="L34" s="330"/>
      <c r="M34" s="330"/>
      <c r="N34" s="330"/>
      <c r="O34" s="330"/>
      <c r="P34" s="330"/>
      <c r="Q34" s="330">
        <f t="shared" ref="Q34:Z34" si="47">(Q24+Q25)/(Q31/1000)</f>
        <v>33.603690750799913</v>
      </c>
      <c r="R34" s="330">
        <f t="shared" si="47"/>
        <v>31.339543848377772</v>
      </c>
      <c r="S34" s="330">
        <f t="shared" si="47"/>
        <v>31.652490886998784</v>
      </c>
      <c r="T34" s="330">
        <f t="shared" si="47"/>
        <v>32.129644967147037</v>
      </c>
      <c r="U34" s="330">
        <f t="shared" si="47"/>
        <v>32.556640721828373</v>
      </c>
      <c r="V34" s="330">
        <f t="shared" si="47"/>
        <v>33.103698332124729</v>
      </c>
      <c r="W34" s="330">
        <f t="shared" si="47"/>
        <v>32.885995808997286</v>
      </c>
      <c r="X34" s="330">
        <f t="shared" si="47"/>
        <v>33.022510680249752</v>
      </c>
      <c r="Y34" s="330">
        <f t="shared" si="47"/>
        <v>34.376742333731585</v>
      </c>
      <c r="Z34" s="330">
        <f t="shared" si="47"/>
        <v>34.876281507746853</v>
      </c>
      <c r="AA34" s="330">
        <f>(AA24+AA25)/(AA31/1000)</f>
        <v>37.434380776340113</v>
      </c>
      <c r="AB34" s="330">
        <f>(AB24+AB25)/(AB31/1000)</f>
        <v>37.989512440031241</v>
      </c>
      <c r="AC34" s="331">
        <f t="shared" ref="AC34:AM34" si="48">+AB34*(1+AC35)</f>
        <v>38.559355126631708</v>
      </c>
      <c r="AD34" s="331">
        <f t="shared" si="48"/>
        <v>38.848550290081448</v>
      </c>
      <c r="AE34" s="331">
        <f t="shared" si="48"/>
        <v>38.848550290081448</v>
      </c>
      <c r="AF34" s="331">
        <f t="shared" si="48"/>
        <v>39.042793041531851</v>
      </c>
      <c r="AG34" s="331">
        <f t="shared" si="48"/>
        <v>39.238007006739508</v>
      </c>
      <c r="AH34" s="331">
        <f t="shared" si="48"/>
        <v>39.434197041773203</v>
      </c>
      <c r="AI34" s="331">
        <f t="shared" si="48"/>
        <v>39.828539012190937</v>
      </c>
      <c r="AJ34" s="331">
        <f t="shared" si="48"/>
        <v>40.22682440231285</v>
      </c>
      <c r="AK34" s="331">
        <f t="shared" si="48"/>
        <v>40.629092646335977</v>
      </c>
      <c r="AL34" s="331">
        <f t="shared" si="48"/>
        <v>41.238529036031011</v>
      </c>
      <c r="AM34" s="331">
        <f t="shared" si="48"/>
        <v>41.857106971571469</v>
      </c>
      <c r="AN34" s="7"/>
    </row>
    <row r="35" spans="1:40">
      <c r="D35" s="332" t="s">
        <v>367</v>
      </c>
      <c r="E35" s="162"/>
      <c r="F35" s="162"/>
      <c r="G35" s="327"/>
      <c r="H35" s="327"/>
      <c r="I35" s="327"/>
      <c r="J35" s="327"/>
      <c r="K35" s="327"/>
      <c r="L35" s="298"/>
      <c r="M35" s="298"/>
      <c r="N35" s="298"/>
      <c r="O35" s="298"/>
      <c r="P35" s="298"/>
      <c r="Q35" s="298"/>
      <c r="R35" s="298">
        <f t="shared" ref="R35:AB35" si="49">+R34/Q34-1</f>
        <v>-6.7377923431468423E-2</v>
      </c>
      <c r="S35" s="298">
        <f t="shared" si="49"/>
        <v>9.985692202000962E-3</v>
      </c>
      <c r="T35" s="298">
        <f t="shared" si="49"/>
        <v>1.507477189873363E-2</v>
      </c>
      <c r="U35" s="298">
        <f t="shared" si="49"/>
        <v>1.328977506965745E-2</v>
      </c>
      <c r="V35" s="298">
        <f t="shared" si="49"/>
        <v>1.6803257282302031E-2</v>
      </c>
      <c r="W35" s="298">
        <f t="shared" si="49"/>
        <v>-6.5763807095891025E-3</v>
      </c>
      <c r="X35" s="298">
        <f t="shared" si="49"/>
        <v>4.1511551617698927E-3</v>
      </c>
      <c r="Y35" s="298">
        <f t="shared" si="49"/>
        <v>4.1009348640828058E-2</v>
      </c>
      <c r="Z35" s="298">
        <f t="shared" si="49"/>
        <v>1.4531312163488685E-2</v>
      </c>
      <c r="AA35" s="298">
        <f t="shared" si="49"/>
        <v>7.3347821442060646E-2</v>
      </c>
      <c r="AB35" s="298">
        <f t="shared" si="49"/>
        <v>1.4829460303026787E-2</v>
      </c>
      <c r="AC35" s="333">
        <v>1.4999999999999999E-2</v>
      </c>
      <c r="AD35" s="333">
        <v>7.4999999999999997E-3</v>
      </c>
      <c r="AE35" s="333">
        <v>0</v>
      </c>
      <c r="AF35" s="333">
        <v>5.0000000000000001E-3</v>
      </c>
      <c r="AG35" s="333">
        <v>5.0000000000000001E-3</v>
      </c>
      <c r="AH35" s="333">
        <v>5.0000000000000001E-3</v>
      </c>
      <c r="AI35" s="333">
        <v>0.01</v>
      </c>
      <c r="AJ35" s="333">
        <v>0.01</v>
      </c>
      <c r="AK35" s="333">
        <v>0.01</v>
      </c>
      <c r="AL35" s="333">
        <v>1.4999999999999999E-2</v>
      </c>
      <c r="AM35" s="333">
        <v>1.4999999999999999E-2</v>
      </c>
      <c r="AN35" s="7"/>
    </row>
    <row r="36" spans="1:40">
      <c r="D36" s="324"/>
      <c r="E36" s="162"/>
      <c r="F36" s="162"/>
      <c r="G36" s="327"/>
      <c r="H36" s="327"/>
      <c r="I36" s="327"/>
      <c r="J36" s="327"/>
      <c r="K36" s="327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7"/>
    </row>
    <row r="37" spans="1:40" s="5" customFormat="1">
      <c r="A37" s="124"/>
      <c r="B37" s="166"/>
      <c r="D37" s="324" t="s">
        <v>382</v>
      </c>
      <c r="E37" s="166"/>
      <c r="F37" s="166"/>
      <c r="G37" s="102"/>
      <c r="H37" s="102"/>
      <c r="I37" s="102"/>
      <c r="J37" s="102"/>
      <c r="K37" s="102"/>
      <c r="L37" s="92">
        <f>+Macro!H66</f>
        <v>915.5</v>
      </c>
      <c r="M37" s="92">
        <f>+Macro!I66</f>
        <v>1041.25</v>
      </c>
      <c r="N37" s="92">
        <f>+Macro!J66</f>
        <v>1185.75</v>
      </c>
      <c r="O37" s="92">
        <f>+Macro!K66</f>
        <v>1324.75</v>
      </c>
      <c r="P37" s="92">
        <f>+Macro!L66</f>
        <v>1434.25</v>
      </c>
      <c r="Q37" s="92">
        <f>+Macro!M66</f>
        <v>1434.25</v>
      </c>
      <c r="R37" s="92">
        <f>+Macro!N66</f>
        <v>1479.75</v>
      </c>
      <c r="S37" s="92">
        <f>+Macro!O66</f>
        <v>1541.25</v>
      </c>
      <c r="T37" s="92">
        <f>+Macro!P66</f>
        <v>1675</v>
      </c>
      <c r="U37" s="92">
        <f>+Macro!Q66</f>
        <v>1832.75</v>
      </c>
      <c r="V37" s="92">
        <f>+Macro!R66</f>
        <v>2001.25</v>
      </c>
      <c r="W37" s="92">
        <f>+Macro!S66</f>
        <v>2177.75</v>
      </c>
      <c r="X37" s="92">
        <f>+Macro!T66</f>
        <v>2340.75</v>
      </c>
      <c r="Y37" s="92">
        <f>+Macro!U66</f>
        <v>2514.5</v>
      </c>
      <c r="Z37" s="92">
        <f>+Macro!V66</f>
        <v>2677.5</v>
      </c>
      <c r="AA37" s="92">
        <f>+Macro!W66</f>
        <v>2824.5</v>
      </c>
      <c r="AB37" s="92">
        <f>+Macro!X66</f>
        <v>2856.5</v>
      </c>
      <c r="AC37" s="92">
        <f ca="1">+Macro!Y66</f>
        <v>2976.2962401215682</v>
      </c>
      <c r="AD37" s="92">
        <f ca="1">+Macro!Z66</f>
        <v>3105.566391904591</v>
      </c>
      <c r="AE37" s="92">
        <f ca="1">+Macro!AA66</f>
        <v>3256.011501774738</v>
      </c>
      <c r="AF37" s="92">
        <f ca="1">+Macro!AB66</f>
        <v>3410.0217280370821</v>
      </c>
      <c r="AG37" s="92">
        <f ca="1">+Macro!AC66</f>
        <v>3565.2436562933008</v>
      </c>
      <c r="AH37" s="92">
        <f ca="1">+Macro!AD66</f>
        <v>3723.2317078766982</v>
      </c>
      <c r="AI37" s="92">
        <f ca="1">+Macro!AE66</f>
        <v>3883.3604075291341</v>
      </c>
      <c r="AJ37" s="92">
        <f ca="1">+Macro!AF66</f>
        <v>4045.6968573744402</v>
      </c>
      <c r="AK37" s="92">
        <f ca="1">+Macro!AG66</f>
        <v>4209.2840434338596</v>
      </c>
      <c r="AL37" s="92">
        <f ca="1">+Macro!AH66</f>
        <v>4374.1243512679739</v>
      </c>
      <c r="AM37" s="92">
        <f ca="1">+Macro!AI66</f>
        <v>4561.1728438390683</v>
      </c>
      <c r="AN37" s="74"/>
    </row>
    <row r="38" spans="1:40">
      <c r="D38" s="324" t="s">
        <v>383</v>
      </c>
      <c r="E38" s="162"/>
      <c r="F38" s="162"/>
      <c r="G38" s="327"/>
      <c r="H38" s="327"/>
      <c r="I38" s="327"/>
      <c r="J38" s="327"/>
      <c r="K38" s="327"/>
      <c r="L38" s="92"/>
      <c r="M38" s="92"/>
      <c r="N38" s="92"/>
      <c r="O38" s="92"/>
      <c r="P38" s="92"/>
      <c r="Q38" s="92">
        <f t="shared" ref="Q38:Z38" si="50">+Q26/(Q37/1000000)</f>
        <v>127244.20428795538</v>
      </c>
      <c r="R38" s="92">
        <f t="shared" si="50"/>
        <v>122723.43301233316</v>
      </c>
      <c r="S38" s="92">
        <f t="shared" si="50"/>
        <v>121719.38361719383</v>
      </c>
      <c r="T38" s="92">
        <f t="shared" si="50"/>
        <v>119343.28358208956</v>
      </c>
      <c r="U38" s="92">
        <f t="shared" si="50"/>
        <v>118292.18387668804</v>
      </c>
      <c r="V38" s="92">
        <f t="shared" si="50"/>
        <v>121673.9537788882</v>
      </c>
      <c r="W38" s="92">
        <f t="shared" si="50"/>
        <v>126552.63459993113</v>
      </c>
      <c r="X38" s="92">
        <f t="shared" si="50"/>
        <v>128505.82078393678</v>
      </c>
      <c r="Y38" s="92">
        <f t="shared" si="50"/>
        <v>134141.97653609069</v>
      </c>
      <c r="Z38" s="92">
        <f t="shared" si="50"/>
        <v>134117.64705882352</v>
      </c>
      <c r="AA38" s="92">
        <f>+AA26/(AA37/1000000)</f>
        <v>139281.28872366788</v>
      </c>
      <c r="AB38" s="92">
        <f>+AB26/(AB37/1000000)</f>
        <v>139716.4361981446</v>
      </c>
      <c r="AC38" s="277">
        <f t="shared" ref="AC38:AM38" si="51">+AB38*(1+AC39)</f>
        <v>142510.76492210748</v>
      </c>
      <c r="AD38" s="277">
        <f t="shared" si="51"/>
        <v>144648.42639593908</v>
      </c>
      <c r="AE38" s="277">
        <f t="shared" si="51"/>
        <v>146094.91065989848</v>
      </c>
      <c r="AF38" s="277">
        <f t="shared" si="51"/>
        <v>147555.85976649748</v>
      </c>
      <c r="AG38" s="277">
        <f t="shared" si="51"/>
        <v>149031.41836416247</v>
      </c>
      <c r="AH38" s="277">
        <f t="shared" si="51"/>
        <v>150521.7325478041</v>
      </c>
      <c r="AI38" s="277">
        <f t="shared" si="51"/>
        <v>152026.94987328214</v>
      </c>
      <c r="AJ38" s="277">
        <f t="shared" si="51"/>
        <v>153547.21937201495</v>
      </c>
      <c r="AK38" s="277">
        <f t="shared" si="51"/>
        <v>155082.69156573509</v>
      </c>
      <c r="AL38" s="277">
        <f t="shared" si="51"/>
        <v>156633.51848139244</v>
      </c>
      <c r="AM38" s="277">
        <f t="shared" si="51"/>
        <v>158199.85366620636</v>
      </c>
      <c r="AN38" s="7"/>
    </row>
    <row r="39" spans="1:40">
      <c r="D39" s="332" t="s">
        <v>367</v>
      </c>
      <c r="E39" s="162"/>
      <c r="F39" s="162"/>
      <c r="G39" s="327"/>
      <c r="H39" s="327"/>
      <c r="I39" s="327"/>
      <c r="J39" s="327"/>
      <c r="K39" s="327"/>
      <c r="L39" s="298"/>
      <c r="M39" s="298"/>
      <c r="N39" s="298"/>
      <c r="O39" s="298"/>
      <c r="P39" s="298"/>
      <c r="Q39" s="298"/>
      <c r="R39" s="298">
        <f t="shared" ref="R39:AB39" si="52">+R38/Q38-1</f>
        <v>-3.5528307956499527E-2</v>
      </c>
      <c r="S39" s="298">
        <f t="shared" si="52"/>
        <v>-8.1813991875409053E-3</v>
      </c>
      <c r="T39" s="298">
        <f t="shared" si="52"/>
        <v>-1.9521131018680471E-2</v>
      </c>
      <c r="U39" s="298">
        <f t="shared" si="52"/>
        <v>-8.8073637145950068E-3</v>
      </c>
      <c r="V39" s="298">
        <f t="shared" si="52"/>
        <v>2.8588278543622447E-2</v>
      </c>
      <c r="W39" s="298">
        <f t="shared" si="52"/>
        <v>4.009634494091241E-2</v>
      </c>
      <c r="X39" s="298">
        <f t="shared" si="52"/>
        <v>1.5433785240269726E-2</v>
      </c>
      <c r="Y39" s="298">
        <f t="shared" si="52"/>
        <v>4.3859147529435649E-2</v>
      </c>
      <c r="Z39" s="298">
        <f t="shared" si="52"/>
        <v>-1.8137109572569088E-4</v>
      </c>
      <c r="AA39" s="298">
        <f t="shared" si="52"/>
        <v>3.8500836974716623E-2</v>
      </c>
      <c r="AB39" s="298">
        <f t="shared" si="52"/>
        <v>3.1242349813409565E-3</v>
      </c>
      <c r="AC39" s="333">
        <v>0.02</v>
      </c>
      <c r="AD39" s="333">
        <v>1.4999999999999999E-2</v>
      </c>
      <c r="AE39" s="333">
        <v>0.01</v>
      </c>
      <c r="AF39" s="333">
        <v>0.01</v>
      </c>
      <c r="AG39" s="333">
        <v>0.01</v>
      </c>
      <c r="AH39" s="333">
        <v>0.01</v>
      </c>
      <c r="AI39" s="333">
        <v>0.01</v>
      </c>
      <c r="AJ39" s="333">
        <v>0.01</v>
      </c>
      <c r="AK39" s="333">
        <v>0.01</v>
      </c>
      <c r="AL39" s="333">
        <v>0.01</v>
      </c>
      <c r="AM39" s="333">
        <v>0.01</v>
      </c>
      <c r="AN39" s="7"/>
    </row>
    <row r="40" spans="1:40">
      <c r="D40" s="324"/>
      <c r="E40" s="162"/>
      <c r="F40" s="162"/>
      <c r="G40" s="327"/>
      <c r="H40" s="327"/>
      <c r="I40" s="327"/>
      <c r="J40" s="327"/>
      <c r="K40" s="327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7"/>
    </row>
    <row r="41" spans="1:40">
      <c r="D41" s="324" t="s">
        <v>375</v>
      </c>
      <c r="E41" s="162"/>
      <c r="F41" s="162"/>
      <c r="G41" s="327"/>
      <c r="H41" s="327"/>
      <c r="I41" s="327"/>
      <c r="J41" s="327"/>
      <c r="K41" s="327"/>
      <c r="L41" s="334"/>
      <c r="M41" s="334"/>
      <c r="N41" s="334"/>
      <c r="O41" s="334"/>
      <c r="P41" s="334"/>
      <c r="Q41" s="335">
        <f t="shared" ref="Q41:AB41" si="53">+Q24/Q$7</f>
        <v>5.53856657117614E-2</v>
      </c>
      <c r="R41" s="335">
        <f t="shared" si="53"/>
        <v>4.9489610606651441E-2</v>
      </c>
      <c r="S41" s="335">
        <f t="shared" si="53"/>
        <v>4.7274553906132846E-2</v>
      </c>
      <c r="T41" s="335">
        <f t="shared" si="53"/>
        <v>4.7413366901093691E-2</v>
      </c>
      <c r="U41" s="335">
        <f t="shared" si="53"/>
        <v>4.6938596979553542E-2</v>
      </c>
      <c r="V41" s="335">
        <f t="shared" si="53"/>
        <v>4.5450531583115489E-2</v>
      </c>
      <c r="W41" s="335">
        <f t="shared" si="53"/>
        <v>4.5315946850432678E-2</v>
      </c>
      <c r="X41" s="335">
        <f t="shared" si="53"/>
        <v>4.4869041019955647E-2</v>
      </c>
      <c r="Y41" s="335">
        <f t="shared" si="53"/>
        <v>4.7049409180913888E-2</v>
      </c>
      <c r="Z41" s="335">
        <f t="shared" ref="Z41:Z46" si="54">+Z24/Z$7</f>
        <v>4.5947031601652998E-2</v>
      </c>
      <c r="AA41" s="335">
        <f t="shared" si="53"/>
        <v>4.4940944881889759E-2</v>
      </c>
      <c r="AB41" s="335">
        <f t="shared" si="53"/>
        <v>4.8011567526491328E-2</v>
      </c>
      <c r="AC41" s="335">
        <f t="shared" ref="AC41:AM41" ca="1" si="55">+AC24/AC$7</f>
        <v>4.5066324183841044E-2</v>
      </c>
      <c r="AD41" s="335">
        <f t="shared" ca="1" si="55"/>
        <v>4.2876047373064961E-2</v>
      </c>
      <c r="AE41" s="335">
        <f t="shared" ca="1" si="55"/>
        <v>4.1490731000152291E-2</v>
      </c>
      <c r="AF41" s="335">
        <f t="shared" ca="1" si="55"/>
        <v>4.0254955933774414E-2</v>
      </c>
      <c r="AG41" s="335">
        <f t="shared" ca="1" si="55"/>
        <v>3.9051083759478654E-2</v>
      </c>
      <c r="AH41" s="335">
        <f t="shared" ca="1" si="55"/>
        <v>3.7878550389931688E-2</v>
      </c>
      <c r="AI41" s="335">
        <f t="shared" ca="1" si="55"/>
        <v>3.6919398778873104E-2</v>
      </c>
      <c r="AJ41" s="335">
        <f t="shared" ca="1" si="55"/>
        <v>3.5979983282277195E-2</v>
      </c>
      <c r="AK41" s="335">
        <f t="shared" ca="1" si="55"/>
        <v>3.5059927360016542E-2</v>
      </c>
      <c r="AL41" s="335">
        <f t="shared" ca="1" si="55"/>
        <v>3.4327989725447886E-2</v>
      </c>
      <c r="AM41" s="335">
        <f t="shared" ca="1" si="55"/>
        <v>3.3607347127163109E-2</v>
      </c>
      <c r="AN41" s="7"/>
    </row>
    <row r="42" spans="1:40">
      <c r="D42" s="324" t="s">
        <v>376</v>
      </c>
      <c r="E42" s="162"/>
      <c r="F42" s="162"/>
      <c r="G42" s="327"/>
      <c r="H42" s="327"/>
      <c r="I42" s="327"/>
      <c r="J42" s="327"/>
      <c r="K42" s="327"/>
      <c r="L42" s="334"/>
      <c r="M42" s="334"/>
      <c r="N42" s="334"/>
      <c r="O42" s="334"/>
      <c r="P42" s="334"/>
      <c r="Q42" s="335">
        <f t="shared" ref="Q42:AB42" si="56">+Q25/Q$7</f>
        <v>5.0678696688174346E-3</v>
      </c>
      <c r="R42" s="335">
        <f t="shared" si="56"/>
        <v>4.8583365829201718E-3</v>
      </c>
      <c r="S42" s="335">
        <f t="shared" si="56"/>
        <v>4.8072174738841393E-3</v>
      </c>
      <c r="T42" s="335">
        <f t="shared" si="56"/>
        <v>5.6656541608516003E-3</v>
      </c>
      <c r="U42" s="335">
        <f t="shared" si="56"/>
        <v>5.2869742252053802E-3</v>
      </c>
      <c r="V42" s="335">
        <f t="shared" si="56"/>
        <v>5.7384344754602724E-3</v>
      </c>
      <c r="W42" s="335">
        <f t="shared" si="56"/>
        <v>3.3714859040113003E-3</v>
      </c>
      <c r="X42" s="335">
        <f t="shared" si="56"/>
        <v>5.769691090505946E-3</v>
      </c>
      <c r="Y42" s="335">
        <f t="shared" si="56"/>
        <v>3.3702680443683818E-3</v>
      </c>
      <c r="Z42" s="335">
        <f t="shared" si="54"/>
        <v>3.8463443221024487E-3</v>
      </c>
      <c r="AA42" s="335">
        <f t="shared" si="56"/>
        <v>4.8917322834645663E-3</v>
      </c>
      <c r="AB42" s="335">
        <f t="shared" si="56"/>
        <v>5.8945835268290631E-3</v>
      </c>
      <c r="AC42" s="335">
        <f t="shared" ref="AC42:AM42" ca="1" si="57">+AC25/AC$7</f>
        <v>5.5329835253188006E-3</v>
      </c>
      <c r="AD42" s="335">
        <f t="shared" ca="1" si="57"/>
        <v>5.2640739630373228E-3</v>
      </c>
      <c r="AE42" s="335">
        <f t="shared" ca="1" si="57"/>
        <v>5.0939928036019023E-3</v>
      </c>
      <c r="AF42" s="335">
        <f t="shared" ca="1" si="57"/>
        <v>4.9422714638410661E-3</v>
      </c>
      <c r="AG42" s="335">
        <f t="shared" ca="1" si="57"/>
        <v>4.7944669772768929E-3</v>
      </c>
      <c r="AH42" s="335">
        <f t="shared" ca="1" si="57"/>
        <v>4.6505100885220665E-3</v>
      </c>
      <c r="AI42" s="335">
        <f t="shared" ca="1" si="57"/>
        <v>4.5327509821618921E-3</v>
      </c>
      <c r="AJ42" s="335">
        <f t="shared" ca="1" si="57"/>
        <v>4.4174149621803958E-3</v>
      </c>
      <c r="AK42" s="335">
        <f t="shared" ca="1" si="57"/>
        <v>4.3044557991525024E-3</v>
      </c>
      <c r="AL42" s="335">
        <f t="shared" ca="1" si="57"/>
        <v>4.21459271519521E-3</v>
      </c>
      <c r="AM42" s="335">
        <f t="shared" ca="1" si="57"/>
        <v>4.1261163706927092E-3</v>
      </c>
      <c r="AN42" s="7"/>
    </row>
    <row r="43" spans="1:40">
      <c r="D43" s="324" t="s">
        <v>377</v>
      </c>
      <c r="E43" s="162"/>
      <c r="F43" s="162"/>
      <c r="G43" s="327"/>
      <c r="H43" s="327"/>
      <c r="I43" s="327"/>
      <c r="J43" s="327"/>
      <c r="K43" s="327"/>
      <c r="L43" s="334"/>
      <c r="M43" s="334"/>
      <c r="N43" s="334"/>
      <c r="O43" s="334"/>
      <c r="P43" s="334"/>
      <c r="Q43" s="335">
        <f t="shared" ref="Q43:AM43" si="58">+Q26/Q$7</f>
        <v>2.4430403469786619E-2</v>
      </c>
      <c r="R43" s="335">
        <f t="shared" si="58"/>
        <v>2.0232856108294801E-2</v>
      </c>
      <c r="S43" s="335">
        <f t="shared" si="58"/>
        <v>1.8753436297295943E-2</v>
      </c>
      <c r="T43" s="335">
        <f t="shared" si="58"/>
        <v>1.8234226345218877E-2</v>
      </c>
      <c r="U43" s="335">
        <f t="shared" si="58"/>
        <v>1.7241516426361708E-2</v>
      </c>
      <c r="V43" s="335">
        <f t="shared" si="58"/>
        <v>1.7065324801838991E-2</v>
      </c>
      <c r="W43" s="335">
        <f t="shared" si="58"/>
        <v>1.8191779375169147E-2</v>
      </c>
      <c r="X43" s="335">
        <f t="shared" si="58"/>
        <v>1.8947792783712961E-2</v>
      </c>
      <c r="Y43" s="335">
        <f t="shared" si="58"/>
        <v>1.9701757562659534E-2</v>
      </c>
      <c r="Z43" s="335">
        <f t="shared" si="54"/>
        <v>1.9759974907968374E-2</v>
      </c>
      <c r="AA43" s="335">
        <f t="shared" si="58"/>
        <v>1.9360236220472435E-2</v>
      </c>
      <c r="AB43" s="335">
        <f t="shared" si="58"/>
        <v>2.1061130577954154E-2</v>
      </c>
      <c r="AC43" s="335">
        <f t="shared" ca="1" si="58"/>
        <v>1.7990282800536873E-2</v>
      </c>
      <c r="AD43" s="335">
        <f t="shared" ca="1" si="58"/>
        <v>1.771025432070665E-2</v>
      </c>
      <c r="AE43" s="335">
        <f t="shared" ca="1" si="58"/>
        <v>1.7316346539177616E-2</v>
      </c>
      <c r="AF43" s="335">
        <f t="shared" ca="1" si="58"/>
        <v>1.6890931555988014E-2</v>
      </c>
      <c r="AG43" s="335">
        <f t="shared" ca="1" si="58"/>
        <v>1.6473899119960268E-2</v>
      </c>
      <c r="AH43" s="335">
        <f t="shared" ca="1" si="58"/>
        <v>1.6065184809376472E-2</v>
      </c>
      <c r="AI43" s="335">
        <f t="shared" ca="1" si="58"/>
        <v>1.5664651895229212E-2</v>
      </c>
      <c r="AJ43" s="335">
        <f t="shared" ca="1" si="58"/>
        <v>1.5272173105165656E-2</v>
      </c>
      <c r="AK43" s="335">
        <f t="shared" ca="1" si="58"/>
        <v>1.4887598410143083E-2</v>
      </c>
      <c r="AL43" s="335">
        <f t="shared" ca="1" si="58"/>
        <v>1.4510791065571363E-2</v>
      </c>
      <c r="AM43" s="335">
        <f t="shared" ca="1" si="58"/>
        <v>1.4141843709662382E-2</v>
      </c>
      <c r="AN43" s="7"/>
    </row>
    <row r="44" spans="1:40" s="5" customFormat="1">
      <c r="A44" s="124"/>
      <c r="B44" s="166"/>
      <c r="D44" s="324" t="s">
        <v>378</v>
      </c>
      <c r="E44" s="166"/>
      <c r="F44" s="166"/>
      <c r="G44" s="102"/>
      <c r="H44" s="102"/>
      <c r="I44" s="102"/>
      <c r="J44" s="102"/>
      <c r="K44" s="102"/>
      <c r="L44" s="335"/>
      <c r="M44" s="335"/>
      <c r="N44" s="335"/>
      <c r="O44" s="335"/>
      <c r="P44" s="335"/>
      <c r="Q44" s="335">
        <f t="shared" ref="Q44:AB44" si="59">+Q27/Q$7</f>
        <v>9.9997322695510159E-3</v>
      </c>
      <c r="R44" s="335">
        <f t="shared" si="59"/>
        <v>1.0640075761796E-2</v>
      </c>
      <c r="S44" s="335">
        <f t="shared" si="59"/>
        <v>9.9065327135502545E-3</v>
      </c>
      <c r="T44" s="335">
        <f t="shared" si="59"/>
        <v>9.696339472219942E-3</v>
      </c>
      <c r="U44" s="335">
        <f t="shared" si="59"/>
        <v>8.92296191438092E-3</v>
      </c>
      <c r="V44" s="335">
        <f t="shared" si="59"/>
        <v>8.6062500438021678E-3</v>
      </c>
      <c r="W44" s="335">
        <f t="shared" si="59"/>
        <v>9.2807118292771457E-3</v>
      </c>
      <c r="X44" s="335">
        <f t="shared" si="59"/>
        <v>9.0833501310219698E-3</v>
      </c>
      <c r="Y44" s="335">
        <f t="shared" si="59"/>
        <v>9.2112871853881062E-3</v>
      </c>
      <c r="Z44" s="335">
        <f t="shared" si="54"/>
        <v>9.1563904892395919E-3</v>
      </c>
      <c r="AA44" s="335">
        <f t="shared" si="59"/>
        <v>9.4143700787401568E-3</v>
      </c>
      <c r="AB44" s="335">
        <f t="shared" si="59"/>
        <v>1.1477814835141639E-2</v>
      </c>
      <c r="AC44" s="173">
        <v>1.35E-2</v>
      </c>
      <c r="AD44" s="173">
        <f>+AC44*0.995</f>
        <v>1.34325E-2</v>
      </c>
      <c r="AE44" s="173">
        <f t="shared" ref="AE44:AM44" si="60">+AD44*0.995</f>
        <v>1.3365337499999999E-2</v>
      </c>
      <c r="AF44" s="173">
        <f t="shared" si="60"/>
        <v>1.3298510812499999E-2</v>
      </c>
      <c r="AG44" s="173">
        <f t="shared" si="60"/>
        <v>1.3232018258437499E-2</v>
      </c>
      <c r="AH44" s="173">
        <f t="shared" si="60"/>
        <v>1.3165858167145311E-2</v>
      </c>
      <c r="AI44" s="173">
        <f t="shared" si="60"/>
        <v>1.3100028876309584E-2</v>
      </c>
      <c r="AJ44" s="173">
        <f t="shared" si="60"/>
        <v>1.3034528731928036E-2</v>
      </c>
      <c r="AK44" s="173">
        <f t="shared" si="60"/>
        <v>1.2969356088268396E-2</v>
      </c>
      <c r="AL44" s="173">
        <f t="shared" si="60"/>
        <v>1.2904509307827054E-2</v>
      </c>
      <c r="AM44" s="173">
        <f t="shared" si="60"/>
        <v>1.2839986761287918E-2</v>
      </c>
      <c r="AN44" s="74"/>
    </row>
    <row r="45" spans="1:40" s="5" customFormat="1">
      <c r="A45" s="124"/>
      <c r="B45" s="166"/>
      <c r="D45" s="324" t="s">
        <v>379</v>
      </c>
      <c r="E45" s="166"/>
      <c r="F45" s="166"/>
      <c r="G45" s="102"/>
      <c r="H45" s="102"/>
      <c r="I45" s="102"/>
      <c r="J45" s="102"/>
      <c r="K45" s="102"/>
      <c r="L45" s="335"/>
      <c r="M45" s="335"/>
      <c r="N45" s="335"/>
      <c r="O45" s="335"/>
      <c r="P45" s="335"/>
      <c r="Q45" s="335">
        <f t="shared" ref="Q45:AF46" si="61">+Q28/Q$7</f>
        <v>1.1164359722631256E-2</v>
      </c>
      <c r="R45" s="335">
        <f t="shared" si="61"/>
        <v>1.2690100830037325E-2</v>
      </c>
      <c r="S45" s="335">
        <f t="shared" si="61"/>
        <v>1.3305343129904531E-2</v>
      </c>
      <c r="T45" s="335">
        <f t="shared" si="61"/>
        <v>1.3034872159738756E-2</v>
      </c>
      <c r="U45" s="335">
        <f t="shared" si="61"/>
        <v>1.347987561931877E-2</v>
      </c>
      <c r="V45" s="335">
        <f t="shared" si="61"/>
        <v>1.1283438575343233E-2</v>
      </c>
      <c r="W45" s="335">
        <f t="shared" si="61"/>
        <v>1.3076166524749664E-2</v>
      </c>
      <c r="X45" s="335">
        <f t="shared" si="61"/>
        <v>1.5092723241281998E-2</v>
      </c>
      <c r="Y45" s="335">
        <f t="shared" si="61"/>
        <v>1.5122398556100067E-2</v>
      </c>
      <c r="Z45" s="335">
        <f t="shared" si="54"/>
        <v>1.6502412906988902E-2</v>
      </c>
      <c r="AA45" s="335">
        <f t="shared" si="61"/>
        <v>1.6870078740157477E-2</v>
      </c>
      <c r="AB45" s="335">
        <f t="shared" si="61"/>
        <v>1.375754633343184E-2</v>
      </c>
      <c r="AC45" s="173">
        <v>1.7000000000000001E-2</v>
      </c>
      <c r="AD45" s="173">
        <v>1.7500000000000002E-2</v>
      </c>
      <c r="AE45" s="173">
        <v>1.7999999999999999E-2</v>
      </c>
      <c r="AF45" s="173">
        <v>1.7999999999999999E-2</v>
      </c>
      <c r="AG45" s="173">
        <v>1.7999999999999999E-2</v>
      </c>
      <c r="AH45" s="173">
        <v>1.8499999999999999E-2</v>
      </c>
      <c r="AI45" s="173">
        <v>1.9E-2</v>
      </c>
      <c r="AJ45" s="173">
        <v>1.9E-2</v>
      </c>
      <c r="AK45" s="173">
        <v>1.9E-2</v>
      </c>
      <c r="AL45" s="173">
        <v>1.9E-2</v>
      </c>
      <c r="AM45" s="173">
        <v>1.9E-2</v>
      </c>
      <c r="AN45" s="74"/>
    </row>
    <row r="46" spans="1:40" s="5" customFormat="1">
      <c r="A46" s="124"/>
      <c r="B46" s="166"/>
      <c r="D46" s="336" t="s">
        <v>506</v>
      </c>
      <c r="E46" s="321"/>
      <c r="F46" s="321"/>
      <c r="G46" s="337"/>
      <c r="H46" s="337"/>
      <c r="I46" s="337"/>
      <c r="J46" s="337"/>
      <c r="K46" s="337"/>
      <c r="L46" s="338">
        <f t="shared" ref="L46:P46" si="62">+L29/L$7</f>
        <v>0.10390605098568524</v>
      </c>
      <c r="M46" s="338">
        <f t="shared" si="62"/>
        <v>0.10772683706070288</v>
      </c>
      <c r="N46" s="338">
        <f t="shared" si="62"/>
        <v>0.10396592370338621</v>
      </c>
      <c r="O46" s="338">
        <f t="shared" si="62"/>
        <v>0.10468717223211454</v>
      </c>
      <c r="P46" s="338">
        <f t="shared" si="62"/>
        <v>0.12651926413444028</v>
      </c>
      <c r="Q46" s="338">
        <f t="shared" si="61"/>
        <v>0.10604803084254773</v>
      </c>
      <c r="R46" s="338">
        <f t="shared" si="61"/>
        <v>9.791097988969974E-2</v>
      </c>
      <c r="S46" s="338">
        <f t="shared" si="61"/>
        <v>9.4047083520767724E-2</v>
      </c>
      <c r="T46" s="338">
        <f t="shared" si="61"/>
        <v>9.4044459039122869E-2</v>
      </c>
      <c r="U46" s="338">
        <f t="shared" si="61"/>
        <v>9.1869925164820315E-2</v>
      </c>
      <c r="V46" s="338">
        <f t="shared" si="61"/>
        <v>8.8143979479560153E-2</v>
      </c>
      <c r="W46" s="338">
        <f t="shared" si="61"/>
        <v>8.9236090483639924E-2</v>
      </c>
      <c r="X46" s="338">
        <f t="shared" si="61"/>
        <v>9.3762598266478522E-2</v>
      </c>
      <c r="Y46" s="338">
        <f t="shared" si="61"/>
        <v>9.4455120529429976E-2</v>
      </c>
      <c r="Z46" s="338">
        <f t="shared" si="54"/>
        <v>9.5212154227952317E-2</v>
      </c>
      <c r="AA46" s="338">
        <f t="shared" si="61"/>
        <v>9.5477362204724386E-2</v>
      </c>
      <c r="AB46" s="338">
        <f t="shared" si="61"/>
        <v>0.10020264279984803</v>
      </c>
      <c r="AC46" s="338">
        <f t="shared" ca="1" si="61"/>
        <v>9.9089590509696721E-2</v>
      </c>
      <c r="AD46" s="338">
        <f t="shared" ca="1" si="61"/>
        <v>9.6782875656808931E-2</v>
      </c>
      <c r="AE46" s="338">
        <f t="shared" ca="1" si="61"/>
        <v>9.5266407842931819E-2</v>
      </c>
      <c r="AF46" s="338">
        <f t="shared" ca="1" si="61"/>
        <v>9.3386669766103492E-2</v>
      </c>
      <c r="AG46" s="338">
        <f t="shared" ref="AG46:AM46" ca="1" si="63">+AG29/AG$7</f>
        <v>9.1551468115153301E-2</v>
      </c>
      <c r="AH46" s="338">
        <f t="shared" ca="1" si="63"/>
        <v>9.0260103454975538E-2</v>
      </c>
      <c r="AI46" s="338">
        <f t="shared" ca="1" si="63"/>
        <v>8.9216830532573801E-2</v>
      </c>
      <c r="AJ46" s="338">
        <f t="shared" ca="1" si="63"/>
        <v>8.7704100081551287E-2</v>
      </c>
      <c r="AK46" s="338">
        <f t="shared" ca="1" si="63"/>
        <v>8.6221337657580527E-2</v>
      </c>
      <c r="AL46" s="338">
        <f t="shared" ca="1" si="63"/>
        <v>8.4957882814041499E-2</v>
      </c>
      <c r="AM46" s="338">
        <f t="shared" ca="1" si="63"/>
        <v>8.3715293968806115E-2</v>
      </c>
      <c r="AN46" s="74"/>
    </row>
    <row r="47" spans="1:40" s="5" customFormat="1">
      <c r="A47" s="124"/>
      <c r="B47" s="166"/>
      <c r="D47" s="339" t="s">
        <v>510</v>
      </c>
      <c r="E47" s="340"/>
      <c r="F47" s="340"/>
      <c r="G47" s="341"/>
      <c r="H47" s="341"/>
      <c r="I47" s="341"/>
      <c r="J47" s="341"/>
      <c r="K47" s="341"/>
      <c r="L47" s="342">
        <f>-L11/L7</f>
        <v>0.10007642149687282</v>
      </c>
      <c r="M47" s="342">
        <f t="shared" ref="M47:AM47" si="64">-M11/M7</f>
        <v>0.10346293929712461</v>
      </c>
      <c r="N47" s="342">
        <f t="shared" si="64"/>
        <v>9.9337896485212171E-2</v>
      </c>
      <c r="O47" s="342">
        <f t="shared" si="64"/>
        <v>9.9002000146352173E-2</v>
      </c>
      <c r="P47" s="342">
        <f t="shared" si="64"/>
        <v>0.11867007929338551</v>
      </c>
      <c r="Q47" s="342">
        <f t="shared" si="64"/>
        <v>9.5977617734464962E-2</v>
      </c>
      <c r="R47" s="342">
        <f t="shared" si="64"/>
        <v>8.9407721018327668E-2</v>
      </c>
      <c r="S47" s="342">
        <f t="shared" si="64"/>
        <v>8.5768780926675656E-2</v>
      </c>
      <c r="T47" s="342">
        <f t="shared" si="64"/>
        <v>8.5353054392542121E-2</v>
      </c>
      <c r="U47" s="342">
        <f t="shared" si="64"/>
        <v>8.3765219535083466E-2</v>
      </c>
      <c r="V47" s="342">
        <f t="shared" si="64"/>
        <v>8.0072256056963845E-2</v>
      </c>
      <c r="W47" s="342">
        <f t="shared" si="64"/>
        <v>8.0169244275464194E-2</v>
      </c>
      <c r="X47" s="342">
        <f t="shared" si="64"/>
        <v>8.3124937008667604E-2</v>
      </c>
      <c r="Y47" s="342">
        <f t="shared" si="64"/>
        <v>8.3944673866696254E-2</v>
      </c>
      <c r="Z47" s="342">
        <f t="shared" si="64"/>
        <v>8.5183760613214046E-2</v>
      </c>
      <c r="AA47" s="342">
        <f t="shared" si="64"/>
        <v>8.4856742125984236E-2</v>
      </c>
      <c r="AB47" s="342">
        <f t="shared" si="64"/>
        <v>8.7423692320682242E-2</v>
      </c>
      <c r="AC47" s="342">
        <f t="shared" ca="1" si="64"/>
        <v>8.9764697884016614E-2</v>
      </c>
      <c r="AD47" s="342">
        <f t="shared" ca="1" si="64"/>
        <v>8.7459842393602868E-2</v>
      </c>
      <c r="AE47" s="342">
        <f t="shared" ca="1" si="64"/>
        <v>8.604012415019284E-2</v>
      </c>
      <c r="AF47" s="342">
        <f t="shared" ca="1" si="64"/>
        <v>8.4214832775311527E-2</v>
      </c>
      <c r="AG47" s="342">
        <f t="shared" ca="1" si="64"/>
        <v>8.2439374459044437E-2</v>
      </c>
      <c r="AH47" s="342">
        <f t="shared" ca="1" si="64"/>
        <v>8.1223972785735316E-2</v>
      </c>
      <c r="AI47" s="342">
        <f t="shared" ca="1" si="64"/>
        <v>8.0264154272333701E-2</v>
      </c>
      <c r="AJ47" s="342">
        <f t="shared" ca="1" si="64"/>
        <v>7.8843302251533826E-2</v>
      </c>
      <c r="AK47" s="342">
        <f t="shared" ca="1" si="64"/>
        <v>7.7457450922073734E-2</v>
      </c>
      <c r="AL47" s="342">
        <f t="shared" ca="1" si="64"/>
        <v>7.6297666229496366E-2</v>
      </c>
      <c r="AM47" s="342">
        <f t="shared" ca="1" si="64"/>
        <v>7.5203602997323579E-2</v>
      </c>
      <c r="AN47" s="74"/>
    </row>
    <row r="48" spans="1:40" s="5" customFormat="1">
      <c r="A48" s="124"/>
      <c r="B48" s="166"/>
      <c r="D48" s="339" t="s">
        <v>606</v>
      </c>
      <c r="E48" s="340"/>
      <c r="F48" s="340"/>
      <c r="G48" s="341"/>
      <c r="H48" s="341"/>
      <c r="I48" s="341"/>
      <c r="J48" s="341"/>
      <c r="K48" s="341"/>
      <c r="L48" s="342">
        <f t="shared" ref="L48:AM48" si="65">(-L11+(-L14+L399))/L9</f>
        <v>0.84063420876166572</v>
      </c>
      <c r="M48" s="342">
        <f t="shared" si="65"/>
        <v>0.85286209678847213</v>
      </c>
      <c r="N48" s="342">
        <f t="shared" si="65"/>
        <v>0.79929808807264624</v>
      </c>
      <c r="O48" s="342">
        <f t="shared" si="65"/>
        <v>0.75688298368298368</v>
      </c>
      <c r="P48" s="342">
        <f t="shared" si="65"/>
        <v>0.85488792480115694</v>
      </c>
      <c r="Q48" s="342">
        <f t="shared" si="65"/>
        <v>0.65244517244517253</v>
      </c>
      <c r="R48" s="342">
        <f t="shared" si="65"/>
        <v>0.61672225637872724</v>
      </c>
      <c r="S48" s="342">
        <f t="shared" si="65"/>
        <v>0.62227154046997379</v>
      </c>
      <c r="T48" s="342">
        <f t="shared" si="65"/>
        <v>0.64784211963944283</v>
      </c>
      <c r="U48" s="342">
        <f t="shared" si="65"/>
        <v>0.6458421786862375</v>
      </c>
      <c r="V48" s="342">
        <f t="shared" si="65"/>
        <v>0.61033112582781457</v>
      </c>
      <c r="W48" s="342">
        <f t="shared" si="65"/>
        <v>0.60674658212799693</v>
      </c>
      <c r="X48" s="342">
        <f t="shared" si="65"/>
        <v>0.61732240186873077</v>
      </c>
      <c r="Y48" s="342">
        <f t="shared" si="65"/>
        <v>0.62626132508909782</v>
      </c>
      <c r="Z48" s="342">
        <f t="shared" si="65"/>
        <v>0.62908167378859958</v>
      </c>
      <c r="AA48" s="342">
        <f t="shared" si="65"/>
        <v>0.64265510781324608</v>
      </c>
      <c r="AB48" s="342">
        <f t="shared" si="65"/>
        <v>0.71602706905972846</v>
      </c>
      <c r="AC48" s="342">
        <f t="shared" ca="1" si="65"/>
        <v>0.68956476470366801</v>
      </c>
      <c r="AD48" s="342">
        <f t="shared" ca="1" si="65"/>
        <v>0.66895035568534977</v>
      </c>
      <c r="AE48" s="342">
        <f t="shared" ca="1" si="65"/>
        <v>0.66134859795687473</v>
      </c>
      <c r="AF48" s="342">
        <f t="shared" ca="1" si="65"/>
        <v>0.65004321020012124</v>
      </c>
      <c r="AG48" s="342">
        <f t="shared" ca="1" si="65"/>
        <v>0.63899394037370583</v>
      </c>
      <c r="AH48" s="342">
        <f t="shared" ca="1" si="65"/>
        <v>0.63213639814685063</v>
      </c>
      <c r="AI48" s="342">
        <f t="shared" ca="1" si="65"/>
        <v>0.6274098503716542</v>
      </c>
      <c r="AJ48" s="342">
        <f t="shared" ca="1" si="65"/>
        <v>0.61897685759345633</v>
      </c>
      <c r="AK48" s="342">
        <f t="shared" ca="1" si="65"/>
        <v>0.61066935762279262</v>
      </c>
      <c r="AL48" s="342">
        <f t="shared" ca="1" si="65"/>
        <v>0.60399363881821744</v>
      </c>
      <c r="AM48" s="342">
        <f t="shared" ca="1" si="65"/>
        <v>0.59769678211590482</v>
      </c>
      <c r="AN48" s="74"/>
    </row>
    <row r="49" spans="3:44">
      <c r="D49" s="324"/>
      <c r="E49" s="162"/>
      <c r="F49" s="162"/>
      <c r="G49" s="327"/>
      <c r="H49" s="327"/>
      <c r="I49" s="327"/>
      <c r="J49" s="327"/>
      <c r="K49" s="327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43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7"/>
    </row>
    <row r="50" spans="3:44">
      <c r="C50" s="119"/>
      <c r="D50" s="120" t="s">
        <v>511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</row>
    <row r="51" spans="3:44" ht="5.15" customHeight="1">
      <c r="G51" s="7"/>
      <c r="H51" s="7"/>
      <c r="I51" s="7"/>
      <c r="J51" s="7"/>
      <c r="K51" s="7"/>
      <c r="L51" s="7"/>
      <c r="M51" s="7"/>
      <c r="N51" s="7"/>
      <c r="O51" s="7"/>
      <c r="P51" s="103"/>
      <c r="Q51" s="75"/>
      <c r="R51" s="75"/>
      <c r="S51" s="75"/>
      <c r="T51" s="75"/>
      <c r="U51" s="75"/>
      <c r="V51" s="75"/>
      <c r="W51" s="75"/>
      <c r="X51" s="75"/>
      <c r="Y51" s="75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7"/>
    </row>
    <row r="52" spans="3:44">
      <c r="D52" t="s">
        <v>256</v>
      </c>
      <c r="G52" s="189"/>
      <c r="H52" s="189"/>
      <c r="I52" s="189"/>
      <c r="J52" s="189"/>
      <c r="K52" s="189"/>
      <c r="L52" s="81">
        <v>3997.2</v>
      </c>
      <c r="M52" s="81">
        <v>4771.3</v>
      </c>
      <c r="N52" s="81">
        <v>5872.8</v>
      </c>
      <c r="O52" s="81">
        <v>6589.3</v>
      </c>
      <c r="P52" s="81">
        <v>5690.7</v>
      </c>
      <c r="Q52" s="81">
        <v>6192.3</v>
      </c>
      <c r="R52" s="81">
        <v>7210</v>
      </c>
      <c r="S52" s="81">
        <v>7826.9</v>
      </c>
      <c r="T52" s="81">
        <v>8747</v>
      </c>
      <c r="U52" s="81">
        <v>10306.299999999999</v>
      </c>
      <c r="V52" s="81">
        <v>11674.5</v>
      </c>
      <c r="W52" s="81">
        <v>12439.4</v>
      </c>
      <c r="X52" s="81">
        <v>13270.7</v>
      </c>
      <c r="Y52" s="81">
        <v>14392.4</v>
      </c>
      <c r="Z52" s="81">
        <v>15172.8</v>
      </c>
      <c r="AA52" s="81">
        <v>17169.5</v>
      </c>
      <c r="AB52" s="81">
        <v>15713</v>
      </c>
      <c r="AC52" s="76">
        <f t="shared" ref="AC52:AL52" ca="1" si="66">+AC86</f>
        <v>19836.434192856384</v>
      </c>
      <c r="AD52" s="76">
        <f t="shared" ca="1" si="66"/>
        <v>21375.853874059478</v>
      </c>
      <c r="AE52" s="76">
        <f t="shared" ca="1" si="66"/>
        <v>23145.351880254329</v>
      </c>
      <c r="AF52" s="76">
        <f t="shared" ca="1" si="66"/>
        <v>25033.997660686604</v>
      </c>
      <c r="AG52" s="76">
        <f t="shared" ca="1" si="66"/>
        <v>27030.711699665961</v>
      </c>
      <c r="AH52" s="76">
        <f t="shared" ca="1" si="66"/>
        <v>29153.018811942693</v>
      </c>
      <c r="AI52" s="76">
        <f t="shared" ca="1" si="66"/>
        <v>31402.65518658944</v>
      </c>
      <c r="AJ52" s="76">
        <f t="shared" ca="1" si="66"/>
        <v>33786.811884417868</v>
      </c>
      <c r="AK52" s="76">
        <f t="shared" ca="1" si="66"/>
        <v>36304.236886492115</v>
      </c>
      <c r="AL52" s="76">
        <f t="shared" ca="1" si="66"/>
        <v>38961.476644187227</v>
      </c>
      <c r="AM52" s="76">
        <f ca="1">+AM86</f>
        <v>41958.119601530045</v>
      </c>
      <c r="AN52" s="7"/>
      <c r="AO52" s="314">
        <f t="shared" ref="AO52:AO56" ca="1" si="67">(AL52/AB52)^(1/10)-1</f>
        <v>9.5059279616600323E-2</v>
      </c>
      <c r="AP52" s="314">
        <f t="shared" ref="AP52:AP56" si="68">(AB52/L52)^(1/16)-1</f>
        <v>8.9322444543029844E-2</v>
      </c>
      <c r="AQ52" s="314">
        <f t="shared" ref="AQ52:AQ56" si="69">(AA52/Q52)^(1/10)-1</f>
        <v>0.10736442148534864</v>
      </c>
      <c r="AR52" s="314">
        <f t="shared" ref="AR52:AR56" ca="1" si="70">(AL52/AA52)^(1/11)-1</f>
        <v>7.7339352095776137E-2</v>
      </c>
    </row>
    <row r="53" spans="3:44">
      <c r="D53" t="s">
        <v>257</v>
      </c>
      <c r="E53" s="64"/>
      <c r="F53" s="64"/>
      <c r="G53" s="207"/>
      <c r="H53" s="207"/>
      <c r="I53" s="207"/>
      <c r="J53" s="207"/>
      <c r="K53" s="207"/>
      <c r="L53" s="81">
        <v>589.70000000000005</v>
      </c>
      <c r="M53" s="81">
        <v>778.3</v>
      </c>
      <c r="N53" s="81">
        <v>918.4</v>
      </c>
      <c r="O53" s="81">
        <v>985</v>
      </c>
      <c r="P53" s="81">
        <v>779.8</v>
      </c>
      <c r="Q53" s="81">
        <v>844.9</v>
      </c>
      <c r="R53" s="81">
        <v>1301.7</v>
      </c>
      <c r="S53" s="81">
        <v>1721.6</v>
      </c>
      <c r="T53" s="81">
        <v>1759.6</v>
      </c>
      <c r="U53" s="81">
        <v>1823.4</v>
      </c>
      <c r="V53" s="81">
        <v>2049.1</v>
      </c>
      <c r="W53" s="81">
        <v>2188.3000000000002</v>
      </c>
      <c r="X53" s="81">
        <v>2082.5</v>
      </c>
      <c r="Y53" s="81">
        <v>2181.1999999999998</v>
      </c>
      <c r="Z53" s="81">
        <v>2393</v>
      </c>
      <c r="AA53" s="81">
        <v>2500</v>
      </c>
      <c r="AB53" s="81">
        <v>2668.8</v>
      </c>
      <c r="AC53" s="76">
        <f t="shared" ref="AC53:AL53" ca="1" si="71">+AC107</f>
        <v>3045.205244629562</v>
      </c>
      <c r="AD53" s="76">
        <f t="shared" ca="1" si="71"/>
        <v>3248.5854456528969</v>
      </c>
      <c r="AE53" s="76">
        <f t="shared" ca="1" si="71"/>
        <v>3533.2331486180815</v>
      </c>
      <c r="AF53" s="76">
        <f t="shared" ca="1" si="71"/>
        <v>3908.3855469895389</v>
      </c>
      <c r="AG53" s="76">
        <f t="shared" ca="1" si="71"/>
        <v>4317.0480163225848</v>
      </c>
      <c r="AH53" s="76">
        <f t="shared" ca="1" si="71"/>
        <v>4764.1127303348703</v>
      </c>
      <c r="AI53" s="76">
        <f t="shared" ca="1" si="71"/>
        <v>5252.2377706515454</v>
      </c>
      <c r="AJ53" s="76">
        <f t="shared" ca="1" si="71"/>
        <v>5785.2061187995205</v>
      </c>
      <c r="AK53" s="76">
        <f t="shared" ca="1" si="71"/>
        <v>6365.6172477142336</v>
      </c>
      <c r="AL53" s="76">
        <f t="shared" ca="1" si="71"/>
        <v>6997.6502598170664</v>
      </c>
      <c r="AM53" s="76">
        <f ca="1">+AM107</f>
        <v>7721.3412089856456</v>
      </c>
      <c r="AN53" s="7"/>
      <c r="AO53" s="314">
        <f t="shared" ca="1" si="67"/>
        <v>0.10119345222796117</v>
      </c>
      <c r="AP53" s="314">
        <f t="shared" si="68"/>
        <v>9.895600464209009E-2</v>
      </c>
      <c r="AQ53" s="314">
        <f t="shared" si="69"/>
        <v>0.11458570781708866</v>
      </c>
      <c r="AR53" s="314">
        <f t="shared" ca="1" si="70"/>
        <v>9.8088832761437095E-2</v>
      </c>
    </row>
    <row r="54" spans="3:44">
      <c r="D54" t="s">
        <v>258</v>
      </c>
      <c r="E54" s="64"/>
      <c r="F54" s="64"/>
      <c r="G54" s="207"/>
      <c r="H54" s="207"/>
      <c r="I54" s="207"/>
      <c r="J54" s="207"/>
      <c r="K54" s="207"/>
      <c r="L54" s="81">
        <v>84.6</v>
      </c>
      <c r="M54" s="81">
        <v>97.9</v>
      </c>
      <c r="N54" s="81">
        <v>114.4</v>
      </c>
      <c r="O54" s="81">
        <v>132.4</v>
      </c>
      <c r="P54" s="81">
        <v>125.2</v>
      </c>
      <c r="Q54" s="81">
        <v>144.5</v>
      </c>
      <c r="R54" s="81">
        <v>173.8</v>
      </c>
      <c r="S54" s="81">
        <v>179.6</v>
      </c>
      <c r="T54" s="81">
        <v>202.9</v>
      </c>
      <c r="U54" s="81">
        <v>208.9</v>
      </c>
      <c r="V54" s="81">
        <v>255.7</v>
      </c>
      <c r="W54" s="81">
        <v>267.8</v>
      </c>
      <c r="X54" s="81">
        <v>305.5</v>
      </c>
      <c r="Y54" s="81">
        <v>336.4</v>
      </c>
      <c r="Z54" s="81">
        <v>382.5</v>
      </c>
      <c r="AA54" s="81">
        <v>437.4</v>
      </c>
      <c r="AB54" s="81">
        <v>412.8</v>
      </c>
      <c r="AC54" s="76">
        <f t="shared" ref="AC54:AL54" ca="1" si="72">+AC115</f>
        <v>522.43055017489621</v>
      </c>
      <c r="AD54" s="76">
        <f t="shared" ca="1" si="72"/>
        <v>564.38155611982472</v>
      </c>
      <c r="AE54" s="76">
        <f t="shared" ca="1" si="72"/>
        <v>612.62894163440001</v>
      </c>
      <c r="AF54" s="76">
        <f t="shared" ca="1" si="72"/>
        <v>664.2756156837869</v>
      </c>
      <c r="AG54" s="76">
        <f t="shared" ca="1" si="72"/>
        <v>719.05144784672439</v>
      </c>
      <c r="AH54" s="76">
        <f t="shared" ca="1" si="72"/>
        <v>777.4462959128989</v>
      </c>
      <c r="AI54" s="76">
        <f t="shared" ca="1" si="72"/>
        <v>839.53270189326906</v>
      </c>
      <c r="AJ54" s="76">
        <f t="shared" ca="1" si="72"/>
        <v>905.52999847932676</v>
      </c>
      <c r="AK54" s="76">
        <f t="shared" ca="1" si="72"/>
        <v>975.43272577159587</v>
      </c>
      <c r="AL54" s="76">
        <f t="shared" ca="1" si="72"/>
        <v>1049.4452818455886</v>
      </c>
      <c r="AM54" s="76">
        <f ca="1">+AM115</f>
        <v>1132.9866403857602</v>
      </c>
      <c r="AN54" s="7"/>
      <c r="AO54" s="314">
        <f t="shared" ca="1" si="67"/>
        <v>9.7796927815641865E-2</v>
      </c>
      <c r="AP54" s="314">
        <f t="shared" si="68"/>
        <v>0.10413730348694128</v>
      </c>
      <c r="AQ54" s="314">
        <f t="shared" si="69"/>
        <v>0.11712325655978129</v>
      </c>
      <c r="AR54" s="314">
        <f t="shared" ca="1" si="70"/>
        <v>8.2811401546875496E-2</v>
      </c>
    </row>
    <row r="55" spans="3:44">
      <c r="D55" t="s">
        <v>259</v>
      </c>
      <c r="E55" s="64"/>
      <c r="F55" s="64"/>
      <c r="G55" s="207"/>
      <c r="H55" s="207"/>
      <c r="I55" s="207"/>
      <c r="J55" s="207"/>
      <c r="K55" s="207"/>
      <c r="L55" s="81">
        <v>14.4</v>
      </c>
      <c r="M55" s="81">
        <v>16.3</v>
      </c>
      <c r="N55" s="81">
        <v>24.3</v>
      </c>
      <c r="O55" s="81">
        <v>26.1</v>
      </c>
      <c r="P55" s="81">
        <v>15.3</v>
      </c>
      <c r="Q55" s="81">
        <v>0.9</v>
      </c>
      <c r="R55" s="81">
        <v>-9.1</v>
      </c>
      <c r="S55" s="81">
        <v>-23.8</v>
      </c>
      <c r="T55" s="81">
        <v>-56.1</v>
      </c>
      <c r="U55" s="81">
        <v>-82.8</v>
      </c>
      <c r="V55" s="81">
        <v>-63.7</v>
      </c>
      <c r="W55" s="81">
        <v>-61.5</v>
      </c>
      <c r="X55" s="81">
        <v>-38.4</v>
      </c>
      <c r="Y55" s="81">
        <v>-49.9</v>
      </c>
      <c r="Z55" s="81">
        <v>-43.4</v>
      </c>
      <c r="AA55" s="81">
        <v>-45.8</v>
      </c>
      <c r="AB55" s="81">
        <v>-39.6</v>
      </c>
      <c r="AC55" s="76">
        <f t="shared" ref="AC55:AL55" ca="1" si="73">+AC116</f>
        <v>-6.2489433129604066</v>
      </c>
      <c r="AD55" s="76">
        <f t="shared" ca="1" si="73"/>
        <v>-4.9429762596714255</v>
      </c>
      <c r="AE55" s="76">
        <f t="shared" ca="1" si="73"/>
        <v>-3.4593269032274918</v>
      </c>
      <c r="AF55" s="76">
        <f t="shared" ca="1" si="73"/>
        <v>-1.8357713399208393</v>
      </c>
      <c r="AG55" s="76">
        <f t="shared" ca="1" si="73"/>
        <v>-7.308835925908852E-2</v>
      </c>
      <c r="AH55" s="76">
        <f t="shared" ca="1" si="73"/>
        <v>1.8416303305900072</v>
      </c>
      <c r="AI55" s="76">
        <f t="shared" ca="1" si="73"/>
        <v>3.9136801399151153</v>
      </c>
      <c r="AJ55" s="76">
        <f t="shared" ca="1" si="73"/>
        <v>6.1511998302603956</v>
      </c>
      <c r="AK55" s="76">
        <f t="shared" ca="1" si="73"/>
        <v>8.5572280886924403</v>
      </c>
      <c r="AL55" s="76">
        <f t="shared" ca="1" si="73"/>
        <v>11.139130709744322</v>
      </c>
      <c r="AM55" s="76">
        <f ca="1">+AM116</f>
        <v>14.033302618065989</v>
      </c>
      <c r="AN55" s="7"/>
      <c r="AO55" s="314"/>
      <c r="AP55" s="314"/>
      <c r="AQ55" s="314"/>
      <c r="AR55" s="314"/>
    </row>
    <row r="56" spans="3:44">
      <c r="D56" t="s">
        <v>130</v>
      </c>
      <c r="E56" s="64"/>
      <c r="F56" s="64"/>
      <c r="G56" s="207"/>
      <c r="H56" s="207"/>
      <c r="I56" s="207"/>
      <c r="J56" s="207"/>
      <c r="K56" s="207"/>
      <c r="L56" s="81">
        <f>492.1+82.3</f>
        <v>574.4</v>
      </c>
      <c r="M56" s="81">
        <f>502.8+93.4</f>
        <v>596.20000000000005</v>
      </c>
      <c r="N56" s="81">
        <f>445.1+90.6</f>
        <v>535.70000000000005</v>
      </c>
      <c r="O56" s="81">
        <f>370.6+96</f>
        <v>466.6</v>
      </c>
      <c r="P56" s="81">
        <f>261.9+101.2</f>
        <v>363.09999999999997</v>
      </c>
      <c r="Q56" s="81">
        <f>186.5+101.1</f>
        <v>287.60000000000002</v>
      </c>
      <c r="R56" s="81">
        <f>100.6+198.5</f>
        <v>299.10000000000002</v>
      </c>
      <c r="S56" s="81">
        <f>200.6+98.6</f>
        <v>299.2</v>
      </c>
      <c r="T56" s="81">
        <f>207.7+101.8</f>
        <v>309.5</v>
      </c>
      <c r="U56" s="81">
        <v>318.5</v>
      </c>
      <c r="V56" s="81">
        <v>353.1</v>
      </c>
      <c r="W56" s="81">
        <v>315.7</v>
      </c>
      <c r="X56" s="81">
        <f>133.9+121</f>
        <v>254.9</v>
      </c>
      <c r="Y56" s="81">
        <v>260.2</v>
      </c>
      <c r="Z56" s="81">
        <v>268.2</v>
      </c>
      <c r="AA56" s="81">
        <v>258.89999999999998</v>
      </c>
      <c r="AB56" s="81">
        <v>194.6</v>
      </c>
      <c r="AC56" s="76">
        <f t="shared" ref="AC56:AL56" si="74">+AC117</f>
        <v>179.03200000000001</v>
      </c>
      <c r="AD56" s="76">
        <f t="shared" si="74"/>
        <v>180.82232000000002</v>
      </c>
      <c r="AE56" s="76">
        <f t="shared" si="74"/>
        <v>182.63054320000003</v>
      </c>
      <c r="AF56" s="76">
        <f t="shared" si="74"/>
        <v>184.45684863200003</v>
      </c>
      <c r="AG56" s="76">
        <f t="shared" si="74"/>
        <v>186.30141711832005</v>
      </c>
      <c r="AH56" s="76">
        <f t="shared" si="74"/>
        <v>188.16443128950326</v>
      </c>
      <c r="AI56" s="76">
        <f t="shared" si="74"/>
        <v>190.0460756023983</v>
      </c>
      <c r="AJ56" s="76">
        <f t="shared" si="74"/>
        <v>191.94653635842229</v>
      </c>
      <c r="AK56" s="76">
        <f t="shared" si="74"/>
        <v>193.86600172200653</v>
      </c>
      <c r="AL56" s="76">
        <f t="shared" si="74"/>
        <v>195.80466173922659</v>
      </c>
      <c r="AM56" s="76">
        <f>+AM117</f>
        <v>197.76270835661884</v>
      </c>
      <c r="AN56" s="7"/>
      <c r="AO56" s="314">
        <f t="shared" si="67"/>
        <v>6.173273420864156E-4</v>
      </c>
      <c r="AP56" s="314">
        <f t="shared" si="68"/>
        <v>-6.5411300912133541E-2</v>
      </c>
      <c r="AQ56" s="314">
        <f t="shared" si="69"/>
        <v>-1.0457806790190927E-2</v>
      </c>
      <c r="AR56" s="314">
        <f t="shared" si="70"/>
        <v>-2.5073428955553534E-2</v>
      </c>
    </row>
    <row r="57" spans="3:44">
      <c r="D57" s="2" t="s">
        <v>260</v>
      </c>
      <c r="E57" s="229"/>
      <c r="F57" s="229"/>
      <c r="G57" s="230"/>
      <c r="H57" s="230"/>
      <c r="I57" s="230"/>
      <c r="J57" s="230"/>
      <c r="K57" s="230"/>
      <c r="L57" s="188">
        <f>SUM(L52:L56)</f>
        <v>5260.2999999999993</v>
      </c>
      <c r="M57" s="188">
        <f>SUM(M52:M56)</f>
        <v>6260</v>
      </c>
      <c r="N57" s="188">
        <f>SUM(N52:N56)</f>
        <v>7465.5999999999995</v>
      </c>
      <c r="O57" s="188">
        <f>SUM(O52:O56)</f>
        <v>8199.4</v>
      </c>
      <c r="P57" s="188">
        <f>SUM(P52:P56)</f>
        <v>6974.1</v>
      </c>
      <c r="Q57" s="188">
        <f t="shared" ref="Q57:Z57" si="75">SUM(Q52:Q56)</f>
        <v>7470.2</v>
      </c>
      <c r="R57" s="188">
        <f t="shared" si="75"/>
        <v>8975.5</v>
      </c>
      <c r="S57" s="188">
        <f t="shared" si="75"/>
        <v>10003.500000000002</v>
      </c>
      <c r="T57" s="188">
        <f t="shared" si="75"/>
        <v>10962.9</v>
      </c>
      <c r="U57" s="188">
        <f t="shared" si="75"/>
        <v>12574.3</v>
      </c>
      <c r="V57" s="188">
        <f t="shared" si="75"/>
        <v>14268.7</v>
      </c>
      <c r="W57" s="188">
        <f t="shared" si="75"/>
        <v>15149.7</v>
      </c>
      <c r="X57" s="188">
        <f t="shared" si="75"/>
        <v>15875.2</v>
      </c>
      <c r="Y57" s="188">
        <f t="shared" si="75"/>
        <v>17120.3</v>
      </c>
      <c r="Z57" s="188">
        <f t="shared" si="75"/>
        <v>18173.099999999999</v>
      </c>
      <c r="AA57" s="188">
        <f>SUM(AA52:AA56)</f>
        <v>20320.000000000004</v>
      </c>
      <c r="AB57" s="188">
        <f>SUM(AB52:AB56)</f>
        <v>18949.599999999999</v>
      </c>
      <c r="AC57" s="188">
        <f t="shared" ref="AC57:AL57" ca="1" si="76">SUM(AC52:AC56)</f>
        <v>23576.853044347881</v>
      </c>
      <c r="AD57" s="188">
        <f t="shared" ca="1" si="76"/>
        <v>25364.700219572529</v>
      </c>
      <c r="AE57" s="188">
        <f t="shared" ca="1" si="76"/>
        <v>27470.385186803585</v>
      </c>
      <c r="AF57" s="188">
        <f t="shared" ca="1" si="76"/>
        <v>29789.279900652007</v>
      </c>
      <c r="AG57" s="188">
        <f t="shared" ca="1" si="76"/>
        <v>32253.039492594329</v>
      </c>
      <c r="AH57" s="188">
        <f t="shared" ca="1" si="76"/>
        <v>34884.583899810561</v>
      </c>
      <c r="AI57" s="188">
        <f t="shared" ca="1" si="76"/>
        <v>37688.38541487656</v>
      </c>
      <c r="AJ57" s="188">
        <f t="shared" ca="1" si="76"/>
        <v>40675.645737885396</v>
      </c>
      <c r="AK57" s="188">
        <f t="shared" ca="1" si="76"/>
        <v>43847.710089788648</v>
      </c>
      <c r="AL57" s="188">
        <f t="shared" ca="1" si="76"/>
        <v>47215.515978298856</v>
      </c>
      <c r="AM57" s="188">
        <f ca="1">SUM(AM52:AM56)</f>
        <v>51024.243461876133</v>
      </c>
      <c r="AN57" s="7"/>
      <c r="AO57" s="314">
        <f t="shared" ref="AO57" ca="1" si="77">(AL57/AB57)^(1/10)-1</f>
        <v>9.5591033616915011E-2</v>
      </c>
      <c r="AP57" s="314">
        <f t="shared" ref="AP57" si="78">(AB57/L57)^(1/16)-1</f>
        <v>8.3395047242525555E-2</v>
      </c>
      <c r="AQ57" s="314">
        <f t="shared" ref="AQ57" si="79">(AA57/Q57)^(1/10)-1</f>
        <v>0.10524649779104256</v>
      </c>
      <c r="AR57" s="314">
        <f t="shared" ref="AR57" ca="1" si="80">(AL57/AA57)^(1/11)-1</f>
        <v>7.9660883347912881E-2</v>
      </c>
    </row>
    <row r="58" spans="3:44">
      <c r="D58" s="86"/>
      <c r="E58" s="64"/>
      <c r="F58" s="64"/>
      <c r="G58" s="207"/>
      <c r="H58" s="207"/>
      <c r="I58" s="207"/>
      <c r="J58" s="207"/>
      <c r="K58" s="207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7"/>
    </row>
    <row r="59" spans="3:44">
      <c r="D59" t="s">
        <v>256</v>
      </c>
      <c r="E59" s="64"/>
      <c r="F59" s="64"/>
      <c r="G59" s="207"/>
      <c r="H59" s="207"/>
      <c r="I59" s="207"/>
      <c r="J59" s="207"/>
      <c r="K59" s="207"/>
      <c r="L59" s="76">
        <f>+L90*L71/1000</f>
        <v>460.00625600000001</v>
      </c>
      <c r="M59" s="76">
        <f>+M90*M71/1000</f>
        <v>524.11750399999994</v>
      </c>
      <c r="N59" s="76">
        <f>+N90*N71/1000</f>
        <v>641.35096299999998</v>
      </c>
      <c r="O59" s="81">
        <v>708.6</v>
      </c>
      <c r="P59" s="81">
        <v>644.4</v>
      </c>
      <c r="Q59" s="81">
        <v>739.9</v>
      </c>
      <c r="R59" s="81">
        <v>854</v>
      </c>
      <c r="S59" s="81">
        <v>888.6</v>
      </c>
      <c r="T59" s="81">
        <v>971.5</v>
      </c>
      <c r="U59" s="81">
        <v>1143.9000000000001</v>
      </c>
      <c r="V59" s="81">
        <v>1268.5</v>
      </c>
      <c r="W59" s="81">
        <v>1338.6</v>
      </c>
      <c r="X59" s="81">
        <v>1451.7</v>
      </c>
      <c r="Y59" s="81">
        <v>1567.6</v>
      </c>
      <c r="Z59" s="81">
        <v>1628.7</v>
      </c>
      <c r="AA59" s="81">
        <v>1820.1</v>
      </c>
      <c r="AB59" s="81">
        <v>1588.9</v>
      </c>
      <c r="AC59" s="76">
        <f t="shared" ref="AC59:AL59" ca="1" si="81">+AC88</f>
        <v>2043.1527218642075</v>
      </c>
      <c r="AD59" s="76">
        <f t="shared" ca="1" si="81"/>
        <v>2179.6958195378447</v>
      </c>
      <c r="AE59" s="76">
        <f t="shared" ca="1" si="81"/>
        <v>2336.5302159172384</v>
      </c>
      <c r="AF59" s="76">
        <f t="shared" ca="1" si="81"/>
        <v>2501.9176783051548</v>
      </c>
      <c r="AG59" s="76">
        <f t="shared" ca="1" si="81"/>
        <v>2674.4561620344221</v>
      </c>
      <c r="AH59" s="76">
        <f t="shared" ca="1" si="81"/>
        <v>2855.595773914617</v>
      </c>
      <c r="AI59" s="76">
        <f t="shared" ca="1" si="81"/>
        <v>3045.1925791558065</v>
      </c>
      <c r="AJ59" s="76">
        <f t="shared" ca="1" si="81"/>
        <v>3243.6262070929506</v>
      </c>
      <c r="AK59" s="76">
        <f t="shared" ca="1" si="81"/>
        <v>3450.4528231432942</v>
      </c>
      <c r="AL59" s="76">
        <f t="shared" ca="1" si="81"/>
        <v>3665.9740328952962</v>
      </c>
      <c r="AM59" s="76">
        <f ca="1">+AM88</f>
        <v>3908.4556406760316</v>
      </c>
      <c r="AN59" s="7"/>
      <c r="AO59" s="314">
        <f t="shared" ref="AO59:AO62" ca="1" si="82">(AL59/AB59)^(1/10)-1</f>
        <v>8.7199594986195228E-2</v>
      </c>
      <c r="AP59" s="314">
        <f t="shared" ref="AP59:AP62" si="83">(AB59/L59)^(1/16)-1</f>
        <v>8.055232387609701E-2</v>
      </c>
      <c r="AQ59" s="314">
        <f t="shared" ref="AQ59:AQ62" si="84">(AA59/Q59)^(1/10)-1</f>
        <v>9.4188692071396574E-2</v>
      </c>
      <c r="AR59" s="314">
        <f t="shared" ref="AR59:AR62" ca="1" si="85">(AL59/AA59)^(1/11)-1</f>
        <v>6.5724429886916624E-2</v>
      </c>
    </row>
    <row r="60" spans="3:44">
      <c r="D60" t="s">
        <v>257</v>
      </c>
      <c r="E60" s="64"/>
      <c r="F60" s="64"/>
      <c r="G60" s="207"/>
      <c r="H60" s="207"/>
      <c r="I60" s="207"/>
      <c r="J60" s="207"/>
      <c r="K60" s="207"/>
      <c r="L60" s="76">
        <f>+L111*L95/1000</f>
        <v>72.102351999999996</v>
      </c>
      <c r="M60" s="76">
        <f>+M111*M95/1000</f>
        <v>125.68360000000001</v>
      </c>
      <c r="N60" s="76">
        <f>+N111*N95/1000</f>
        <v>155.04757800000002</v>
      </c>
      <c r="O60" s="81">
        <v>176.7</v>
      </c>
      <c r="P60" s="81">
        <v>162.5</v>
      </c>
      <c r="Q60" s="81">
        <v>171.5</v>
      </c>
      <c r="R60" s="81">
        <v>238.8</v>
      </c>
      <c r="S60" s="81">
        <v>301.8</v>
      </c>
      <c r="T60" s="81">
        <v>308.10000000000002</v>
      </c>
      <c r="U60" s="81">
        <v>313.89999999999998</v>
      </c>
      <c r="V60" s="81">
        <v>364.9</v>
      </c>
      <c r="W60" s="81">
        <v>388.1</v>
      </c>
      <c r="X60" s="81">
        <v>362.6</v>
      </c>
      <c r="Y60" s="81">
        <v>392.5</v>
      </c>
      <c r="Z60" s="81">
        <v>431</v>
      </c>
      <c r="AA60" s="81">
        <v>454.4</v>
      </c>
      <c r="AB60" s="81">
        <v>423.3</v>
      </c>
      <c r="AC60" s="76">
        <f t="shared" ref="AC60:AL60" ca="1" si="86">+AC109</f>
        <v>517.68489158702562</v>
      </c>
      <c r="AD60" s="76">
        <f t="shared" ca="1" si="86"/>
        <v>568.50245298925688</v>
      </c>
      <c r="AE60" s="76">
        <f t="shared" ca="1" si="86"/>
        <v>618.31580100816427</v>
      </c>
      <c r="AF60" s="76">
        <f t="shared" ca="1" si="86"/>
        <v>683.9674707231693</v>
      </c>
      <c r="AG60" s="76">
        <f t="shared" ca="1" si="86"/>
        <v>755.48340285645224</v>
      </c>
      <c r="AH60" s="76">
        <f t="shared" ca="1" si="86"/>
        <v>833.71972780860222</v>
      </c>
      <c r="AI60" s="76">
        <f t="shared" ca="1" si="86"/>
        <v>919.14160986402032</v>
      </c>
      <c r="AJ60" s="76">
        <f t="shared" ca="1" si="86"/>
        <v>1012.411070789916</v>
      </c>
      <c r="AK60" s="76">
        <f t="shared" ca="1" si="86"/>
        <v>1113.9830183499907</v>
      </c>
      <c r="AL60" s="76">
        <f t="shared" ca="1" si="86"/>
        <v>1224.5887954679865</v>
      </c>
      <c r="AM60" s="76">
        <f ca="1">+AM109</f>
        <v>1351.2347115724879</v>
      </c>
      <c r="AN60" s="7"/>
      <c r="AO60" s="314">
        <f t="shared" ca="1" si="82"/>
        <v>0.11207531649203362</v>
      </c>
      <c r="AP60" s="314">
        <f t="shared" si="83"/>
        <v>0.11697557713291862</v>
      </c>
      <c r="AQ60" s="314">
        <f t="shared" si="84"/>
        <v>0.10234470368312443</v>
      </c>
      <c r="AR60" s="314">
        <f t="shared" ca="1" si="85"/>
        <v>9.4311812354368474E-2</v>
      </c>
    </row>
    <row r="61" spans="3:44">
      <c r="D61" t="s">
        <v>130</v>
      </c>
      <c r="E61" s="64"/>
      <c r="F61" s="64"/>
      <c r="G61" s="207"/>
      <c r="H61" s="207"/>
      <c r="I61" s="207"/>
      <c r="J61" s="207"/>
      <c r="K61" s="207"/>
      <c r="L61" s="81">
        <f>650.196-L60-L59</f>
        <v>118.08739200000002</v>
      </c>
      <c r="M61" s="81">
        <f>790.714-M60-M59</f>
        <v>140.91289600000016</v>
      </c>
      <c r="N61" s="81">
        <f>971.062-N60-N59</f>
        <v>174.66345899999999</v>
      </c>
      <c r="O61" s="81">
        <f>15.4+171.8</f>
        <v>187.20000000000002</v>
      </c>
      <c r="P61" s="81">
        <f>152.2+9</f>
        <v>161.19999999999999</v>
      </c>
      <c r="Q61" s="81">
        <f>6.7+180.8</f>
        <v>187.5</v>
      </c>
      <c r="R61" s="81">
        <f>5.4+203</f>
        <v>208.4</v>
      </c>
      <c r="S61" s="81">
        <f>6.5+181.9</f>
        <v>188.4</v>
      </c>
      <c r="T61" s="81">
        <f>5+179.8</f>
        <v>184.8</v>
      </c>
      <c r="U61" s="81">
        <v>190.9</v>
      </c>
      <c r="V61" s="81">
        <v>254.1</v>
      </c>
      <c r="W61" s="81">
        <v>292.10000000000002</v>
      </c>
      <c r="X61" s="81">
        <v>369</v>
      </c>
      <c r="Y61" s="81">
        <v>368.8</v>
      </c>
      <c r="Z61" s="81">
        <v>420.9</v>
      </c>
      <c r="AA61" s="81">
        <v>447.8</v>
      </c>
      <c r="AB61" s="81">
        <v>366.9</v>
      </c>
      <c r="AC61" s="76">
        <f t="shared" ref="AC61:AL61" ca="1" si="87">+AC120</f>
        <v>541.24608686193585</v>
      </c>
      <c r="AD61" s="76">
        <f t="shared" ca="1" si="87"/>
        <v>602.83593666015327</v>
      </c>
      <c r="AE61" s="76">
        <f t="shared" ca="1" si="87"/>
        <v>654.82725053117247</v>
      </c>
      <c r="AF61" s="76">
        <f t="shared" ca="1" si="87"/>
        <v>710.39862498818616</v>
      </c>
      <c r="AG61" s="76">
        <f t="shared" ca="1" si="87"/>
        <v>769.2797421094117</v>
      </c>
      <c r="AH61" s="76">
        <f t="shared" ca="1" si="87"/>
        <v>831.97396700454976</v>
      </c>
      <c r="AI61" s="76">
        <f t="shared" ca="1" si="87"/>
        <v>896.65928320185571</v>
      </c>
      <c r="AJ61" s="76">
        <f t="shared" ca="1" si="87"/>
        <v>965.4262284899454</v>
      </c>
      <c r="AK61" s="76">
        <f t="shared" ca="1" si="87"/>
        <v>1038.2724343424502</v>
      </c>
      <c r="AL61" s="76">
        <f t="shared" ca="1" si="87"/>
        <v>1115.4097178423162</v>
      </c>
      <c r="AM61" s="76">
        <f ca="1">+AM120</f>
        <v>1202.3935013436794</v>
      </c>
      <c r="AN61" s="7"/>
      <c r="AO61" s="314">
        <f t="shared" ca="1" si="82"/>
        <v>0.11760586242844639</v>
      </c>
      <c r="AP61" s="314">
        <f t="shared" si="83"/>
        <v>7.342451933051386E-2</v>
      </c>
      <c r="AQ61" s="314">
        <f t="shared" si="84"/>
        <v>9.0958629000132518E-2</v>
      </c>
      <c r="AR61" s="314">
        <f t="shared" ca="1" si="85"/>
        <v>8.6505298609019121E-2</v>
      </c>
    </row>
    <row r="62" spans="3:44">
      <c r="D62" s="2" t="s">
        <v>265</v>
      </c>
      <c r="E62" s="229"/>
      <c r="F62" s="229"/>
      <c r="G62" s="230"/>
      <c r="H62" s="230"/>
      <c r="I62" s="230"/>
      <c r="J62" s="230"/>
      <c r="K62" s="230"/>
      <c r="L62" s="188">
        <f t="shared" ref="L62:Z62" si="88">SUM(L59:L61)</f>
        <v>650.19600000000003</v>
      </c>
      <c r="M62" s="188">
        <f t="shared" si="88"/>
        <v>790.71400000000006</v>
      </c>
      <c r="N62" s="188">
        <f t="shared" si="88"/>
        <v>971.06200000000001</v>
      </c>
      <c r="O62" s="188">
        <f t="shared" si="88"/>
        <v>1072.5</v>
      </c>
      <c r="P62" s="188">
        <f t="shared" si="88"/>
        <v>968.09999999999991</v>
      </c>
      <c r="Q62" s="188">
        <f t="shared" si="88"/>
        <v>1098.9000000000001</v>
      </c>
      <c r="R62" s="188">
        <f t="shared" si="88"/>
        <v>1301.2</v>
      </c>
      <c r="S62" s="188">
        <f t="shared" si="88"/>
        <v>1378.8000000000002</v>
      </c>
      <c r="T62" s="188">
        <f t="shared" si="88"/>
        <v>1464.3999999999999</v>
      </c>
      <c r="U62" s="188">
        <f t="shared" si="88"/>
        <v>1648.7000000000003</v>
      </c>
      <c r="V62" s="188">
        <f t="shared" si="88"/>
        <v>1887.5</v>
      </c>
      <c r="W62" s="188">
        <f t="shared" si="88"/>
        <v>2018.7999999999997</v>
      </c>
      <c r="X62" s="188">
        <f t="shared" si="88"/>
        <v>2183.3000000000002</v>
      </c>
      <c r="Y62" s="188">
        <f t="shared" si="88"/>
        <v>2328.9</v>
      </c>
      <c r="Z62" s="188">
        <f t="shared" si="88"/>
        <v>2480.6</v>
      </c>
      <c r="AA62" s="188">
        <f>SUM(AA59:AA61)</f>
        <v>2722.3</v>
      </c>
      <c r="AB62" s="188">
        <f>SUM(AB59:AB61)</f>
        <v>2379.1</v>
      </c>
      <c r="AC62" s="188">
        <f t="shared" ref="AC62:AL62" ca="1" si="89">SUM(AC59:AC61)</f>
        <v>3102.0837003131692</v>
      </c>
      <c r="AD62" s="188">
        <f t="shared" ca="1" si="89"/>
        <v>3351.0342091872553</v>
      </c>
      <c r="AE62" s="188">
        <f t="shared" ca="1" si="89"/>
        <v>3609.6732674565751</v>
      </c>
      <c r="AF62" s="188">
        <f t="shared" ca="1" si="89"/>
        <v>3896.2837740165105</v>
      </c>
      <c r="AG62" s="188">
        <f t="shared" ca="1" si="89"/>
        <v>4199.2193070002859</v>
      </c>
      <c r="AH62" s="188">
        <f t="shared" ca="1" si="89"/>
        <v>4521.2894687277694</v>
      </c>
      <c r="AI62" s="188">
        <f t="shared" ca="1" si="89"/>
        <v>4860.9934722216822</v>
      </c>
      <c r="AJ62" s="188">
        <f t="shared" ca="1" si="89"/>
        <v>5221.4635063728119</v>
      </c>
      <c r="AK62" s="188">
        <f t="shared" ca="1" si="89"/>
        <v>5602.7082758357355</v>
      </c>
      <c r="AL62" s="188">
        <f t="shared" ca="1" si="89"/>
        <v>6005.9725462055994</v>
      </c>
      <c r="AM62" s="188">
        <f ca="1">SUM(AM59:AM61)</f>
        <v>6462.0838535921985</v>
      </c>
      <c r="AN62" s="7"/>
      <c r="AO62" s="314">
        <f t="shared" ca="1" si="82"/>
        <v>9.7026363492391132E-2</v>
      </c>
      <c r="AP62" s="314">
        <f t="shared" si="83"/>
        <v>8.4452477399472592E-2</v>
      </c>
      <c r="AQ62" s="314">
        <f t="shared" si="84"/>
        <v>9.4958806774056104E-2</v>
      </c>
      <c r="AR62" s="314">
        <f t="shared" ca="1" si="85"/>
        <v>7.4584740281923079E-2</v>
      </c>
    </row>
    <row r="63" spans="3:44">
      <c r="D63" s="86"/>
      <c r="E63" s="64"/>
      <c r="F63" s="64"/>
      <c r="G63" s="207"/>
      <c r="H63" s="207"/>
      <c r="I63" s="207"/>
      <c r="J63" s="207"/>
      <c r="K63" s="207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7"/>
    </row>
    <row r="64" spans="3:44">
      <c r="D64" t="s">
        <v>256</v>
      </c>
      <c r="E64" s="64"/>
      <c r="F64" s="64"/>
      <c r="G64" s="207"/>
      <c r="H64" s="207"/>
      <c r="I64" s="207"/>
      <c r="J64" s="207"/>
      <c r="K64" s="207"/>
      <c r="L64" s="232">
        <f t="shared" ref="L64:AA64" si="90">+L59/L52</f>
        <v>0.11508212148503953</v>
      </c>
      <c r="M64" s="232">
        <f t="shared" si="90"/>
        <v>0.10984794584285204</v>
      </c>
      <c r="N64" s="232">
        <f t="shared" si="90"/>
        <v>0.10920701590382781</v>
      </c>
      <c r="O64" s="232">
        <f t="shared" si="90"/>
        <v>0.10753797823744556</v>
      </c>
      <c r="P64" s="232">
        <f t="shared" si="90"/>
        <v>0.11323738731614739</v>
      </c>
      <c r="Q64" s="232">
        <f t="shared" si="90"/>
        <v>0.1194871049529254</v>
      </c>
      <c r="R64" s="232">
        <f t="shared" si="90"/>
        <v>0.11844660194174757</v>
      </c>
      <c r="S64" s="232">
        <f t="shared" si="90"/>
        <v>0.11353153866792728</v>
      </c>
      <c r="T64" s="232">
        <f t="shared" si="90"/>
        <v>0.11106665142334515</v>
      </c>
      <c r="U64" s="232">
        <f t="shared" si="90"/>
        <v>0.11099036511648216</v>
      </c>
      <c r="V64" s="232">
        <f t="shared" si="90"/>
        <v>0.10865561694290976</v>
      </c>
      <c r="W64" s="232">
        <f t="shared" si="90"/>
        <v>0.10760969178577745</v>
      </c>
      <c r="X64" s="232">
        <f t="shared" si="90"/>
        <v>0.10939136594151024</v>
      </c>
      <c r="Y64" s="232">
        <f t="shared" si="90"/>
        <v>0.10891859592562741</v>
      </c>
      <c r="Z64" s="232">
        <f t="shared" si="90"/>
        <v>0.10734340398608036</v>
      </c>
      <c r="AA64" s="232">
        <f t="shared" si="90"/>
        <v>0.10600774629430093</v>
      </c>
      <c r="AB64" s="232">
        <f>+AB59/AB52</f>
        <v>0.10112009164386178</v>
      </c>
      <c r="AC64" s="232">
        <f t="shared" ref="AC64:AL64" ca="1" si="91">+AC59/AC52</f>
        <v>0.10299999999999999</v>
      </c>
      <c r="AD64" s="232">
        <f t="shared" ca="1" si="91"/>
        <v>0.10196999999999999</v>
      </c>
      <c r="AE64" s="232">
        <f t="shared" ca="1" si="91"/>
        <v>0.10095029999999999</v>
      </c>
      <c r="AF64" s="232">
        <f t="shared" ca="1" si="91"/>
        <v>9.9940796999999998E-2</v>
      </c>
      <c r="AG64" s="232">
        <f t="shared" ca="1" si="91"/>
        <v>9.8941389029999993E-2</v>
      </c>
      <c r="AH64" s="232">
        <f t="shared" ca="1" si="91"/>
        <v>9.7951975139699998E-2</v>
      </c>
      <c r="AI64" s="232">
        <f t="shared" ca="1" si="91"/>
        <v>9.6972455388303E-2</v>
      </c>
      <c r="AJ64" s="232">
        <f t="shared" ca="1" si="91"/>
        <v>9.6002730834419972E-2</v>
      </c>
      <c r="AK64" s="232">
        <f t="shared" ca="1" si="91"/>
        <v>9.5042703526075772E-2</v>
      </c>
      <c r="AL64" s="232">
        <f t="shared" ca="1" si="91"/>
        <v>9.4092276490815016E-2</v>
      </c>
      <c r="AM64" s="232">
        <f ca="1">+AM59/AM52</f>
        <v>9.3151353725906869E-2</v>
      </c>
      <c r="AN64" s="7"/>
    </row>
    <row r="65" spans="1:44">
      <c r="D65" t="s">
        <v>257</v>
      </c>
      <c r="E65" s="64"/>
      <c r="F65" s="64"/>
      <c r="G65" s="207"/>
      <c r="H65" s="207"/>
      <c r="I65" s="207"/>
      <c r="J65" s="207"/>
      <c r="K65" s="207"/>
      <c r="L65" s="232">
        <f t="shared" ref="L65:AA65" si="92">+L60/L53</f>
        <v>0.12226954722740375</v>
      </c>
      <c r="M65" s="232">
        <f t="shared" si="92"/>
        <v>0.16148477450854429</v>
      </c>
      <c r="N65" s="232">
        <f t="shared" si="92"/>
        <v>0.1688235823170732</v>
      </c>
      <c r="O65" s="232">
        <f t="shared" si="92"/>
        <v>0.17939086294416243</v>
      </c>
      <c r="P65" s="232">
        <f t="shared" si="92"/>
        <v>0.20838676583739421</v>
      </c>
      <c r="Q65" s="232">
        <f t="shared" si="92"/>
        <v>0.20298260149130076</v>
      </c>
      <c r="R65" s="232">
        <f t="shared" si="92"/>
        <v>0.18345240838902974</v>
      </c>
      <c r="S65" s="232">
        <f t="shared" si="92"/>
        <v>0.17530204460966545</v>
      </c>
      <c r="T65" s="232">
        <f t="shared" si="92"/>
        <v>0.17509661286656061</v>
      </c>
      <c r="U65" s="232">
        <f t="shared" si="92"/>
        <v>0.17215092683996927</v>
      </c>
      <c r="V65" s="232">
        <f t="shared" si="92"/>
        <v>0.17807818066468206</v>
      </c>
      <c r="W65" s="232">
        <f t="shared" si="92"/>
        <v>0.17735228259379426</v>
      </c>
      <c r="X65" s="232">
        <f t="shared" si="92"/>
        <v>0.17411764705882354</v>
      </c>
      <c r="Y65" s="232">
        <f t="shared" si="92"/>
        <v>0.17994681826517514</v>
      </c>
      <c r="Z65" s="232">
        <f t="shared" si="92"/>
        <v>0.18010865022983702</v>
      </c>
      <c r="AA65" s="232">
        <f t="shared" si="92"/>
        <v>0.18175999999999998</v>
      </c>
      <c r="AB65" s="232">
        <f>+AB60/AB53</f>
        <v>0.15861061151079137</v>
      </c>
      <c r="AC65" s="232">
        <f t="shared" ref="AC65:AL65" ca="1" si="93">+AC60/AC53</f>
        <v>0.17</v>
      </c>
      <c r="AD65" s="232">
        <f t="shared" ca="1" si="93"/>
        <v>0.17499999999999999</v>
      </c>
      <c r="AE65" s="232">
        <f t="shared" ca="1" si="93"/>
        <v>0.17500000000000002</v>
      </c>
      <c r="AF65" s="232">
        <f t="shared" ca="1" si="93"/>
        <v>0.17499999999999999</v>
      </c>
      <c r="AG65" s="232">
        <f t="shared" ca="1" si="93"/>
        <v>0.17499999999999999</v>
      </c>
      <c r="AH65" s="232">
        <f t="shared" ca="1" si="93"/>
        <v>0.17499999999999999</v>
      </c>
      <c r="AI65" s="232">
        <f t="shared" ca="1" si="93"/>
        <v>0.17499999999999999</v>
      </c>
      <c r="AJ65" s="232">
        <f t="shared" ca="1" si="93"/>
        <v>0.17499999999999999</v>
      </c>
      <c r="AK65" s="232">
        <f t="shared" ca="1" si="93"/>
        <v>0.17499999999999999</v>
      </c>
      <c r="AL65" s="232">
        <f t="shared" ca="1" si="93"/>
        <v>0.17499999999999999</v>
      </c>
      <c r="AM65" s="232">
        <f ca="1">+AM60/AM53</f>
        <v>0.17499999999999999</v>
      </c>
      <c r="AN65" s="7"/>
    </row>
    <row r="66" spans="1:44">
      <c r="D66" t="s">
        <v>257</v>
      </c>
      <c r="E66" s="64"/>
      <c r="F66" s="64"/>
      <c r="G66" s="207"/>
      <c r="H66" s="207"/>
      <c r="I66" s="207"/>
      <c r="J66" s="207"/>
      <c r="K66" s="207"/>
      <c r="L66" s="232">
        <f t="shared" ref="L66:AA66" si="94">L61/SUM(L54:L56)</f>
        <v>0.17535995247995251</v>
      </c>
      <c r="M66" s="232">
        <f t="shared" si="94"/>
        <v>0.19835711711711732</v>
      </c>
      <c r="N66" s="232">
        <f t="shared" si="94"/>
        <v>0.25899089412811382</v>
      </c>
      <c r="O66" s="232">
        <f t="shared" si="94"/>
        <v>0.29947208446648538</v>
      </c>
      <c r="P66" s="232">
        <f t="shared" si="94"/>
        <v>0.32009531374106431</v>
      </c>
      <c r="Q66" s="232">
        <f t="shared" si="94"/>
        <v>0.43302540415704388</v>
      </c>
      <c r="R66" s="232">
        <f t="shared" si="94"/>
        <v>0.44933160845191888</v>
      </c>
      <c r="S66" s="232">
        <f t="shared" si="94"/>
        <v>0.41406593406593406</v>
      </c>
      <c r="T66" s="232">
        <f t="shared" si="94"/>
        <v>0.40499671268902038</v>
      </c>
      <c r="U66" s="232">
        <f t="shared" si="94"/>
        <v>0.42937471884840306</v>
      </c>
      <c r="V66" s="232">
        <f t="shared" si="94"/>
        <v>0.46615299944964222</v>
      </c>
      <c r="W66" s="232">
        <f t="shared" si="94"/>
        <v>0.5595785440613027</v>
      </c>
      <c r="X66" s="232">
        <f t="shared" si="94"/>
        <v>0.7068965517241379</v>
      </c>
      <c r="Y66" s="232">
        <f t="shared" si="94"/>
        <v>0.67459301262118165</v>
      </c>
      <c r="Z66" s="232">
        <f t="shared" si="94"/>
        <v>0.69306767660135027</v>
      </c>
      <c r="AA66" s="232">
        <f t="shared" si="94"/>
        <v>0.68839354342813219</v>
      </c>
      <c r="AB66" s="232">
        <f>AB61/SUM(AB54:AB56)</f>
        <v>0.6461782317717506</v>
      </c>
      <c r="AC66" s="232">
        <f t="shared" ref="AC66:AL66" ca="1" si="95">AC61/SUM(AC54:AC56)</f>
        <v>0.77853206772666517</v>
      </c>
      <c r="AD66" s="232">
        <f t="shared" ca="1" si="95"/>
        <v>0.8143560422737961</v>
      </c>
      <c r="AE66" s="232">
        <f t="shared" ca="1" si="95"/>
        <v>0.82701076019246456</v>
      </c>
      <c r="AF66" s="232">
        <f t="shared" ca="1" si="95"/>
        <v>0.83882559806905543</v>
      </c>
      <c r="AG66" s="232">
        <f t="shared" ca="1" si="95"/>
        <v>0.84977016165512287</v>
      </c>
      <c r="AH66" s="232">
        <f t="shared" ca="1" si="95"/>
        <v>0.85996375999960051</v>
      </c>
      <c r="AI66" s="232">
        <f t="shared" ca="1" si="95"/>
        <v>0.86760118719514134</v>
      </c>
      <c r="AJ66" s="232">
        <f t="shared" ca="1" si="95"/>
        <v>0.87477525089595765</v>
      </c>
      <c r="AK66" s="232">
        <f t="shared" ca="1" si="95"/>
        <v>0.88149355566076926</v>
      </c>
      <c r="AL66" s="232">
        <f t="shared" ca="1" si="95"/>
        <v>0.88779004900898184</v>
      </c>
      <c r="AM66" s="232">
        <f ca="1">AM61/SUM(AM54:AM56)</f>
        <v>0.89411735058247654</v>
      </c>
      <c r="AN66" s="7"/>
    </row>
    <row r="67" spans="1:44">
      <c r="D67" s="2" t="s">
        <v>266</v>
      </c>
      <c r="E67" s="229"/>
      <c r="F67" s="229"/>
      <c r="G67" s="230"/>
      <c r="H67" s="230"/>
      <c r="I67" s="230"/>
      <c r="J67" s="230"/>
      <c r="K67" s="230"/>
      <c r="L67" s="233">
        <f t="shared" ref="L67:AA67" si="96">+L62/L57</f>
        <v>0.12360435716594113</v>
      </c>
      <c r="M67" s="233">
        <f t="shared" si="96"/>
        <v>0.12631214057507989</v>
      </c>
      <c r="N67" s="233">
        <f t="shared" si="96"/>
        <v>0.13007152807543937</v>
      </c>
      <c r="O67" s="233">
        <f t="shared" si="96"/>
        <v>0.13080225382345051</v>
      </c>
      <c r="P67" s="233">
        <f t="shared" si="96"/>
        <v>0.13881361035832579</v>
      </c>
      <c r="Q67" s="233">
        <f t="shared" si="96"/>
        <v>0.14710449519423846</v>
      </c>
      <c r="R67" s="233">
        <f t="shared" si="96"/>
        <v>0.14497242493454404</v>
      </c>
      <c r="S67" s="233">
        <f t="shared" si="96"/>
        <v>0.13783175888439045</v>
      </c>
      <c r="T67" s="233">
        <f t="shared" si="96"/>
        <v>0.133577794196791</v>
      </c>
      <c r="U67" s="233">
        <f t="shared" si="96"/>
        <v>0.13111664267593429</v>
      </c>
      <c r="V67" s="233">
        <f t="shared" si="96"/>
        <v>0.13228254851528171</v>
      </c>
      <c r="W67" s="233">
        <f t="shared" si="96"/>
        <v>0.13325676416034637</v>
      </c>
      <c r="X67" s="233">
        <f t="shared" si="96"/>
        <v>0.13752897601290062</v>
      </c>
      <c r="Y67" s="233">
        <f t="shared" si="96"/>
        <v>0.1360314947752084</v>
      </c>
      <c r="Z67" s="233">
        <f t="shared" si="96"/>
        <v>0.13649845100725799</v>
      </c>
      <c r="AA67" s="233">
        <f t="shared" si="96"/>
        <v>0.13397145669291338</v>
      </c>
      <c r="AB67" s="233">
        <f>+AB62/AB57</f>
        <v>0.12554882424958838</v>
      </c>
      <c r="AC67" s="233">
        <f t="shared" ref="AC67:AL67" ca="1" si="97">+AC62/AC57</f>
        <v>0.1315732720765648</v>
      </c>
      <c r="AD67" s="233">
        <f t="shared" ca="1" si="97"/>
        <v>0.13211408690734094</v>
      </c>
      <c r="AE67" s="233">
        <f t="shared" ca="1" si="97"/>
        <v>0.13140235358587601</v>
      </c>
      <c r="AF67" s="233">
        <f t="shared" ca="1" si="97"/>
        <v>0.13079482911338289</v>
      </c>
      <c r="AG67" s="233">
        <f t="shared" ca="1" si="97"/>
        <v>0.13019607990634419</v>
      </c>
      <c r="AH67" s="233">
        <f t="shared" ca="1" si="97"/>
        <v>0.1296070918235124</v>
      </c>
      <c r="AI67" s="233">
        <f t="shared" ca="1" si="97"/>
        <v>0.1289785544992576</v>
      </c>
      <c r="AJ67" s="233">
        <f t="shared" ca="1" si="97"/>
        <v>0.12836830028513913</v>
      </c>
      <c r="AK67" s="233">
        <f t="shared" ca="1" si="97"/>
        <v>0.12777653073245682</v>
      </c>
      <c r="AL67" s="233">
        <f t="shared" ca="1" si="97"/>
        <v>0.12720336571067142</v>
      </c>
      <c r="AM67" s="233">
        <f ca="1">+AM62/AM57</f>
        <v>0.12664732321647226</v>
      </c>
      <c r="AN67" s="7"/>
    </row>
    <row r="68" spans="1:44">
      <c r="D68" s="86"/>
      <c r="E68" s="64"/>
      <c r="F68" s="64"/>
      <c r="G68" s="207"/>
      <c r="H68" s="207"/>
      <c r="I68" s="207"/>
      <c r="J68" s="207"/>
      <c r="K68" s="207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7"/>
    </row>
    <row r="69" spans="1:44">
      <c r="B69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44">
      <c r="B70"/>
      <c r="D70" s="210" t="s">
        <v>373</v>
      </c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6"/>
      <c r="S70" s="206"/>
      <c r="T70" s="206"/>
      <c r="U70" s="206"/>
      <c r="V70" s="206"/>
      <c r="W70" s="206"/>
      <c r="X70" s="211"/>
      <c r="Y70" s="211"/>
      <c r="Z70" s="211"/>
      <c r="AA70" s="211"/>
      <c r="AB70" s="211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</row>
    <row r="71" spans="1:44" s="5" customFormat="1">
      <c r="A71" s="124"/>
      <c r="D71" s="5" t="s">
        <v>247</v>
      </c>
      <c r="L71" s="81">
        <v>253.16800000000001</v>
      </c>
      <c r="M71" s="81">
        <v>289.88799999999998</v>
      </c>
      <c r="N71" s="81">
        <v>337.02100000000002</v>
      </c>
      <c r="O71" s="81">
        <v>377.24400000000003</v>
      </c>
      <c r="P71" s="81">
        <v>345.46499999999997</v>
      </c>
      <c r="Q71" s="81">
        <v>357.12900000000002</v>
      </c>
      <c r="R71" s="81">
        <v>396.18099999999998</v>
      </c>
      <c r="S71" s="81">
        <v>408.08</v>
      </c>
      <c r="T71" s="81">
        <v>447.72800000000001</v>
      </c>
      <c r="U71" s="81">
        <v>526.92899999999997</v>
      </c>
      <c r="V71" s="81">
        <v>582.28200000000004</v>
      </c>
      <c r="W71" s="81">
        <v>619.93600000000004</v>
      </c>
      <c r="X71" s="81">
        <v>671.29399999999998</v>
      </c>
      <c r="Y71" s="81">
        <v>721.51199999999994</v>
      </c>
      <c r="Z71" s="81">
        <v>748.96100000000001</v>
      </c>
      <c r="AA71" s="81">
        <v>832.64</v>
      </c>
      <c r="AB71" s="81">
        <v>751.86199999999997</v>
      </c>
      <c r="AC71" s="92">
        <f ca="1">+Macro!Y68</f>
        <v>937.53331563829397</v>
      </c>
      <c r="AD71" s="92">
        <f ca="1">+Macro!Z68</f>
        <v>997.81848171894524</v>
      </c>
      <c r="AE71" s="92">
        <f ca="1">+Macro!AA68</f>
        <v>1067.0796254306279</v>
      </c>
      <c r="AF71" s="92">
        <f ca="1">+Macro!AB68</f>
        <v>1139.9038364595344</v>
      </c>
      <c r="AG71" s="92">
        <f ca="1">+Macro!AC68</f>
        <v>1215.6273334194743</v>
      </c>
      <c r="AH71" s="92">
        <f ca="1">+Macro!AD68</f>
        <v>1294.885826177647</v>
      </c>
      <c r="AI71" s="92">
        <f ca="1">+Macro!AE68</f>
        <v>1377.5877836963687</v>
      </c>
      <c r="AJ71" s="92">
        <f ca="1">+Macro!AF68</f>
        <v>1463.8787086517223</v>
      </c>
      <c r="AK71" s="92">
        <f ca="1">+Macro!AG68</f>
        <v>1553.5318480896156</v>
      </c>
      <c r="AL71" s="92">
        <f ca="1">+Macro!AH68</f>
        <v>1646.6573045255266</v>
      </c>
      <c r="AM71" s="92">
        <f ca="1">+Macro!AI68</f>
        <v>1751.4139372605043</v>
      </c>
      <c r="AO71" s="314">
        <f t="shared" ref="AO71" ca="1" si="98">(AL71/AB71)^(1/10)-1</f>
        <v>8.1549769115245363E-2</v>
      </c>
      <c r="AP71" s="314">
        <f t="shared" ref="AP71" si="99">(AB71/L71)^(1/16)-1</f>
        <v>7.0398724232849208E-2</v>
      </c>
      <c r="AQ71" s="314">
        <f t="shared" ref="AQ71" si="100">(AA71/Q71)^(1/10)-1</f>
        <v>8.8336552000450874E-2</v>
      </c>
      <c r="AR71" s="314">
        <f t="shared" ref="AR71" ca="1" si="101">(AL71/AA71)^(1/11)-1</f>
        <v>6.3952794267938984E-2</v>
      </c>
    </row>
    <row r="72" spans="1:44">
      <c r="B72"/>
      <c r="D72" t="s">
        <v>253</v>
      </c>
      <c r="L72" s="79">
        <v>0.01</v>
      </c>
      <c r="M72" s="79">
        <v>0.04</v>
      </c>
      <c r="N72" s="79">
        <v>0.09</v>
      </c>
      <c r="O72" s="79">
        <v>0.03</v>
      </c>
      <c r="P72" s="79">
        <v>-0.16</v>
      </c>
      <c r="Q72" s="79">
        <v>0.01</v>
      </c>
      <c r="R72" s="79">
        <v>0.1</v>
      </c>
      <c r="S72" s="79">
        <v>1.2999999999999999E-2</v>
      </c>
      <c r="T72" s="79">
        <v>5.3999999999999999E-2</v>
      </c>
      <c r="U72" s="79">
        <v>0.122</v>
      </c>
      <c r="V72" s="79">
        <v>4.3999999999999997E-2</v>
      </c>
      <c r="W72" s="79">
        <v>2.4E-2</v>
      </c>
      <c r="X72" s="79">
        <v>4.2999999999999997E-2</v>
      </c>
      <c r="Y72" s="79">
        <v>0.02</v>
      </c>
      <c r="Z72" s="79">
        <v>3.0000000000000001E-3</v>
      </c>
      <c r="AA72" s="79">
        <v>7.6999999999999999E-2</v>
      </c>
      <c r="AB72" s="79">
        <v>-0.11700000000000001</v>
      </c>
      <c r="AC72" s="52">
        <v>0.15</v>
      </c>
      <c r="AD72" s="52">
        <v>0.02</v>
      </c>
      <c r="AE72" s="52">
        <f>MAX(0.01,AD72*0.9)</f>
        <v>1.8000000000000002E-2</v>
      </c>
      <c r="AF72" s="52">
        <f t="shared" ref="AF72:AM72" si="102">MAX(0.01,AE72*0.9)</f>
        <v>1.6200000000000003E-2</v>
      </c>
      <c r="AG72" s="52">
        <f t="shared" si="102"/>
        <v>1.4580000000000003E-2</v>
      </c>
      <c r="AH72" s="52">
        <f t="shared" si="102"/>
        <v>1.3122000000000003E-2</v>
      </c>
      <c r="AI72" s="52">
        <f t="shared" si="102"/>
        <v>1.1809800000000004E-2</v>
      </c>
      <c r="AJ72" s="52">
        <f t="shared" si="102"/>
        <v>1.0628820000000004E-2</v>
      </c>
      <c r="AK72" s="52">
        <f t="shared" si="102"/>
        <v>0.01</v>
      </c>
      <c r="AL72" s="52">
        <f t="shared" si="102"/>
        <v>0.01</v>
      </c>
      <c r="AM72" s="52">
        <f t="shared" si="102"/>
        <v>0.01</v>
      </c>
    </row>
    <row r="73" spans="1:44">
      <c r="B73"/>
      <c r="D73" t="s">
        <v>252</v>
      </c>
      <c r="L73" s="246" t="str">
        <f>IFERROR(((L71-K71)-(L72*K71))/K71,"na")</f>
        <v>na</v>
      </c>
      <c r="M73" s="246">
        <f t="shared" ref="M73:AM73" si="103">IFERROR(((M71-L71)-(M72*L71))/L71,"na")</f>
        <v>0.10504202742842686</v>
      </c>
      <c r="N73" s="246">
        <f t="shared" si="103"/>
        <v>7.2590379732862503E-2</v>
      </c>
      <c r="O73" s="246">
        <f t="shared" si="103"/>
        <v>8.9348645930075604E-2</v>
      </c>
      <c r="P73" s="246">
        <f t="shared" si="103"/>
        <v>7.5760091611794894E-2</v>
      </c>
      <c r="Q73" s="246">
        <f t="shared" si="103"/>
        <v>2.3763188745603878E-2</v>
      </c>
      <c r="R73" s="246">
        <f t="shared" si="103"/>
        <v>9.3498427738995128E-3</v>
      </c>
      <c r="S73" s="246">
        <f t="shared" si="103"/>
        <v>1.7034252021172144E-2</v>
      </c>
      <c r="T73" s="246">
        <f t="shared" si="103"/>
        <v>4.3157420113703257E-2</v>
      </c>
      <c r="U73" s="246">
        <f t="shared" si="103"/>
        <v>5.4895347175070497E-2</v>
      </c>
      <c r="V73" s="246">
        <f t="shared" si="103"/>
        <v>6.1048308216097545E-2</v>
      </c>
      <c r="W73" s="246">
        <f t="shared" si="103"/>
        <v>4.0666261364768266E-2</v>
      </c>
      <c r="X73" s="246">
        <f t="shared" si="103"/>
        <v>3.9844035513343229E-2</v>
      </c>
      <c r="Y73" s="246">
        <f t="shared" si="103"/>
        <v>5.4807759342404318E-2</v>
      </c>
      <c r="Z73" s="246">
        <f t="shared" si="103"/>
        <v>3.5043719300579992E-2</v>
      </c>
      <c r="AA73" s="246">
        <f t="shared" si="103"/>
        <v>3.4726778830940427E-2</v>
      </c>
      <c r="AB73" s="246">
        <f t="shared" si="103"/>
        <v>1.998568408916216E-2</v>
      </c>
      <c r="AC73" s="345">
        <f t="shared" ca="1" si="103"/>
        <v>9.6948662970457358E-2</v>
      </c>
      <c r="AD73" s="345">
        <f t="shared" ca="1" si="103"/>
        <v>4.4301892076878097E-2</v>
      </c>
      <c r="AE73" s="345">
        <f t="shared" ca="1" si="103"/>
        <v>5.1412568498797717E-2</v>
      </c>
      <c r="AF73" s="345">
        <f t="shared" ca="1" si="103"/>
        <v>5.2046276372785048E-2</v>
      </c>
      <c r="AG73" s="345">
        <f t="shared" ca="1" si="103"/>
        <v>5.1849723752077234E-2</v>
      </c>
      <c r="AH73" s="345">
        <f t="shared" ca="1" si="103"/>
        <v>5.2077663234968645E-2</v>
      </c>
      <c r="AI73" s="345">
        <f t="shared" ca="1" si="103"/>
        <v>5.2058346400867053E-2</v>
      </c>
      <c r="AJ73" s="345">
        <f t="shared" ca="1" si="103"/>
        <v>5.2010327919718206E-2</v>
      </c>
      <c r="AK73" s="345">
        <f t="shared" ca="1" si="103"/>
        <v>5.1243557207322599E-2</v>
      </c>
      <c r="AL73" s="345">
        <f t="shared" ca="1" si="103"/>
        <v>4.9944349741157724E-2</v>
      </c>
      <c r="AM73" s="345">
        <f t="shared" ca="1" si="103"/>
        <v>5.3617749999999353E-2</v>
      </c>
    </row>
    <row r="74" spans="1:44" s="5" customFormat="1">
      <c r="A74" s="124"/>
      <c r="D74" s="5" t="s">
        <v>251</v>
      </c>
      <c r="L74" s="246" t="str">
        <f>IFERROR(L71/K71-1,"na")</f>
        <v>na</v>
      </c>
      <c r="M74" s="246">
        <f t="shared" ref="M74:AM74" si="104">IFERROR(M71/L71-1,"na")</f>
        <v>0.14504202742842676</v>
      </c>
      <c r="N74" s="246">
        <f t="shared" si="104"/>
        <v>0.1625903797328625</v>
      </c>
      <c r="O74" s="246">
        <f t="shared" si="104"/>
        <v>0.11934864593007566</v>
      </c>
      <c r="P74" s="246">
        <f t="shared" si="104"/>
        <v>-8.4239908388205165E-2</v>
      </c>
      <c r="Q74" s="246">
        <f t="shared" si="104"/>
        <v>3.37631887456038E-2</v>
      </c>
      <c r="R74" s="246">
        <f t="shared" si="104"/>
        <v>0.10934984277389947</v>
      </c>
      <c r="S74" s="246">
        <f t="shared" si="104"/>
        <v>3.0034252021172048E-2</v>
      </c>
      <c r="T74" s="246">
        <f t="shared" si="104"/>
        <v>9.7157420113703319E-2</v>
      </c>
      <c r="U74" s="246">
        <f t="shared" si="104"/>
        <v>0.17689534717507049</v>
      </c>
      <c r="V74" s="246">
        <f t="shared" si="104"/>
        <v>0.10504830821609756</v>
      </c>
      <c r="W74" s="246">
        <f t="shared" si="104"/>
        <v>6.4666261364768163E-2</v>
      </c>
      <c r="X74" s="246">
        <f t="shared" si="104"/>
        <v>8.2844035513343295E-2</v>
      </c>
      <c r="Y74" s="246">
        <f t="shared" si="104"/>
        <v>7.4807759342404356E-2</v>
      </c>
      <c r="Z74" s="246">
        <f t="shared" si="104"/>
        <v>3.8043719300580037E-2</v>
      </c>
      <c r="AA74" s="246">
        <f t="shared" si="104"/>
        <v>0.1117267788309404</v>
      </c>
      <c r="AB74" s="246">
        <f t="shared" si="104"/>
        <v>-9.7014315910837867E-2</v>
      </c>
      <c r="AC74" s="345">
        <f t="shared" ca="1" si="104"/>
        <v>0.24694866297045737</v>
      </c>
      <c r="AD74" s="345">
        <f t="shared" ca="1" si="104"/>
        <v>6.4301892076878087E-2</v>
      </c>
      <c r="AE74" s="345">
        <f t="shared" ca="1" si="104"/>
        <v>6.9412568498797622E-2</v>
      </c>
      <c r="AF74" s="345">
        <f t="shared" ca="1" si="104"/>
        <v>6.8246276372785131E-2</v>
      </c>
      <c r="AG74" s="345">
        <f t="shared" ca="1" si="104"/>
        <v>6.642972375207723E-2</v>
      </c>
      <c r="AH74" s="345">
        <f t="shared" ca="1" si="104"/>
        <v>6.519966323496873E-2</v>
      </c>
      <c r="AI74" s="345">
        <f t="shared" ca="1" si="104"/>
        <v>6.3868146400867021E-2</v>
      </c>
      <c r="AJ74" s="345">
        <f t="shared" ca="1" si="104"/>
        <v>6.2639147919718141E-2</v>
      </c>
      <c r="AK74" s="345">
        <f t="shared" ca="1" si="104"/>
        <v>6.1243557207322663E-2</v>
      </c>
      <c r="AL74" s="345">
        <f t="shared" ca="1" si="104"/>
        <v>5.994434974115781E-2</v>
      </c>
      <c r="AM74" s="345">
        <f t="shared" ca="1" si="104"/>
        <v>6.3617749999999251E-2</v>
      </c>
    </row>
    <row r="75" spans="1:44" s="5" customFormat="1">
      <c r="A75" s="124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277"/>
      <c r="AD75" s="277"/>
      <c r="AE75" s="277"/>
      <c r="AF75" s="277"/>
      <c r="AG75" s="277"/>
      <c r="AH75" s="277"/>
      <c r="AI75" s="277"/>
      <c r="AJ75" s="277"/>
      <c r="AK75" s="277"/>
      <c r="AL75" s="277"/>
      <c r="AM75" s="277"/>
    </row>
    <row r="76" spans="1:44">
      <c r="D76" s="226" t="s">
        <v>248</v>
      </c>
      <c r="E76" s="227"/>
      <c r="F76" s="227"/>
      <c r="G76" s="225"/>
      <c r="H76" s="225"/>
      <c r="I76" s="225"/>
      <c r="J76" s="225"/>
      <c r="K76" s="225"/>
      <c r="L76" s="81">
        <v>58</v>
      </c>
      <c r="M76" s="81">
        <v>67</v>
      </c>
      <c r="N76" s="81">
        <v>77</v>
      </c>
      <c r="O76" s="81">
        <v>89</v>
      </c>
      <c r="P76" s="81">
        <v>100</v>
      </c>
      <c r="Q76" s="81">
        <v>100</v>
      </c>
      <c r="R76" s="81">
        <v>103</v>
      </c>
      <c r="S76" s="81">
        <v>108</v>
      </c>
      <c r="T76" s="81">
        <v>118</v>
      </c>
      <c r="U76" s="81">
        <v>131</v>
      </c>
      <c r="V76" s="81">
        <v>144</v>
      </c>
      <c r="W76" s="81">
        <v>158</v>
      </c>
      <c r="X76" s="81">
        <v>173</v>
      </c>
      <c r="Y76" s="81">
        <v>188</v>
      </c>
      <c r="Z76" s="81">
        <v>203</v>
      </c>
      <c r="AA76" s="81">
        <v>216</v>
      </c>
      <c r="AB76" s="81">
        <v>220</v>
      </c>
      <c r="AC76" s="92">
        <f ca="1">+Macro!Y55</f>
        <v>229.96199915772758</v>
      </c>
      <c r="AD76" s="92">
        <f ca="1">+Macro!Z55</f>
        <v>240.72249600331551</v>
      </c>
      <c r="AE76" s="92">
        <f ca="1">+Macro!AA55</f>
        <v>253.19914297116739</v>
      </c>
      <c r="AF76" s="92">
        <f ca="1">+Macro!AB55</f>
        <v>266.03478081815575</v>
      </c>
      <c r="AG76" s="92">
        <f ca="1">+Macro!AC55</f>
        <v>279.04871078541396</v>
      </c>
      <c r="AH76" s="92">
        <f ca="1">+Macro!AD55</f>
        <v>292.36473742774371</v>
      </c>
      <c r="AI76" s="92">
        <f ca="1">+Macro!AE55</f>
        <v>305.93655041567382</v>
      </c>
      <c r="AJ76" s="92">
        <f ca="1">+Macro!AF55</f>
        <v>319.77197263144967</v>
      </c>
      <c r="AK76" s="92">
        <f ca="1">+Macro!AG55</f>
        <v>333.79771725114307</v>
      </c>
      <c r="AL76" s="92">
        <f ca="1">+Macro!AH55</f>
        <v>348.01586086667118</v>
      </c>
      <c r="AM76" s="92">
        <f ca="1">+Macro!AI55</f>
        <v>362.89788911698207</v>
      </c>
      <c r="AN76" s="7"/>
      <c r="AO76" s="314">
        <f t="shared" ref="AO76" ca="1" si="105">(AL76/AB76)^(1/10)-1</f>
        <v>4.6929978008154682E-2</v>
      </c>
      <c r="AP76" s="314">
        <f t="shared" ref="AP76" si="106">(AB76/L76)^(1/16)-1</f>
        <v>8.689394152853791E-2</v>
      </c>
      <c r="AQ76" s="314">
        <f t="shared" ref="AQ76" si="107">(AA76/Q76)^(1/10)-1</f>
        <v>8.0053764854381315E-2</v>
      </c>
      <c r="AR76" s="314">
        <f t="shared" ref="AR76" ca="1" si="108">(AL76/AA76)^(1/11)-1</f>
        <v>4.4314696130765441E-2</v>
      </c>
    </row>
    <row r="77" spans="1:44">
      <c r="D77" s="226" t="s">
        <v>264</v>
      </c>
      <c r="E77" s="227"/>
      <c r="F77" s="227"/>
      <c r="G77" s="225"/>
      <c r="H77" s="225"/>
      <c r="I77" s="225"/>
      <c r="J77" s="225"/>
      <c r="K77" s="225"/>
      <c r="L77" s="189" t="s">
        <v>41</v>
      </c>
      <c r="M77" s="76">
        <f>+M76-L76</f>
        <v>9</v>
      </c>
      <c r="N77" s="76">
        <f>+N76-M76</f>
        <v>10</v>
      </c>
      <c r="O77" s="76">
        <f>+O76-N76</f>
        <v>12</v>
      </c>
      <c r="P77" s="76">
        <f>+P76-O76</f>
        <v>11</v>
      </c>
      <c r="Q77" s="76">
        <f t="shared" ref="Q77:V77" si="109">+Q76-P76</f>
        <v>0</v>
      </c>
      <c r="R77" s="76">
        <f t="shared" si="109"/>
        <v>3</v>
      </c>
      <c r="S77" s="76">
        <f t="shared" si="109"/>
        <v>5</v>
      </c>
      <c r="T77" s="76">
        <f t="shared" si="109"/>
        <v>10</v>
      </c>
      <c r="U77" s="76">
        <f t="shared" si="109"/>
        <v>13</v>
      </c>
      <c r="V77" s="76">
        <f t="shared" si="109"/>
        <v>13</v>
      </c>
      <c r="W77" s="76">
        <f t="shared" ref="W77:AB77" si="110">+W76-V76</f>
        <v>14</v>
      </c>
      <c r="X77" s="76">
        <f t="shared" si="110"/>
        <v>15</v>
      </c>
      <c r="Y77" s="76">
        <f t="shared" si="110"/>
        <v>15</v>
      </c>
      <c r="Z77" s="76">
        <f t="shared" si="110"/>
        <v>15</v>
      </c>
      <c r="AA77" s="76">
        <f t="shared" si="110"/>
        <v>13</v>
      </c>
      <c r="AB77" s="76">
        <f t="shared" si="110"/>
        <v>4</v>
      </c>
      <c r="AC77" s="92">
        <f t="shared" ref="AC77:AM77" ca="1" si="111">+AC76-AB76</f>
        <v>9.9619991577275755</v>
      </c>
      <c r="AD77" s="92">
        <f t="shared" ca="1" si="111"/>
        <v>10.760496845587937</v>
      </c>
      <c r="AE77" s="92">
        <f t="shared" ca="1" si="111"/>
        <v>12.476646967851877</v>
      </c>
      <c r="AF77" s="92">
        <f t="shared" ca="1" si="111"/>
        <v>12.835637846988362</v>
      </c>
      <c r="AG77" s="92">
        <f t="shared" ca="1" si="111"/>
        <v>13.013929967258207</v>
      </c>
      <c r="AH77" s="92">
        <f t="shared" ca="1" si="111"/>
        <v>13.316026642329746</v>
      </c>
      <c r="AI77" s="92">
        <f t="shared" ca="1" si="111"/>
        <v>13.571812987930116</v>
      </c>
      <c r="AJ77" s="92">
        <f t="shared" ca="1" si="111"/>
        <v>13.83542221577585</v>
      </c>
      <c r="AK77" s="92">
        <f t="shared" ca="1" si="111"/>
        <v>14.025744619693398</v>
      </c>
      <c r="AL77" s="92">
        <f t="shared" ca="1" si="111"/>
        <v>14.218143615528106</v>
      </c>
      <c r="AM77" s="92">
        <f t="shared" ca="1" si="111"/>
        <v>14.882028250310896</v>
      </c>
      <c r="AN77" s="7"/>
    </row>
    <row r="78" spans="1:44">
      <c r="D78" s="226" t="s">
        <v>255</v>
      </c>
      <c r="E78" s="227"/>
      <c r="F78" s="227"/>
      <c r="G78" s="225"/>
      <c r="H78" s="225"/>
      <c r="I78" s="225"/>
      <c r="J78" s="225"/>
      <c r="K78" s="225"/>
      <c r="L78" s="246" t="str">
        <f>IFERROR(L76/K76-1,"na")</f>
        <v>na</v>
      </c>
      <c r="M78" s="246">
        <f t="shared" ref="M78:AM78" si="112">IFERROR(M76/L76-1,"na")</f>
        <v>0.15517241379310343</v>
      </c>
      <c r="N78" s="246">
        <f t="shared" si="112"/>
        <v>0.14925373134328357</v>
      </c>
      <c r="O78" s="246">
        <f t="shared" si="112"/>
        <v>0.1558441558441559</v>
      </c>
      <c r="P78" s="246">
        <f t="shared" si="112"/>
        <v>0.12359550561797761</v>
      </c>
      <c r="Q78" s="246">
        <f t="shared" si="112"/>
        <v>0</v>
      </c>
      <c r="R78" s="246">
        <f t="shared" si="112"/>
        <v>3.0000000000000027E-2</v>
      </c>
      <c r="S78" s="246">
        <f t="shared" si="112"/>
        <v>4.8543689320388328E-2</v>
      </c>
      <c r="T78" s="246">
        <f t="shared" si="112"/>
        <v>9.259259259259256E-2</v>
      </c>
      <c r="U78" s="246">
        <f t="shared" si="112"/>
        <v>0.11016949152542366</v>
      </c>
      <c r="V78" s="246">
        <f t="shared" si="112"/>
        <v>9.92366412213741E-2</v>
      </c>
      <c r="W78" s="246">
        <f t="shared" si="112"/>
        <v>9.7222222222222321E-2</v>
      </c>
      <c r="X78" s="246">
        <f t="shared" si="112"/>
        <v>9.4936708860759556E-2</v>
      </c>
      <c r="Y78" s="246">
        <f t="shared" si="112"/>
        <v>8.6705202312138629E-2</v>
      </c>
      <c r="Z78" s="246">
        <f t="shared" si="112"/>
        <v>7.9787234042553168E-2</v>
      </c>
      <c r="AA78" s="246">
        <f t="shared" si="112"/>
        <v>6.4039408866995107E-2</v>
      </c>
      <c r="AB78" s="246">
        <f t="shared" si="112"/>
        <v>1.8518518518518601E-2</v>
      </c>
      <c r="AC78" s="345">
        <f t="shared" ca="1" si="112"/>
        <v>4.5281814353307137E-2</v>
      </c>
      <c r="AD78" s="345">
        <f t="shared" ca="1" si="112"/>
        <v>4.6792499999999793E-2</v>
      </c>
      <c r="AE78" s="345">
        <f t="shared" ca="1" si="112"/>
        <v>5.1830000000000043E-2</v>
      </c>
      <c r="AF78" s="345">
        <f t="shared" ca="1" si="112"/>
        <v>5.0693843969487729E-2</v>
      </c>
      <c r="AG78" s="345">
        <f t="shared" ca="1" si="112"/>
        <v>4.891815245824449E-2</v>
      </c>
      <c r="AH78" s="345">
        <f t="shared" ca="1" si="112"/>
        <v>4.7719362704992552E-2</v>
      </c>
      <c r="AI78" s="345">
        <f t="shared" ca="1" si="112"/>
        <v>4.6420827310900803E-2</v>
      </c>
      <c r="AJ78" s="345">
        <f t="shared" ca="1" si="112"/>
        <v>4.5223175187723674E-2</v>
      </c>
      <c r="AK78" s="345">
        <f t="shared" ca="1" si="112"/>
        <v>4.3861707154237095E-2</v>
      </c>
      <c r="AL78" s="345">
        <f t="shared" ca="1" si="112"/>
        <v>4.2595089423067112E-2</v>
      </c>
      <c r="AM78" s="345">
        <f t="shared" ca="1" si="112"/>
        <v>4.2762499999999593E-2</v>
      </c>
      <c r="AN78" s="7"/>
    </row>
    <row r="79" spans="1:44">
      <c r="B79"/>
      <c r="D79" s="5" t="s">
        <v>254</v>
      </c>
      <c r="L79" s="76">
        <f>+L71/L76*1000</f>
        <v>4364.9655172413795</v>
      </c>
      <c r="M79" s="76">
        <f>+M71/M76*1000</f>
        <v>4326.6865671641781</v>
      </c>
      <c r="N79" s="76">
        <f>+N71/N76*1000</f>
        <v>4376.8961038961043</v>
      </c>
      <c r="O79" s="76">
        <f>+O71/O76*1000</f>
        <v>4238.696629213483</v>
      </c>
      <c r="P79" s="76">
        <f>+P71/P76*1000</f>
        <v>3454.6499999999996</v>
      </c>
      <c r="Q79" s="76">
        <f t="shared" ref="Q79:V79" si="113">+Q71/Q76*1000</f>
        <v>3571.2900000000004</v>
      </c>
      <c r="R79" s="76">
        <f t="shared" si="113"/>
        <v>3846.4174757281553</v>
      </c>
      <c r="S79" s="76">
        <f t="shared" si="113"/>
        <v>3778.5185185185182</v>
      </c>
      <c r="T79" s="76">
        <f t="shared" si="113"/>
        <v>3794.305084745763</v>
      </c>
      <c r="U79" s="76">
        <f t="shared" si="113"/>
        <v>4022.3587786259536</v>
      </c>
      <c r="V79" s="76">
        <f t="shared" si="113"/>
        <v>4043.6250000000005</v>
      </c>
      <c r="W79" s="76">
        <f t="shared" ref="W79:AB79" si="114">+W71/W76*1000</f>
        <v>3923.6455696202534</v>
      </c>
      <c r="X79" s="76">
        <f t="shared" si="114"/>
        <v>3880.3121387283236</v>
      </c>
      <c r="Y79" s="76">
        <f t="shared" si="114"/>
        <v>3837.8297872340422</v>
      </c>
      <c r="Z79" s="76">
        <f t="shared" si="114"/>
        <v>3689.463054187192</v>
      </c>
      <c r="AA79" s="76">
        <f t="shared" si="114"/>
        <v>3854.8148148148148</v>
      </c>
      <c r="AB79" s="76">
        <f t="shared" si="114"/>
        <v>3417.5545454545454</v>
      </c>
      <c r="AC79" s="92">
        <f t="shared" ref="AC79:AL79" ca="1" si="115">+AC71/AC76*1000</f>
        <v>4076.9053977272724</v>
      </c>
      <c r="AD79" s="92">
        <f t="shared" ca="1" si="115"/>
        <v>4145.0986022727266</v>
      </c>
      <c r="AE79" s="92">
        <f t="shared" ca="1" si="115"/>
        <v>4214.3887728409081</v>
      </c>
      <c r="AF79" s="92">
        <f t="shared" ca="1" si="115"/>
        <v>4284.7925107909077</v>
      </c>
      <c r="AG79" s="92">
        <f t="shared" ca="1" si="115"/>
        <v>4356.326642749772</v>
      </c>
      <c r="AH79" s="92">
        <f t="shared" ca="1" si="115"/>
        <v>4429.008222982673</v>
      </c>
      <c r="AI79" s="92">
        <f t="shared" ca="1" si="115"/>
        <v>4502.8545357677922</v>
      </c>
      <c r="AJ79" s="92">
        <f t="shared" ca="1" si="115"/>
        <v>4577.8830977751222</v>
      </c>
      <c r="AK79" s="92">
        <f t="shared" ca="1" si="115"/>
        <v>4654.1116604484378</v>
      </c>
      <c r="AL79" s="92">
        <f t="shared" ca="1" si="115"/>
        <v>4731.5582123895774</v>
      </c>
      <c r="AM79" s="92">
        <f ca="1">+AM71/AM76*1000</f>
        <v>4826.1893766373678</v>
      </c>
    </row>
    <row r="80" spans="1:44">
      <c r="B80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346"/>
      <c r="AD80" s="346"/>
      <c r="AE80" s="346"/>
      <c r="AF80" s="346"/>
      <c r="AG80" s="346"/>
      <c r="AH80" s="346"/>
      <c r="AI80" s="346"/>
      <c r="AJ80" s="346"/>
      <c r="AK80" s="346"/>
      <c r="AL80" s="346"/>
      <c r="AM80" s="346"/>
    </row>
    <row r="81" spans="1:44">
      <c r="B81"/>
      <c r="D81" s="226" t="s">
        <v>267</v>
      </c>
      <c r="L81" s="190">
        <v>15663</v>
      </c>
      <c r="M81" s="190">
        <v>16298</v>
      </c>
      <c r="N81" s="190">
        <v>17249</v>
      </c>
      <c r="O81" s="190">
        <v>17298</v>
      </c>
      <c r="P81" s="190">
        <v>16291</v>
      </c>
      <c r="Q81" s="190">
        <v>17152</v>
      </c>
      <c r="R81" s="190">
        <v>18019</v>
      </c>
      <c r="S81" s="190">
        <v>18995</v>
      </c>
      <c r="T81" s="190">
        <v>19351</v>
      </c>
      <c r="U81" s="190">
        <v>19408</v>
      </c>
      <c r="V81" s="190">
        <v>19897</v>
      </c>
      <c r="W81" s="190">
        <v>19917</v>
      </c>
      <c r="X81" s="190">
        <v>19586</v>
      </c>
      <c r="Y81" s="190">
        <v>19757</v>
      </c>
      <c r="Z81" s="190">
        <v>20077</v>
      </c>
      <c r="AA81" s="190">
        <v>20418</v>
      </c>
      <c r="AB81" s="190">
        <v>20690</v>
      </c>
      <c r="AC81" s="92">
        <f t="shared" ref="AC81:AM81" si="116">+AB81*(1+AC82)</f>
        <v>20948.625</v>
      </c>
      <c r="AD81" s="92">
        <f t="shared" si="116"/>
        <v>21210.482812499999</v>
      </c>
      <c r="AE81" s="92">
        <f t="shared" si="116"/>
        <v>21475.613847656248</v>
      </c>
      <c r="AF81" s="92">
        <f t="shared" si="116"/>
        <v>21744.059020751949</v>
      </c>
      <c r="AG81" s="92">
        <f t="shared" si="116"/>
        <v>22015.859758511346</v>
      </c>
      <c r="AH81" s="92">
        <f t="shared" si="116"/>
        <v>22291.058005492738</v>
      </c>
      <c r="AI81" s="92">
        <f t="shared" si="116"/>
        <v>22569.696230561396</v>
      </c>
      <c r="AJ81" s="92">
        <f t="shared" si="116"/>
        <v>22851.817433443412</v>
      </c>
      <c r="AK81" s="92">
        <f t="shared" si="116"/>
        <v>23137.465151361452</v>
      </c>
      <c r="AL81" s="92">
        <f t="shared" si="116"/>
        <v>23426.683465753467</v>
      </c>
      <c r="AM81" s="92">
        <f t="shared" si="116"/>
        <v>23719.517009075385</v>
      </c>
      <c r="AO81" s="314">
        <f t="shared" ref="AO81" si="117">(AL81/AB81)^(1/10)-1</f>
        <v>1.2499999999999956E-2</v>
      </c>
      <c r="AP81" s="314">
        <f t="shared" ref="AP81" si="118">(AB81/L81)^(1/16)-1</f>
        <v>1.7549034208024672E-2</v>
      </c>
      <c r="AQ81" s="314">
        <f t="shared" ref="AQ81" si="119">(AA81/Q81)^(1/10)-1</f>
        <v>1.7583000505241975E-2</v>
      </c>
      <c r="AR81" s="314">
        <f t="shared" ref="AR81" si="120">(AL81/AA81)^(1/11)-1</f>
        <v>1.2574661466233428E-2</v>
      </c>
    </row>
    <row r="82" spans="1:44" s="64" customFormat="1">
      <c r="A82" s="254"/>
      <c r="D82" s="255" t="s">
        <v>368</v>
      </c>
      <c r="L82" s="256"/>
      <c r="M82" s="298">
        <f t="shared" ref="M82:Z82" si="121">+M81/L81-1</f>
        <v>4.0541403307156942E-2</v>
      </c>
      <c r="N82" s="298">
        <f t="shared" si="121"/>
        <v>5.8350717879494418E-2</v>
      </c>
      <c r="O82" s="298">
        <f t="shared" si="121"/>
        <v>2.8407443909792551E-3</v>
      </c>
      <c r="P82" s="298">
        <f t="shared" si="121"/>
        <v>-5.8214822522835052E-2</v>
      </c>
      <c r="Q82" s="298">
        <f t="shared" si="121"/>
        <v>5.2851267571051519E-2</v>
      </c>
      <c r="R82" s="298">
        <f t="shared" si="121"/>
        <v>5.054804104477606E-2</v>
      </c>
      <c r="S82" s="298">
        <f t="shared" si="121"/>
        <v>5.4165048004883642E-2</v>
      </c>
      <c r="T82" s="298">
        <f t="shared" si="121"/>
        <v>1.8741774151092461E-2</v>
      </c>
      <c r="U82" s="298">
        <f t="shared" si="121"/>
        <v>2.9455842075345462E-3</v>
      </c>
      <c r="V82" s="298">
        <f t="shared" si="121"/>
        <v>2.5195795548227595E-2</v>
      </c>
      <c r="W82" s="298">
        <f t="shared" si="121"/>
        <v>1.005176659798046E-3</v>
      </c>
      <c r="X82" s="298">
        <f t="shared" si="121"/>
        <v>-1.6618968720188754E-2</v>
      </c>
      <c r="Y82" s="298">
        <f t="shared" si="121"/>
        <v>8.7307260287960986E-3</v>
      </c>
      <c r="Z82" s="298">
        <f t="shared" si="121"/>
        <v>1.6196791010780975E-2</v>
      </c>
      <c r="AA82" s="298">
        <f>+AA81/Z81-1</f>
        <v>1.698460925437062E-2</v>
      </c>
      <c r="AB82" s="298">
        <f>+AB81/AA81-1</f>
        <v>1.3321578998922501E-2</v>
      </c>
      <c r="AC82" s="333">
        <v>1.2500000000000001E-2</v>
      </c>
      <c r="AD82" s="333">
        <v>1.2500000000000001E-2</v>
      </c>
      <c r="AE82" s="333">
        <v>1.2500000000000001E-2</v>
      </c>
      <c r="AF82" s="333">
        <v>1.2500000000000001E-2</v>
      </c>
      <c r="AG82" s="333">
        <v>1.2500000000000001E-2</v>
      </c>
      <c r="AH82" s="333">
        <v>1.2500000000000001E-2</v>
      </c>
      <c r="AI82" s="333">
        <v>1.2500000000000001E-2</v>
      </c>
      <c r="AJ82" s="333">
        <v>1.2500000000000001E-2</v>
      </c>
      <c r="AK82" s="333">
        <v>1.2500000000000001E-2</v>
      </c>
      <c r="AL82" s="333">
        <v>1.2500000000000001E-2</v>
      </c>
      <c r="AM82" s="333">
        <v>1.2500000000000001E-2</v>
      </c>
    </row>
    <row r="83" spans="1:44">
      <c r="B83"/>
      <c r="D83" s="226" t="s">
        <v>355</v>
      </c>
      <c r="L83" s="92">
        <f>L86-L81*L71/1000</f>
        <v>31.829615999999533</v>
      </c>
      <c r="M83" s="92">
        <f>M86-M81*M71/1000</f>
        <v>46.705376000000797</v>
      </c>
      <c r="N83" s="92">
        <f>N86-N81*N71/1000</f>
        <v>59.524771000000328</v>
      </c>
      <c r="O83" s="92">
        <f>O86-O81*O71/1000</f>
        <v>63.733287999999447</v>
      </c>
      <c r="P83" s="92">
        <f>P86-P81*P71/1000</f>
        <v>62.729685000000245</v>
      </c>
      <c r="Q83" s="92">
        <f t="shared" ref="Q83:AA83" si="122">Q86-Q81*Q71/1000</f>
        <v>66.82339200000024</v>
      </c>
      <c r="R83" s="92">
        <f t="shared" si="122"/>
        <v>71.214561000000685</v>
      </c>
      <c r="S83" s="92">
        <f t="shared" si="122"/>
        <v>75.420399999999972</v>
      </c>
      <c r="T83" s="92">
        <f t="shared" si="122"/>
        <v>83.015471999999136</v>
      </c>
      <c r="U83" s="92">
        <f t="shared" si="122"/>
        <v>79.661968000000343</v>
      </c>
      <c r="V83" s="92">
        <f t="shared" si="122"/>
        <v>88.835046000000148</v>
      </c>
      <c r="W83" s="92">
        <f t="shared" si="122"/>
        <v>92.134687999998278</v>
      </c>
      <c r="X83" s="92">
        <f t="shared" si="122"/>
        <v>122.73571600000105</v>
      </c>
      <c r="Y83" s="92">
        <f t="shared" si="122"/>
        <v>137.48741599999994</v>
      </c>
      <c r="Z83" s="92">
        <f t="shared" si="122"/>
        <v>135.91000299999905</v>
      </c>
      <c r="AA83" s="92">
        <f t="shared" si="122"/>
        <v>168.65648000000147</v>
      </c>
      <c r="AB83" s="92">
        <f>AB86-AB81*AB71/1000</f>
        <v>156.97522000000026</v>
      </c>
      <c r="AC83" s="277">
        <f t="shared" ref="AC83:AL83" ca="1" si="123">AC81*AC71/1000*AC84</f>
        <v>196.40033854313253</v>
      </c>
      <c r="AD83" s="277">
        <f t="shared" ca="1" si="123"/>
        <v>211.64211756494532</v>
      </c>
      <c r="AE83" s="277">
        <f t="shared" ca="1" si="123"/>
        <v>229.16189980449832</v>
      </c>
      <c r="AF83" s="277">
        <f t="shared" ca="1" si="123"/>
        <v>247.86136297957691</v>
      </c>
      <c r="AG83" s="277">
        <f t="shared" ca="1" si="123"/>
        <v>267.63080891176264</v>
      </c>
      <c r="AH83" s="277">
        <f t="shared" ca="1" si="123"/>
        <v>288.64375061816321</v>
      </c>
      <c r="AI83" s="277">
        <f t="shared" ca="1" si="123"/>
        <v>310.91737808959363</v>
      </c>
      <c r="AJ83" s="277">
        <f t="shared" ca="1" si="123"/>
        <v>334.52288994814057</v>
      </c>
      <c r="AK83" s="277">
        <f t="shared" ca="1" si="123"/>
        <v>359.4478899670363</v>
      </c>
      <c r="AL83" s="277">
        <f t="shared" ca="1" si="123"/>
        <v>385.75719449690325</v>
      </c>
      <c r="AM83" s="277">
        <f ca="1">AM81*AM71/1000*AM84</f>
        <v>415.42692674782222</v>
      </c>
    </row>
    <row r="84" spans="1:44">
      <c r="B84"/>
      <c r="D84" s="226" t="s">
        <v>356</v>
      </c>
      <c r="L84" s="217">
        <f>+L83/(L86-L83)</f>
        <v>8.0268960822499381E-3</v>
      </c>
      <c r="M84" s="217">
        <f>+M83/(M86-M83)</f>
        <v>9.8855837837910562E-3</v>
      </c>
      <c r="N84" s="217">
        <f>+N83/(N86-N83)</f>
        <v>1.0239455153104765E-2</v>
      </c>
      <c r="O84" s="217">
        <f>+O83/(O86-O83)</f>
        <v>9.7667054545314772E-3</v>
      </c>
      <c r="P84" s="217">
        <f>+P83/(P86-P83)</f>
        <v>1.1146058257061053E-2</v>
      </c>
      <c r="Q84" s="217">
        <f t="shared" ref="Q84:AA84" si="124">+Q83/(Q86-Q83)</f>
        <v>1.0909092675780933E-2</v>
      </c>
      <c r="R84" s="217">
        <f t="shared" si="124"/>
        <v>9.9757250877645677E-3</v>
      </c>
      <c r="S84" s="217">
        <f t="shared" si="124"/>
        <v>9.7298069390519947E-3</v>
      </c>
      <c r="T84" s="217">
        <f t="shared" si="124"/>
        <v>9.5816736204586087E-3</v>
      </c>
      <c r="U84" s="217">
        <f t="shared" si="124"/>
        <v>7.7896536232857205E-3</v>
      </c>
      <c r="V84" s="217">
        <f t="shared" si="124"/>
        <v>7.6676691715765067E-3</v>
      </c>
      <c r="W84" s="217">
        <f t="shared" si="124"/>
        <v>7.4619509398939424E-3</v>
      </c>
      <c r="X84" s="217">
        <f t="shared" si="124"/>
        <v>9.3349596446166503E-3</v>
      </c>
      <c r="Y84" s="217">
        <f t="shared" si="124"/>
        <v>9.6449147050062297E-3</v>
      </c>
      <c r="Z84" s="217">
        <f t="shared" si="124"/>
        <v>9.0384383357937949E-3</v>
      </c>
      <c r="AA84" s="217">
        <f t="shared" si="124"/>
        <v>9.9204771693587983E-3</v>
      </c>
      <c r="AB84" s="217">
        <f>+AB83/(AB86-AB83)</f>
        <v>1.0090959754822418E-2</v>
      </c>
      <c r="AC84" s="52">
        <v>0.01</v>
      </c>
      <c r="AD84" s="52">
        <v>0.01</v>
      </c>
      <c r="AE84" s="52">
        <v>0.01</v>
      </c>
      <c r="AF84" s="52">
        <v>0.01</v>
      </c>
      <c r="AG84" s="52">
        <v>0.01</v>
      </c>
      <c r="AH84" s="52">
        <v>0.01</v>
      </c>
      <c r="AI84" s="52">
        <v>0.01</v>
      </c>
      <c r="AJ84" s="52">
        <v>0.01</v>
      </c>
      <c r="AK84" s="52">
        <v>0.01</v>
      </c>
      <c r="AL84" s="52">
        <v>0.01</v>
      </c>
      <c r="AM84" s="52">
        <v>0.01</v>
      </c>
    </row>
    <row r="85" spans="1:44">
      <c r="B85"/>
      <c r="D85" s="226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</row>
    <row r="86" spans="1:44">
      <c r="D86" t="s">
        <v>217</v>
      </c>
      <c r="L86" s="76">
        <f t="shared" ref="L86:AA86" si="125">+L52</f>
        <v>3997.2</v>
      </c>
      <c r="M86" s="76">
        <f t="shared" si="125"/>
        <v>4771.3</v>
      </c>
      <c r="N86" s="76">
        <f t="shared" si="125"/>
        <v>5872.8</v>
      </c>
      <c r="O86" s="76">
        <f t="shared" si="125"/>
        <v>6589.3</v>
      </c>
      <c r="P86" s="76">
        <f t="shared" si="125"/>
        <v>5690.7</v>
      </c>
      <c r="Q86" s="76">
        <f t="shared" si="125"/>
        <v>6192.3</v>
      </c>
      <c r="R86" s="76">
        <f t="shared" si="125"/>
        <v>7210</v>
      </c>
      <c r="S86" s="76">
        <f t="shared" si="125"/>
        <v>7826.9</v>
      </c>
      <c r="T86" s="76">
        <f t="shared" si="125"/>
        <v>8747</v>
      </c>
      <c r="U86" s="76">
        <f t="shared" si="125"/>
        <v>10306.299999999999</v>
      </c>
      <c r="V86" s="76">
        <f t="shared" si="125"/>
        <v>11674.5</v>
      </c>
      <c r="W86" s="76">
        <f t="shared" si="125"/>
        <v>12439.4</v>
      </c>
      <c r="X86" s="76">
        <f t="shared" si="125"/>
        <v>13270.7</v>
      </c>
      <c r="Y86" s="76">
        <f t="shared" si="125"/>
        <v>14392.4</v>
      </c>
      <c r="Z86" s="76">
        <f t="shared" si="125"/>
        <v>15172.8</v>
      </c>
      <c r="AA86" s="76">
        <f t="shared" si="125"/>
        <v>17169.5</v>
      </c>
      <c r="AB86" s="76">
        <f>+AB52</f>
        <v>15713</v>
      </c>
      <c r="AC86" s="70">
        <f t="shared" ref="AC86:AL86" ca="1" si="126">+AC83+AC81*AC71/1000</f>
        <v>19836.434192856384</v>
      </c>
      <c r="AD86" s="70">
        <f t="shared" ca="1" si="126"/>
        <v>21375.853874059478</v>
      </c>
      <c r="AE86" s="70">
        <f t="shared" ca="1" si="126"/>
        <v>23145.351880254329</v>
      </c>
      <c r="AF86" s="70">
        <f t="shared" ca="1" si="126"/>
        <v>25033.997660937268</v>
      </c>
      <c r="AG86" s="70">
        <f t="shared" ca="1" si="126"/>
        <v>27030.711700088024</v>
      </c>
      <c r="AH86" s="70">
        <f t="shared" ca="1" si="126"/>
        <v>29153.018812434482</v>
      </c>
      <c r="AI86" s="70">
        <f t="shared" ca="1" si="126"/>
        <v>31402.655187048957</v>
      </c>
      <c r="AJ86" s="70">
        <f t="shared" ca="1" si="126"/>
        <v>33786.811884762195</v>
      </c>
      <c r="AK86" s="70">
        <f t="shared" ca="1" si="126"/>
        <v>36304.236886670667</v>
      </c>
      <c r="AL86" s="70">
        <f t="shared" ca="1" si="126"/>
        <v>38961.476644187227</v>
      </c>
      <c r="AM86" s="70">
        <f ca="1">+AM83+AM81*AM71/1000</f>
        <v>41958.119601530045</v>
      </c>
    </row>
    <row r="87" spans="1:44">
      <c r="D87" s="71" t="s">
        <v>268</v>
      </c>
      <c r="L87" s="76">
        <f>+L88-L86</f>
        <v>-3537.1937439999997</v>
      </c>
      <c r="M87" s="76">
        <f>+M88-M86</f>
        <v>-4247.1824960000004</v>
      </c>
      <c r="N87" s="76">
        <f>+N88-N86</f>
        <v>-5231.4490370000003</v>
      </c>
      <c r="O87" s="76">
        <f>+O88-O86</f>
        <v>-5880.7</v>
      </c>
      <c r="P87" s="76">
        <f>+P88-P86</f>
        <v>-5046.3</v>
      </c>
      <c r="Q87" s="76">
        <f t="shared" ref="Q87:V87" si="127">+Q88-Q86</f>
        <v>-5452.4000000000005</v>
      </c>
      <c r="R87" s="76">
        <f t="shared" si="127"/>
        <v>-6356</v>
      </c>
      <c r="S87" s="76">
        <f t="shared" si="127"/>
        <v>-6938.2999999999993</v>
      </c>
      <c r="T87" s="76">
        <f t="shared" si="127"/>
        <v>-7775.5</v>
      </c>
      <c r="U87" s="76">
        <f t="shared" si="127"/>
        <v>-9162.4</v>
      </c>
      <c r="V87" s="76">
        <f t="shared" si="127"/>
        <v>-10406</v>
      </c>
      <c r="W87" s="76">
        <f t="shared" ref="W87:AB87" si="128">+W88-W86</f>
        <v>-11100.8</v>
      </c>
      <c r="X87" s="76">
        <f t="shared" si="128"/>
        <v>-11819</v>
      </c>
      <c r="Y87" s="76">
        <f t="shared" si="128"/>
        <v>-12824.8</v>
      </c>
      <c r="Z87" s="76">
        <f t="shared" si="128"/>
        <v>-13544.099999999999</v>
      </c>
      <c r="AA87" s="76">
        <f t="shared" si="128"/>
        <v>-15349.4</v>
      </c>
      <c r="AB87" s="76">
        <f t="shared" si="128"/>
        <v>-14124.1</v>
      </c>
      <c r="AC87" s="76">
        <f t="shared" ref="AC87:AL87" ca="1" si="129">+AC88-AC86</f>
        <v>-17793.281470992177</v>
      </c>
      <c r="AD87" s="76">
        <f t="shared" ca="1" si="129"/>
        <v>-19196.158054521635</v>
      </c>
      <c r="AE87" s="76">
        <f t="shared" ca="1" si="129"/>
        <v>-20808.821664337091</v>
      </c>
      <c r="AF87" s="76">
        <f t="shared" ca="1" si="129"/>
        <v>-22532.079982632113</v>
      </c>
      <c r="AG87" s="76">
        <f t="shared" ca="1" si="129"/>
        <v>-24356.255538053603</v>
      </c>
      <c r="AH87" s="76">
        <f t="shared" ca="1" si="129"/>
        <v>-26297.423038519864</v>
      </c>
      <c r="AI87" s="76">
        <f t="shared" ca="1" si="129"/>
        <v>-28357.462607893151</v>
      </c>
      <c r="AJ87" s="76">
        <f t="shared" ca="1" si="129"/>
        <v>-30543.185677669244</v>
      </c>
      <c r="AK87" s="76">
        <f t="shared" ca="1" si="129"/>
        <v>-32853.784063527375</v>
      </c>
      <c r="AL87" s="76">
        <f t="shared" ca="1" si="129"/>
        <v>-35295.502611291929</v>
      </c>
      <c r="AM87" s="76">
        <f ca="1">+AM88-AM86</f>
        <v>-38049.663960854014</v>
      </c>
    </row>
    <row r="88" spans="1:44">
      <c r="D88" s="2" t="s">
        <v>265</v>
      </c>
      <c r="E88" s="229"/>
      <c r="F88" s="229"/>
      <c r="G88" s="230"/>
      <c r="H88" s="230"/>
      <c r="I88" s="230"/>
      <c r="J88" s="230"/>
      <c r="K88" s="230"/>
      <c r="L88" s="188">
        <f t="shared" ref="L88:AA88" si="130">+L59</f>
        <v>460.00625600000001</v>
      </c>
      <c r="M88" s="188">
        <f t="shared" si="130"/>
        <v>524.11750399999994</v>
      </c>
      <c r="N88" s="188">
        <f t="shared" si="130"/>
        <v>641.35096299999998</v>
      </c>
      <c r="O88" s="188">
        <f t="shared" si="130"/>
        <v>708.6</v>
      </c>
      <c r="P88" s="188">
        <f t="shared" si="130"/>
        <v>644.4</v>
      </c>
      <c r="Q88" s="188">
        <f t="shared" si="130"/>
        <v>739.9</v>
      </c>
      <c r="R88" s="188">
        <f t="shared" si="130"/>
        <v>854</v>
      </c>
      <c r="S88" s="188">
        <f t="shared" si="130"/>
        <v>888.6</v>
      </c>
      <c r="T88" s="188">
        <f t="shared" si="130"/>
        <v>971.5</v>
      </c>
      <c r="U88" s="188">
        <f t="shared" si="130"/>
        <v>1143.9000000000001</v>
      </c>
      <c r="V88" s="188">
        <f t="shared" si="130"/>
        <v>1268.5</v>
      </c>
      <c r="W88" s="188">
        <f t="shared" si="130"/>
        <v>1338.6</v>
      </c>
      <c r="X88" s="188">
        <f t="shared" si="130"/>
        <v>1451.7</v>
      </c>
      <c r="Y88" s="188">
        <f t="shared" si="130"/>
        <v>1567.6</v>
      </c>
      <c r="Z88" s="188">
        <f t="shared" si="130"/>
        <v>1628.7</v>
      </c>
      <c r="AA88" s="188">
        <f t="shared" si="130"/>
        <v>1820.1</v>
      </c>
      <c r="AB88" s="188">
        <f>+AB59</f>
        <v>1588.9</v>
      </c>
      <c r="AC88" s="106">
        <f t="shared" ref="AC88:AL88" ca="1" si="131">+AC86*AC92</f>
        <v>2043.1527218642075</v>
      </c>
      <c r="AD88" s="106">
        <f t="shared" ca="1" si="131"/>
        <v>2179.6958195378447</v>
      </c>
      <c r="AE88" s="106">
        <f t="shared" ca="1" si="131"/>
        <v>2336.5302159172384</v>
      </c>
      <c r="AF88" s="106">
        <f t="shared" ca="1" si="131"/>
        <v>2501.9176783302064</v>
      </c>
      <c r="AG88" s="106">
        <f t="shared" ca="1" si="131"/>
        <v>2674.4561620761815</v>
      </c>
      <c r="AH88" s="106">
        <f t="shared" ca="1" si="131"/>
        <v>2855.5957739627888</v>
      </c>
      <c r="AI88" s="106">
        <f t="shared" ca="1" si="131"/>
        <v>3045.1925792003667</v>
      </c>
      <c r="AJ88" s="106">
        <f t="shared" ca="1" si="131"/>
        <v>3243.6262071260066</v>
      </c>
      <c r="AK88" s="106">
        <f t="shared" ca="1" si="131"/>
        <v>3450.4528231602644</v>
      </c>
      <c r="AL88" s="106">
        <f t="shared" ca="1" si="131"/>
        <v>3665.9740328952962</v>
      </c>
      <c r="AM88" s="106">
        <f ca="1">+AM86*AM92</f>
        <v>3908.4556406760316</v>
      </c>
      <c r="AN88" s="7"/>
    </row>
    <row r="89" spans="1:44"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1:44">
      <c r="D90" t="s">
        <v>269</v>
      </c>
      <c r="L90" s="81">
        <v>1817</v>
      </c>
      <c r="M90" s="81">
        <v>1808</v>
      </c>
      <c r="N90" s="81">
        <v>1903</v>
      </c>
      <c r="O90" s="76">
        <f>+O88/O71*1000</f>
        <v>1878.3598943919583</v>
      </c>
      <c r="P90" s="76">
        <f>+P88/P71*1000</f>
        <v>1865.3119708219356</v>
      </c>
      <c r="Q90" s="76">
        <f t="shared" ref="Q90:V90" si="132">+Q88/Q71*1000</f>
        <v>2071.800385854971</v>
      </c>
      <c r="R90" s="76">
        <f t="shared" si="132"/>
        <v>2155.5804039062955</v>
      </c>
      <c r="S90" s="76">
        <f t="shared" si="132"/>
        <v>2177.5142128994316</v>
      </c>
      <c r="T90" s="76">
        <f t="shared" si="132"/>
        <v>2169.8441911160348</v>
      </c>
      <c r="U90" s="76">
        <f t="shared" si="132"/>
        <v>2170.8807068884048</v>
      </c>
      <c r="V90" s="76">
        <f t="shared" si="132"/>
        <v>2178.4977038617026</v>
      </c>
      <c r="W90" s="76">
        <f t="shared" ref="W90:AB90" si="133">+W88/W71*1000</f>
        <v>2159.255148918598</v>
      </c>
      <c r="X90" s="76">
        <f t="shared" si="133"/>
        <v>2162.5398111706645</v>
      </c>
      <c r="Y90" s="76">
        <f t="shared" si="133"/>
        <v>2172.6596369845547</v>
      </c>
      <c r="Z90" s="76">
        <f t="shared" si="133"/>
        <v>2174.6125632709845</v>
      </c>
      <c r="AA90" s="76">
        <f t="shared" si="133"/>
        <v>2185.9387009992311</v>
      </c>
      <c r="AB90" s="76">
        <f t="shared" si="133"/>
        <v>2113.2867467700194</v>
      </c>
      <c r="AC90" s="76">
        <f t="shared" ref="AC90:AL90" ca="1" si="134">+AC88/AC71*1000</f>
        <v>2179.2854587499996</v>
      </c>
      <c r="AD90" s="76">
        <f t="shared" ca="1" si="134"/>
        <v>2184.4612617145312</v>
      </c>
      <c r="AE90" s="76">
        <f t="shared" ca="1" si="134"/>
        <v>2189.6493572111026</v>
      </c>
      <c r="AF90" s="76">
        <f t="shared" ca="1" si="134"/>
        <v>2194.8497744344786</v>
      </c>
      <c r="AG90" s="76">
        <f t="shared" ca="1" si="134"/>
        <v>2200.0625426487604</v>
      </c>
      <c r="AH90" s="76">
        <f t="shared" ca="1" si="134"/>
        <v>2205.2876911875519</v>
      </c>
      <c r="AI90" s="76">
        <f t="shared" ca="1" si="134"/>
        <v>2210.5252494541223</v>
      </c>
      <c r="AJ90" s="76">
        <f t="shared" ca="1" si="134"/>
        <v>2215.7752469215757</v>
      </c>
      <c r="AK90" s="76">
        <f t="shared" ca="1" si="134"/>
        <v>2221.0377131330138</v>
      </c>
      <c r="AL90" s="76">
        <f t="shared" ca="1" si="134"/>
        <v>2226.3126777017046</v>
      </c>
      <c r="AM90" s="76">
        <f ca="1">+AM88/AM71*1000</f>
        <v>2231.6001703112461</v>
      </c>
      <c r="AO90" s="314">
        <f t="shared" ref="AO90" ca="1" si="135">(AL90/AB90)^(1/10)-1</f>
        <v>5.2238242125202117E-3</v>
      </c>
      <c r="AP90" s="314">
        <f t="shared" ref="AP90" si="136">(AB90/L90)^(1/16)-1</f>
        <v>9.485810673517614E-3</v>
      </c>
      <c r="AQ90" s="314">
        <f t="shared" ref="AQ90" si="137">(AA90/Q90)^(1/10)-1</f>
        <v>5.3771418962167417E-3</v>
      </c>
      <c r="AR90" s="314">
        <f t="shared" ref="AR90" ca="1" si="138">(AL90/AA90)^(1/11)-1</f>
        <v>1.6651449467706136E-3</v>
      </c>
    </row>
    <row r="91" spans="1:44" s="64" customFormat="1">
      <c r="A91" s="254"/>
      <c r="D91" s="255" t="s">
        <v>512</v>
      </c>
      <c r="L91" s="256"/>
      <c r="M91" s="298">
        <f t="shared" ref="M91" si="139">+M90/L90-1</f>
        <v>-4.953219592735314E-3</v>
      </c>
      <c r="N91" s="298">
        <f t="shared" ref="N91" si="140">+N90/M90-1</f>
        <v>5.2544247787610576E-2</v>
      </c>
      <c r="O91" s="298">
        <f t="shared" ref="O91" si="141">+O90/N90-1</f>
        <v>-1.2948032374167973E-2</v>
      </c>
      <c r="P91" s="298">
        <f t="shared" ref="P91" si="142">+P90/O90-1</f>
        <v>-6.9464449326130939E-3</v>
      </c>
      <c r="Q91" s="298">
        <f t="shared" ref="Q91" si="143">+Q90/P90-1</f>
        <v>0.110699131439149</v>
      </c>
      <c r="R91" s="298">
        <f t="shared" ref="R91" si="144">+R90/Q90-1</f>
        <v>4.0438267423505092E-2</v>
      </c>
      <c r="S91" s="298">
        <f t="shared" ref="S91" si="145">+S90/R90-1</f>
        <v>1.0175361101533609E-2</v>
      </c>
      <c r="T91" s="298">
        <f t="shared" ref="T91" si="146">+T90/S90-1</f>
        <v>-3.5223750724381331E-3</v>
      </c>
      <c r="U91" s="298">
        <f t="shared" ref="U91" si="147">+U90/T90-1</f>
        <v>4.7769133683139842E-4</v>
      </c>
      <c r="V91" s="298">
        <f t="shared" ref="V91" si="148">+V90/U90-1</f>
        <v>3.5087128229240871E-3</v>
      </c>
      <c r="W91" s="298">
        <f t="shared" ref="W91" si="149">+W90/V90-1</f>
        <v>-8.8329470850460057E-3</v>
      </c>
      <c r="X91" s="298">
        <f t="shared" ref="X91" si="150">+X90/W90-1</f>
        <v>1.5212015373502474E-3</v>
      </c>
      <c r="Y91" s="298">
        <f t="shared" ref="Y91" si="151">+Y90/X90-1</f>
        <v>4.6796020871457955E-3</v>
      </c>
      <c r="Z91" s="298">
        <f t="shared" ref="Z91" si="152">+Z90/Y90-1</f>
        <v>8.9886434726627051E-4</v>
      </c>
      <c r="AA91" s="298">
        <f t="shared" ref="AA91" si="153">+AA90/Z90-1</f>
        <v>5.2083474176245481E-3</v>
      </c>
      <c r="AB91" s="298">
        <f t="shared" ref="AB91" si="154">+AB90/AA90-1</f>
        <v>-3.3236043717054464E-2</v>
      </c>
      <c r="AC91" s="298">
        <f t="shared" ref="AC91" ca="1" si="155">+AC90/AB90-1</f>
        <v>3.1230362884191454E-2</v>
      </c>
      <c r="AD91" s="298">
        <f t="shared" ref="AD91" ca="1" si="156">+AD90/AC90-1</f>
        <v>2.375000000000238E-3</v>
      </c>
      <c r="AE91" s="298">
        <f t="shared" ref="AE91" ca="1" si="157">+AE90/AD90-1</f>
        <v>2.3749999999997939E-3</v>
      </c>
      <c r="AF91" s="298">
        <f t="shared" ref="AF91" ca="1" si="158">+AF90/AE90-1</f>
        <v>2.3749999999997939E-3</v>
      </c>
      <c r="AG91" s="298">
        <f t="shared" ref="AG91" ca="1" si="159">+AG90/AF90-1</f>
        <v>2.375000000000016E-3</v>
      </c>
      <c r="AH91" s="298">
        <f t="shared" ref="AH91" ca="1" si="160">+AH90/AG90-1</f>
        <v>2.375000000000238E-3</v>
      </c>
      <c r="AI91" s="298">
        <f t="shared" ref="AI91" ca="1" si="161">+AI90/AH90-1</f>
        <v>2.375000000000016E-3</v>
      </c>
      <c r="AJ91" s="298">
        <f t="shared" ref="AJ91" ca="1" si="162">+AJ90/AI90-1</f>
        <v>2.375000000000016E-3</v>
      </c>
      <c r="AK91" s="298">
        <f t="shared" ref="AK91" ca="1" si="163">+AK90/AJ90-1</f>
        <v>2.3749999999997939E-3</v>
      </c>
      <c r="AL91" s="298">
        <f t="shared" ref="AL91" ca="1" si="164">+AL90/AK90-1</f>
        <v>2.375000000000016E-3</v>
      </c>
      <c r="AM91" s="298">
        <f t="shared" ref="AM91" ca="1" si="165">+AM90/AL90-1</f>
        <v>2.375000000000016E-3</v>
      </c>
    </row>
    <row r="92" spans="1:44">
      <c r="D92" t="s">
        <v>171</v>
      </c>
      <c r="L92" s="41">
        <f>+L88/L86</f>
        <v>0.11508212148503953</v>
      </c>
      <c r="M92" s="41">
        <f>+M88/M86</f>
        <v>0.10984794584285204</v>
      </c>
      <c r="N92" s="41">
        <f>+N88/N86</f>
        <v>0.10920701590382781</v>
      </c>
      <c r="O92" s="41">
        <f>+O88/O86</f>
        <v>0.10753797823744556</v>
      </c>
      <c r="P92" s="41">
        <f>+P88/P86</f>
        <v>0.11323738731614739</v>
      </c>
      <c r="Q92" s="41">
        <f t="shared" ref="Q92:V92" si="166">+Q88/Q86</f>
        <v>0.1194871049529254</v>
      </c>
      <c r="R92" s="41">
        <f t="shared" si="166"/>
        <v>0.11844660194174757</v>
      </c>
      <c r="S92" s="41">
        <f t="shared" si="166"/>
        <v>0.11353153866792728</v>
      </c>
      <c r="T92" s="41">
        <f t="shared" si="166"/>
        <v>0.11106665142334515</v>
      </c>
      <c r="U92" s="41">
        <f t="shared" si="166"/>
        <v>0.11099036511648216</v>
      </c>
      <c r="V92" s="41">
        <f t="shared" si="166"/>
        <v>0.10865561694290976</v>
      </c>
      <c r="W92" s="41">
        <f t="shared" ref="W92:AB92" si="167">+W88/W86</f>
        <v>0.10760969178577745</v>
      </c>
      <c r="X92" s="41">
        <f t="shared" si="167"/>
        <v>0.10939136594151024</v>
      </c>
      <c r="Y92" s="41">
        <f t="shared" si="167"/>
        <v>0.10891859592562741</v>
      </c>
      <c r="Z92" s="41">
        <f t="shared" si="167"/>
        <v>0.10734340398608036</v>
      </c>
      <c r="AA92" s="41">
        <f t="shared" si="167"/>
        <v>0.10600774629430093</v>
      </c>
      <c r="AB92" s="41">
        <f t="shared" si="167"/>
        <v>0.10112009164386178</v>
      </c>
      <c r="AC92" s="79">
        <v>0.10299999999999999</v>
      </c>
      <c r="AD92" s="79">
        <f>+AC92*0.99</f>
        <v>0.10196999999999999</v>
      </c>
      <c r="AE92" s="79">
        <f t="shared" ref="AE92:AM92" si="168">+AD92*0.99</f>
        <v>0.10095029999999999</v>
      </c>
      <c r="AF92" s="79">
        <f t="shared" si="168"/>
        <v>9.9940796999999998E-2</v>
      </c>
      <c r="AG92" s="79">
        <f t="shared" si="168"/>
        <v>9.8941389029999993E-2</v>
      </c>
      <c r="AH92" s="79">
        <f t="shared" si="168"/>
        <v>9.7951975139699998E-2</v>
      </c>
      <c r="AI92" s="79">
        <f t="shared" si="168"/>
        <v>9.6972455388303E-2</v>
      </c>
      <c r="AJ92" s="79">
        <f t="shared" si="168"/>
        <v>9.6002730834419972E-2</v>
      </c>
      <c r="AK92" s="79">
        <f t="shared" si="168"/>
        <v>9.5042703526075772E-2</v>
      </c>
      <c r="AL92" s="79">
        <f t="shared" si="168"/>
        <v>9.4092276490815016E-2</v>
      </c>
      <c r="AM92" s="79">
        <f t="shared" si="168"/>
        <v>9.3151353725906869E-2</v>
      </c>
    </row>
    <row r="93" spans="1:44"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44">
      <c r="D94" s="210" t="s">
        <v>245</v>
      </c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6"/>
      <c r="S94" s="206"/>
      <c r="T94" s="206"/>
      <c r="U94" s="206"/>
      <c r="V94" s="206"/>
      <c r="W94" s="206"/>
      <c r="X94" s="206"/>
      <c r="Y94" s="206"/>
      <c r="Z94" s="211"/>
      <c r="AA94" s="211"/>
      <c r="AB94" s="211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</row>
    <row r="95" spans="1:44">
      <c r="D95" t="s">
        <v>247</v>
      </c>
      <c r="G95" s="76"/>
      <c r="H95" s="76"/>
      <c r="I95" s="76"/>
      <c r="J95" s="76"/>
      <c r="K95" s="76"/>
      <c r="L95" s="81">
        <v>155.393</v>
      </c>
      <c r="M95" s="81">
        <v>179.548</v>
      </c>
      <c r="N95" s="81">
        <v>208.959</v>
      </c>
      <c r="O95" s="81">
        <v>222.40600000000001</v>
      </c>
      <c r="P95" s="81">
        <v>194.08099999999999</v>
      </c>
      <c r="Q95" s="81">
        <v>197.38200000000001</v>
      </c>
      <c r="R95" s="81">
        <v>263.06099999999998</v>
      </c>
      <c r="S95" s="81">
        <v>316.649</v>
      </c>
      <c r="T95" s="81">
        <v>324.779</v>
      </c>
      <c r="U95" s="81">
        <v>342.57600000000002</v>
      </c>
      <c r="V95" s="81">
        <v>376.18599999999998</v>
      </c>
      <c r="W95" s="81">
        <v>394.43700000000001</v>
      </c>
      <c r="X95" s="81">
        <v>391.68599999999998</v>
      </c>
      <c r="Y95" s="81">
        <v>408.50900000000001</v>
      </c>
      <c r="Z95" s="81">
        <v>447.49099999999999</v>
      </c>
      <c r="AA95" s="81">
        <v>466.17700000000002</v>
      </c>
      <c r="AB95" s="81">
        <v>426.26799999999997</v>
      </c>
      <c r="AC95" s="92">
        <f ca="1">(AC71/(1-AC97))*AC97</f>
        <v>538.89710268972794</v>
      </c>
      <c r="AD95" s="92">
        <f t="shared" ref="AD95:AM95" ca="1" si="169">(AD71/(1-AD97))*AD97</f>
        <v>586.02037815239635</v>
      </c>
      <c r="AE95" s="92">
        <f t="shared" ca="1" si="169"/>
        <v>636.70390551401181</v>
      </c>
      <c r="AF95" s="92">
        <f t="shared" ca="1" si="169"/>
        <v>696.59356517610809</v>
      </c>
      <c r="AG95" s="92">
        <f t="shared" ca="1" si="169"/>
        <v>760.98667214166676</v>
      </c>
      <c r="AH95" s="92">
        <f t="shared" ca="1" si="169"/>
        <v>830.56079455464885</v>
      </c>
      <c r="AI95" s="92">
        <f t="shared" ca="1" si="169"/>
        <v>905.5740288656433</v>
      </c>
      <c r="AJ95" s="92">
        <f t="shared" ca="1" si="169"/>
        <v>986.45981034254714</v>
      </c>
      <c r="AK95" s="92">
        <f t="shared" ca="1" si="169"/>
        <v>1073.42744272287</v>
      </c>
      <c r="AL95" s="92">
        <f t="shared" ca="1" si="169"/>
        <v>1166.934518789277</v>
      </c>
      <c r="AM95" s="92">
        <f t="shared" ca="1" si="169"/>
        <v>1273.32533878714</v>
      </c>
      <c r="AN95" s="7"/>
      <c r="AO95" s="314">
        <f t="shared" ref="AO95" ca="1" si="170">(AL95/AB95)^(1/10)-1</f>
        <v>0.10595224755041799</v>
      </c>
      <c r="AP95" s="314">
        <f t="shared" ref="AP95" si="171">(AB95/L95)^(1/16)-1</f>
        <v>6.510078558472876E-2</v>
      </c>
      <c r="AQ95" s="314">
        <f t="shared" ref="AQ95" si="172">(AA95/Q95)^(1/10)-1</f>
        <v>8.9743606623353678E-2</v>
      </c>
      <c r="AR95" s="314">
        <f t="shared" ref="AR95" ca="1" si="173">(AL95/AA95)^(1/11)-1</f>
        <v>8.6993323876665585E-2</v>
      </c>
    </row>
    <row r="96" spans="1:44">
      <c r="D96" t="s">
        <v>251</v>
      </c>
      <c r="G96" s="76"/>
      <c r="H96" s="76"/>
      <c r="I96" s="76"/>
      <c r="J96" s="76"/>
      <c r="K96" s="76"/>
      <c r="L96" s="246" t="str">
        <f>IFERROR(L95/K95-1,"na")</f>
        <v>na</v>
      </c>
      <c r="M96" s="246">
        <f t="shared" ref="M96:AA96" si="174">IFERROR(M95/L95-1,"na")</f>
        <v>0.15544458244579862</v>
      </c>
      <c r="N96" s="246">
        <f t="shared" si="174"/>
        <v>0.1638057789560452</v>
      </c>
      <c r="O96" s="246">
        <f t="shared" si="174"/>
        <v>6.4352337061337472E-2</v>
      </c>
      <c r="P96" s="246">
        <f t="shared" si="174"/>
        <v>-0.12735717561576587</v>
      </c>
      <c r="Q96" s="246">
        <f t="shared" si="174"/>
        <v>1.7008362487827222E-2</v>
      </c>
      <c r="R96" s="246">
        <f t="shared" si="174"/>
        <v>0.3327507067513753</v>
      </c>
      <c r="S96" s="246">
        <f t="shared" si="174"/>
        <v>0.20370940580321695</v>
      </c>
      <c r="T96" s="246">
        <f t="shared" si="174"/>
        <v>2.56751166117688E-2</v>
      </c>
      <c r="U96" s="246">
        <f t="shared" si="174"/>
        <v>5.4797262138254199E-2</v>
      </c>
      <c r="V96" s="246">
        <f t="shared" si="174"/>
        <v>9.8109616552239265E-2</v>
      </c>
      <c r="W96" s="246">
        <f t="shared" si="174"/>
        <v>4.8515893733419135E-2</v>
      </c>
      <c r="X96" s="246">
        <f t="shared" si="174"/>
        <v>-6.9744978285506409E-3</v>
      </c>
      <c r="Y96" s="246">
        <f t="shared" si="174"/>
        <v>4.295022032954976E-2</v>
      </c>
      <c r="Z96" s="246">
        <f t="shared" si="174"/>
        <v>9.5425070194291806E-2</v>
      </c>
      <c r="AA96" s="246">
        <f t="shared" si="174"/>
        <v>4.1757264391909743E-2</v>
      </c>
      <c r="AB96" s="246">
        <f>IFERROR(AB95/AA95-1,"na")</f>
        <v>-8.5609114134760023E-2</v>
      </c>
      <c r="AC96" s="246">
        <f t="shared" ref="AC96:AM96" ca="1" si="175">IFERROR(AC95/AB95-1,"na")</f>
        <v>0.26422134124477559</v>
      </c>
      <c r="AD96" s="246">
        <f t="shared" ca="1" si="175"/>
        <v>8.7443920606490533E-2</v>
      </c>
      <c r="AE96" s="246">
        <f t="shared" ca="1" si="175"/>
        <v>8.6487653418146238E-2</v>
      </c>
      <c r="AF96" s="246">
        <f t="shared" ca="1" si="175"/>
        <v>9.4062026545521649E-2</v>
      </c>
      <c r="AG96" s="246">
        <f t="shared" ca="1" si="175"/>
        <v>9.243999684274895E-2</v>
      </c>
      <c r="AH96" s="246">
        <f t="shared" ca="1" si="175"/>
        <v>9.1426203585376342E-2</v>
      </c>
      <c r="AI96" s="246">
        <f t="shared" ca="1" si="175"/>
        <v>9.0316367932123498E-2</v>
      </c>
      <c r="AJ96" s="246">
        <f t="shared" ca="1" si="175"/>
        <v>8.9319899752673404E-2</v>
      </c>
      <c r="AK96" s="246">
        <f t="shared" ca="1" si="175"/>
        <v>8.8161353831661238E-2</v>
      </c>
      <c r="AL96" s="246">
        <f t="shared" ca="1" si="175"/>
        <v>8.7110756018325519E-2</v>
      </c>
      <c r="AM96" s="246">
        <f t="shared" ca="1" si="175"/>
        <v>9.1171199655869284E-2</v>
      </c>
      <c r="AN96" s="7"/>
    </row>
    <row r="97" spans="1:44">
      <c r="D97" t="s">
        <v>520</v>
      </c>
      <c r="G97" s="76"/>
      <c r="H97" s="76"/>
      <c r="I97" s="76"/>
      <c r="J97" s="76"/>
      <c r="K97" s="76"/>
      <c r="L97" s="246">
        <f>+L95/(L71+L95)</f>
        <v>0.38034222551834362</v>
      </c>
      <c r="M97" s="246">
        <f t="shared" ref="M97:AB97" si="176">+M95/(M71+M95)</f>
        <v>0.38247599246755681</v>
      </c>
      <c r="N97" s="246">
        <f t="shared" si="176"/>
        <v>0.38272281035935379</v>
      </c>
      <c r="O97" s="246">
        <f t="shared" si="176"/>
        <v>0.37089302092887511</v>
      </c>
      <c r="P97" s="246">
        <f t="shared" si="176"/>
        <v>0.35971168352652044</v>
      </c>
      <c r="Q97" s="246">
        <f t="shared" si="176"/>
        <v>0.35595687010717553</v>
      </c>
      <c r="R97" s="246">
        <f t="shared" si="176"/>
        <v>0.39903555902081478</v>
      </c>
      <c r="S97" s="246">
        <f t="shared" si="176"/>
        <v>0.43692055927112061</v>
      </c>
      <c r="T97" s="246">
        <f t="shared" si="176"/>
        <v>0.42042208031771877</v>
      </c>
      <c r="U97" s="246">
        <f t="shared" si="176"/>
        <v>0.39398968378560217</v>
      </c>
      <c r="V97" s="246">
        <f t="shared" si="176"/>
        <v>0.3924867601213603</v>
      </c>
      <c r="W97" s="246">
        <f t="shared" si="176"/>
        <v>0.38884808645340518</v>
      </c>
      <c r="X97" s="246">
        <f t="shared" si="176"/>
        <v>0.36847918116991851</v>
      </c>
      <c r="Y97" s="246">
        <f t="shared" si="176"/>
        <v>0.36150567113354531</v>
      </c>
      <c r="Z97" s="246">
        <f t="shared" si="176"/>
        <v>0.37401500436289964</v>
      </c>
      <c r="AA97" s="246">
        <f t="shared" si="176"/>
        <v>0.35892431343291625</v>
      </c>
      <c r="AB97" s="246">
        <f t="shared" si="176"/>
        <v>0.3618174564776383</v>
      </c>
      <c r="AC97" s="244">
        <v>0.36499999999999999</v>
      </c>
      <c r="AD97" s="244">
        <v>0.37</v>
      </c>
      <c r="AE97" s="244">
        <f>+AD97*1.01</f>
        <v>0.37369999999999998</v>
      </c>
      <c r="AF97" s="244">
        <f>+AE97*1.015</f>
        <v>0.37930549999999996</v>
      </c>
      <c r="AG97" s="244">
        <f t="shared" ref="AG97:AM97" si="177">+AF97*1.015</f>
        <v>0.38499508249999992</v>
      </c>
      <c r="AH97" s="244">
        <f t="shared" si="177"/>
        <v>0.3907700087374999</v>
      </c>
      <c r="AI97" s="244">
        <f t="shared" si="177"/>
        <v>0.39663155886856238</v>
      </c>
      <c r="AJ97" s="244">
        <f t="shared" si="177"/>
        <v>0.40258103225159075</v>
      </c>
      <c r="AK97" s="244">
        <f t="shared" si="177"/>
        <v>0.40861974773536458</v>
      </c>
      <c r="AL97" s="244">
        <f t="shared" si="177"/>
        <v>0.414749043951395</v>
      </c>
      <c r="AM97" s="244">
        <f t="shared" si="177"/>
        <v>0.42097027961066591</v>
      </c>
      <c r="AN97" s="7"/>
    </row>
    <row r="98" spans="1:44">
      <c r="G98" s="76"/>
      <c r="H98" s="76"/>
      <c r="I98" s="76"/>
      <c r="J98" s="76"/>
      <c r="K98" s="76"/>
      <c r="L98" s="81"/>
      <c r="M98" s="81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7"/>
    </row>
    <row r="99" spans="1:44">
      <c r="D99" t="s">
        <v>521</v>
      </c>
      <c r="G99" s="76"/>
      <c r="H99" s="76"/>
      <c r="I99" s="76"/>
      <c r="J99" s="76"/>
      <c r="K99" s="76"/>
      <c r="L99" s="81"/>
      <c r="M99" s="81"/>
      <c r="N99" s="76"/>
      <c r="O99" s="81"/>
      <c r="P99" s="81">
        <v>9000</v>
      </c>
      <c r="Q99" s="81">
        <v>9100</v>
      </c>
      <c r="R99" s="81">
        <v>8400</v>
      </c>
      <c r="S99" s="81">
        <v>8000</v>
      </c>
      <c r="T99" s="81">
        <v>8200</v>
      </c>
      <c r="U99" s="81">
        <v>8700</v>
      </c>
      <c r="V99" s="81">
        <v>9200</v>
      </c>
      <c r="W99" s="81">
        <v>9900</v>
      </c>
      <c r="X99" s="81">
        <v>10600</v>
      </c>
      <c r="Y99" s="81">
        <v>11100</v>
      </c>
      <c r="Z99" s="81">
        <v>11500</v>
      </c>
      <c r="AA99" s="81">
        <v>12000</v>
      </c>
      <c r="AB99" s="81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7"/>
    </row>
    <row r="100" spans="1:44">
      <c r="D100" t="s">
        <v>522</v>
      </c>
      <c r="G100" s="76"/>
      <c r="H100" s="76"/>
      <c r="I100" s="76"/>
      <c r="J100" s="76"/>
      <c r="K100" s="76"/>
      <c r="L100" s="246"/>
      <c r="M100" s="246"/>
      <c r="N100" s="246"/>
      <c r="O100" s="246"/>
      <c r="P100" s="246">
        <f t="shared" ref="P100:Z100" si="178">+P95/P99</f>
        <v>2.1564555555555556E-2</v>
      </c>
      <c r="Q100" s="246">
        <f t="shared" si="178"/>
        <v>2.1690329670329671E-2</v>
      </c>
      <c r="R100" s="246">
        <f t="shared" si="178"/>
        <v>3.1316785714285714E-2</v>
      </c>
      <c r="S100" s="246">
        <f t="shared" si="178"/>
        <v>3.9581125000000002E-2</v>
      </c>
      <c r="T100" s="246">
        <f t="shared" si="178"/>
        <v>3.9607195121951218E-2</v>
      </c>
      <c r="U100" s="246">
        <f t="shared" si="178"/>
        <v>3.9376551724137933E-2</v>
      </c>
      <c r="V100" s="246">
        <f t="shared" si="178"/>
        <v>4.0889782608695649E-2</v>
      </c>
      <c r="W100" s="246">
        <f t="shared" si="178"/>
        <v>3.9842121212121211E-2</v>
      </c>
      <c r="X100" s="246">
        <f t="shared" si="178"/>
        <v>3.6951509433962262E-2</v>
      </c>
      <c r="Y100" s="246">
        <f t="shared" si="178"/>
        <v>3.6802612612612612E-2</v>
      </c>
      <c r="Z100" s="246">
        <f t="shared" si="178"/>
        <v>3.8912260869565216E-2</v>
      </c>
      <c r="AA100" s="246">
        <f>+AA95/AA99</f>
        <v>3.8848083333333332E-2</v>
      </c>
      <c r="AB100" s="246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7"/>
    </row>
    <row r="101" spans="1:44"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7"/>
    </row>
    <row r="102" spans="1:44">
      <c r="B102"/>
      <c r="D102" s="226" t="s">
        <v>267</v>
      </c>
      <c r="L102" s="190">
        <v>3712</v>
      </c>
      <c r="M102" s="190">
        <v>4233</v>
      </c>
      <c r="N102" s="190">
        <v>4286</v>
      </c>
      <c r="O102" s="190">
        <v>4319</v>
      </c>
      <c r="P102" s="190">
        <v>3902</v>
      </c>
      <c r="Q102" s="190">
        <v>4155</v>
      </c>
      <c r="R102" s="190">
        <v>4816</v>
      </c>
      <c r="S102" s="190">
        <v>5291</v>
      </c>
      <c r="T102" s="190">
        <v>5268</v>
      </c>
      <c r="U102" s="190">
        <v>5160</v>
      </c>
      <c r="V102" s="190">
        <v>5273</v>
      </c>
      <c r="W102" s="190">
        <v>5327</v>
      </c>
      <c r="X102" s="190">
        <v>5106</v>
      </c>
      <c r="Y102" s="190">
        <v>5102</v>
      </c>
      <c r="Z102" s="190">
        <v>5098</v>
      </c>
      <c r="AA102" s="190">
        <v>5089</v>
      </c>
      <c r="AB102" s="190">
        <v>5957</v>
      </c>
      <c r="AC102" s="92">
        <f t="shared" ref="AC102:AM102" si="179">+AB102*(1+AC103)</f>
        <v>5361.3</v>
      </c>
      <c r="AD102" s="92">
        <f t="shared" si="179"/>
        <v>5254.0740000000005</v>
      </c>
      <c r="AE102" s="92">
        <f t="shared" si="179"/>
        <v>5254.0740000000005</v>
      </c>
      <c r="AF102" s="92">
        <f t="shared" si="179"/>
        <v>5306.6147400000009</v>
      </c>
      <c r="AG102" s="92">
        <f t="shared" si="179"/>
        <v>5359.6808874000008</v>
      </c>
      <c r="AH102" s="92">
        <f t="shared" si="179"/>
        <v>5413.2776962740008</v>
      </c>
      <c r="AI102" s="92">
        <f t="shared" si="179"/>
        <v>5467.4104732367405</v>
      </c>
      <c r="AJ102" s="92">
        <f t="shared" si="179"/>
        <v>5522.0845779691081</v>
      </c>
      <c r="AK102" s="92">
        <f t="shared" si="179"/>
        <v>5577.3054237487995</v>
      </c>
      <c r="AL102" s="92">
        <f t="shared" si="179"/>
        <v>5633.0784779862879</v>
      </c>
      <c r="AM102" s="92">
        <f t="shared" si="179"/>
        <v>5689.4092627661512</v>
      </c>
      <c r="AO102" s="314">
        <f t="shared" ref="AO102" si="180">(AL102/AB102)^(1/10)-1</f>
        <v>-5.5754896418935829E-3</v>
      </c>
      <c r="AP102" s="314">
        <f t="shared" ref="AP102" si="181">(AB102/L102)^(1/16)-1</f>
        <v>3.0003563024514124E-2</v>
      </c>
      <c r="AQ102" s="314">
        <f t="shared" ref="AQ102" si="182">(AA102/Q102)^(1/10)-1</f>
        <v>2.0483864657301343E-2</v>
      </c>
      <c r="AR102" s="314">
        <f t="shared" ref="AR102" si="183">(AL102/AA102)^(1/11)-1</f>
        <v>9.2768331742105747E-3</v>
      </c>
    </row>
    <row r="103" spans="1:44" s="64" customFormat="1">
      <c r="A103" s="254"/>
      <c r="D103" s="255" t="s">
        <v>368</v>
      </c>
      <c r="L103" s="256"/>
      <c r="M103" s="256">
        <f t="shared" ref="M103:AB103" si="184">+M102/L102-1</f>
        <v>0.1403556034482758</v>
      </c>
      <c r="N103" s="256">
        <f t="shared" si="184"/>
        <v>1.2520670918970023E-2</v>
      </c>
      <c r="O103" s="256">
        <f t="shared" si="184"/>
        <v>7.6994867008866041E-3</v>
      </c>
      <c r="P103" s="256">
        <f t="shared" si="184"/>
        <v>-9.6550127344292691E-2</v>
      </c>
      <c r="Q103" s="256">
        <f t="shared" si="184"/>
        <v>6.4838544336237813E-2</v>
      </c>
      <c r="R103" s="256">
        <f t="shared" si="184"/>
        <v>0.15908543922984353</v>
      </c>
      <c r="S103" s="256">
        <f t="shared" si="184"/>
        <v>9.8629568106312293E-2</v>
      </c>
      <c r="T103" s="256">
        <f t="shared" si="184"/>
        <v>-4.3470043470043018E-3</v>
      </c>
      <c r="U103" s="256">
        <f t="shared" si="184"/>
        <v>-2.0501138952163989E-2</v>
      </c>
      <c r="V103" s="256">
        <f t="shared" si="184"/>
        <v>2.1899224806201545E-2</v>
      </c>
      <c r="W103" s="256">
        <f t="shared" si="184"/>
        <v>1.0240849611226954E-2</v>
      </c>
      <c r="X103" s="256">
        <f t="shared" si="184"/>
        <v>-4.1486765534071712E-2</v>
      </c>
      <c r="Y103" s="256">
        <f t="shared" si="184"/>
        <v>-7.8339208773992031E-4</v>
      </c>
      <c r="Z103" s="256">
        <f t="shared" si="184"/>
        <v>-7.8400627205021944E-4</v>
      </c>
      <c r="AA103" s="256">
        <f t="shared" si="184"/>
        <v>-1.7653981953706932E-3</v>
      </c>
      <c r="AB103" s="256">
        <f t="shared" si="184"/>
        <v>0.17056396148555719</v>
      </c>
      <c r="AC103" s="347">
        <v>-0.1</v>
      </c>
      <c r="AD103" s="347">
        <v>-0.02</v>
      </c>
      <c r="AE103" s="347">
        <v>0</v>
      </c>
      <c r="AF103" s="347">
        <v>0.01</v>
      </c>
      <c r="AG103" s="347">
        <f t="shared" ref="AG103:AM103" si="185">+AF103</f>
        <v>0.01</v>
      </c>
      <c r="AH103" s="347">
        <f t="shared" si="185"/>
        <v>0.01</v>
      </c>
      <c r="AI103" s="347">
        <f t="shared" si="185"/>
        <v>0.01</v>
      </c>
      <c r="AJ103" s="347">
        <f t="shared" si="185"/>
        <v>0.01</v>
      </c>
      <c r="AK103" s="347">
        <f t="shared" si="185"/>
        <v>0.01</v>
      </c>
      <c r="AL103" s="347">
        <f t="shared" si="185"/>
        <v>0.01</v>
      </c>
      <c r="AM103" s="347">
        <f t="shared" si="185"/>
        <v>0.01</v>
      </c>
    </row>
    <row r="104" spans="1:44">
      <c r="B104"/>
      <c r="D104" s="226" t="s">
        <v>355</v>
      </c>
      <c r="L104" s="92">
        <f>L107-L102*L95/1000</f>
        <v>12.881184000000076</v>
      </c>
      <c r="M104" s="92">
        <f>M107-M102*M95/1000</f>
        <v>18.273315999999909</v>
      </c>
      <c r="N104" s="92">
        <f>N107-N102*N95/1000</f>
        <v>22.801726000000031</v>
      </c>
      <c r="O104" s="92">
        <f>O107-O102*O95/1000</f>
        <v>24.428485999999907</v>
      </c>
      <c r="P104" s="92">
        <f>P107-P102*P95/1000</f>
        <v>22.495938000000024</v>
      </c>
      <c r="Q104" s="92">
        <f t="shared" ref="Q104:AA104" si="186">Q107-Q102*Q95/1000</f>
        <v>24.777789999999982</v>
      </c>
      <c r="R104" s="92">
        <f t="shared" si="186"/>
        <v>34.798224000000118</v>
      </c>
      <c r="S104" s="92">
        <f t="shared" si="186"/>
        <v>46.210141000000021</v>
      </c>
      <c r="T104" s="92">
        <f t="shared" si="186"/>
        <v>48.664228000000094</v>
      </c>
      <c r="U104" s="92">
        <f t="shared" si="186"/>
        <v>55.707840000000033</v>
      </c>
      <c r="V104" s="92">
        <f t="shared" si="186"/>
        <v>65.471221999999898</v>
      </c>
      <c r="W104" s="92">
        <f t="shared" si="186"/>
        <v>87.134101000000101</v>
      </c>
      <c r="X104" s="92">
        <f t="shared" si="186"/>
        <v>82.551284000000123</v>
      </c>
      <c r="Y104" s="92">
        <f t="shared" si="186"/>
        <v>96.987081999999646</v>
      </c>
      <c r="Z104" s="92">
        <f t="shared" si="186"/>
        <v>111.69088200000033</v>
      </c>
      <c r="AA104" s="92">
        <f t="shared" si="186"/>
        <v>127.62524699999994</v>
      </c>
      <c r="AB104" s="92">
        <f>AB107-AB102*AB95/1000</f>
        <v>129.52152400000023</v>
      </c>
      <c r="AC104" s="277">
        <f t="shared" ref="AC104:AL104" ca="1" si="187">AC102*AC95/1000*AC105</f>
        <v>156.01620797912369</v>
      </c>
      <c r="AD104" s="277">
        <f t="shared" ca="1" si="187"/>
        <v>169.59101333222273</v>
      </c>
      <c r="AE104" s="277">
        <f t="shared" ca="1" si="187"/>
        <v>187.94371295845488</v>
      </c>
      <c r="AF104" s="277">
        <f t="shared" ca="1" si="187"/>
        <v>211.83186627598664</v>
      </c>
      <c r="AG104" s="277">
        <f t="shared" ca="1" si="187"/>
        <v>238.40229414616954</v>
      </c>
      <c r="AH104" s="277">
        <f t="shared" ca="1" si="187"/>
        <v>268.05650585294319</v>
      </c>
      <c r="AI104" s="277">
        <f t="shared" ca="1" si="187"/>
        <v>301.09284101719413</v>
      </c>
      <c r="AJ104" s="277">
        <f t="shared" ca="1" si="187"/>
        <v>337.89161337956909</v>
      </c>
      <c r="AK104" s="277">
        <f t="shared" ca="1" si="187"/>
        <v>378.78454944647319</v>
      </c>
      <c r="AL104" s="277">
        <f t="shared" ca="1" si="187"/>
        <v>424.21653680590424</v>
      </c>
      <c r="AM104" s="277">
        <f ca="1">AM102*AM95/1000*AM105</f>
        <v>476.87223197524366</v>
      </c>
    </row>
    <row r="105" spans="1:44">
      <c r="B105"/>
      <c r="D105" s="226" t="s">
        <v>356</v>
      </c>
      <c r="L105" s="217">
        <f>+L104/(L107-L104)</f>
        <v>2.2331421310639209E-2</v>
      </c>
      <c r="M105" s="217">
        <f>+M104/(M107-M104)</f>
        <v>2.4042992679977941E-2</v>
      </c>
      <c r="N105" s="217">
        <f>+N104/(N107-N104)</f>
        <v>2.5459769923585215E-2</v>
      </c>
      <c r="O105" s="217">
        <f>+O104/(O107-O104)</f>
        <v>2.5431199701389337E-2</v>
      </c>
      <c r="P105" s="217">
        <f>+P104/(P107-P104)</f>
        <v>2.9705291611125711E-2</v>
      </c>
      <c r="Q105" s="217">
        <f t="shared" ref="Q105:AA105" si="188">+Q104/(Q107-Q104)</f>
        <v>3.0212314333006519E-2</v>
      </c>
      <c r="R105" s="217">
        <f t="shared" si="188"/>
        <v>2.7467183848986981E-2</v>
      </c>
      <c r="S105" s="217">
        <f t="shared" si="188"/>
        <v>2.7581724189008609E-2</v>
      </c>
      <c r="T105" s="217">
        <f t="shared" si="188"/>
        <v>2.8443047831721937E-2</v>
      </c>
      <c r="U105" s="217">
        <f t="shared" si="188"/>
        <v>3.1514446497290585E-2</v>
      </c>
      <c r="V105" s="217">
        <f t="shared" si="188"/>
        <v>3.3005783504518153E-2</v>
      </c>
      <c r="W105" s="217">
        <f t="shared" si="188"/>
        <v>4.1469405648297215E-2</v>
      </c>
      <c r="X105" s="217">
        <f t="shared" si="188"/>
        <v>4.127670041715216E-2</v>
      </c>
      <c r="Y105" s="217">
        <f t="shared" si="188"/>
        <v>4.6534152610985612E-2</v>
      </c>
      <c r="Z105" s="217">
        <f t="shared" si="188"/>
        <v>4.895911786734039E-2</v>
      </c>
      <c r="AA105" s="217">
        <f t="shared" si="188"/>
        <v>5.3796410891074738E-2</v>
      </c>
      <c r="AB105" s="217">
        <f>+AB104/(AB107-AB104)</f>
        <v>5.1007215326784122E-2</v>
      </c>
      <c r="AC105" s="52">
        <v>5.3999999999999999E-2</v>
      </c>
      <c r="AD105" s="52">
        <f>+AC105*1.02</f>
        <v>5.5079999999999997E-2</v>
      </c>
      <c r="AE105" s="52">
        <f t="shared" ref="AE105:AM105" si="189">+AD105*1.02</f>
        <v>5.6181599999999998E-2</v>
      </c>
      <c r="AF105" s="52">
        <f t="shared" si="189"/>
        <v>5.7305231999999998E-2</v>
      </c>
      <c r="AG105" s="52">
        <f t="shared" si="189"/>
        <v>5.8451336639999997E-2</v>
      </c>
      <c r="AH105" s="52">
        <f t="shared" si="189"/>
        <v>5.9620363372799995E-2</v>
      </c>
      <c r="AI105" s="52">
        <f t="shared" si="189"/>
        <v>6.0812770640255996E-2</v>
      </c>
      <c r="AJ105" s="52">
        <f t="shared" si="189"/>
        <v>6.2029026053061119E-2</v>
      </c>
      <c r="AK105" s="52">
        <f t="shared" si="189"/>
        <v>6.3269606574122339E-2</v>
      </c>
      <c r="AL105" s="52">
        <f t="shared" si="189"/>
        <v>6.4534998705604793E-2</v>
      </c>
      <c r="AM105" s="52">
        <f t="shared" si="189"/>
        <v>6.5825698679716896E-2</v>
      </c>
    </row>
    <row r="106" spans="1:44">
      <c r="B10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</row>
    <row r="107" spans="1:44">
      <c r="D107" t="s">
        <v>217</v>
      </c>
      <c r="L107" s="76">
        <f t="shared" ref="L107:AA107" si="190">+L53</f>
        <v>589.70000000000005</v>
      </c>
      <c r="M107" s="76">
        <f t="shared" si="190"/>
        <v>778.3</v>
      </c>
      <c r="N107" s="76">
        <f t="shared" si="190"/>
        <v>918.4</v>
      </c>
      <c r="O107" s="76">
        <f t="shared" si="190"/>
        <v>985</v>
      </c>
      <c r="P107" s="76">
        <f t="shared" si="190"/>
        <v>779.8</v>
      </c>
      <c r="Q107" s="76">
        <f t="shared" si="190"/>
        <v>844.9</v>
      </c>
      <c r="R107" s="76">
        <f t="shared" si="190"/>
        <v>1301.7</v>
      </c>
      <c r="S107" s="76">
        <f t="shared" si="190"/>
        <v>1721.6</v>
      </c>
      <c r="T107" s="76">
        <f t="shared" si="190"/>
        <v>1759.6</v>
      </c>
      <c r="U107" s="76">
        <f t="shared" si="190"/>
        <v>1823.4</v>
      </c>
      <c r="V107" s="76">
        <f t="shared" si="190"/>
        <v>2049.1</v>
      </c>
      <c r="W107" s="76">
        <f t="shared" si="190"/>
        <v>2188.3000000000002</v>
      </c>
      <c r="X107" s="76">
        <f t="shared" si="190"/>
        <v>2082.5</v>
      </c>
      <c r="Y107" s="76">
        <f t="shared" si="190"/>
        <v>2181.1999999999998</v>
      </c>
      <c r="Z107" s="76">
        <f t="shared" si="190"/>
        <v>2393</v>
      </c>
      <c r="AA107" s="76">
        <f t="shared" si="190"/>
        <v>2500</v>
      </c>
      <c r="AB107" s="76">
        <f>+AB53</f>
        <v>2668.8</v>
      </c>
      <c r="AC107" s="70">
        <f t="shared" ref="AC107:AL107" ca="1" si="191">+AC104+AC102*AC95/1000</f>
        <v>3045.205244629562</v>
      </c>
      <c r="AD107" s="70">
        <f t="shared" ca="1" si="191"/>
        <v>3248.5854456528969</v>
      </c>
      <c r="AE107" s="70">
        <f t="shared" ca="1" si="191"/>
        <v>3533.2331486180815</v>
      </c>
      <c r="AF107" s="70">
        <f t="shared" ca="1" si="191"/>
        <v>3908.3855470286735</v>
      </c>
      <c r="AG107" s="70">
        <f t="shared" ca="1" si="191"/>
        <v>4317.0480163899911</v>
      </c>
      <c r="AH107" s="70">
        <f t="shared" ca="1" si="191"/>
        <v>4764.112730415236</v>
      </c>
      <c r="AI107" s="70">
        <f t="shared" ca="1" si="191"/>
        <v>5252.2377707284031</v>
      </c>
      <c r="AJ107" s="70">
        <f t="shared" ca="1" si="191"/>
        <v>5785.2061188584803</v>
      </c>
      <c r="AK107" s="70">
        <f t="shared" ca="1" si="191"/>
        <v>6365.6172477455402</v>
      </c>
      <c r="AL107" s="70">
        <f t="shared" ca="1" si="191"/>
        <v>6997.6502598170664</v>
      </c>
      <c r="AM107" s="70">
        <f ca="1">+AM104+AM102*AM95/1000</f>
        <v>7721.3412089856456</v>
      </c>
      <c r="AO107" s="314">
        <f t="shared" ref="AO107" ca="1" si="192">(AL107/AB107)^(1/10)-1</f>
        <v>0.10119345222796117</v>
      </c>
      <c r="AP107" s="314">
        <f t="shared" ref="AP107" si="193">(AB107/L107)^(1/16)-1</f>
        <v>9.895600464209009E-2</v>
      </c>
      <c r="AQ107" s="314">
        <f t="shared" ref="AQ107" si="194">(AA107/Q107)^(1/10)-1</f>
        <v>0.11458570781708866</v>
      </c>
      <c r="AR107" s="314">
        <f t="shared" ref="AR107" ca="1" si="195">(AL107/AA107)^(1/11)-1</f>
        <v>9.8088832761437095E-2</v>
      </c>
    </row>
    <row r="108" spans="1:44">
      <c r="D108" s="71" t="s">
        <v>268</v>
      </c>
      <c r="L108" s="76">
        <f t="shared" ref="L108:AM108" si="196">+L109-L107</f>
        <v>-517.59764800000005</v>
      </c>
      <c r="M108" s="76">
        <f t="shared" si="196"/>
        <v>-652.61639999999989</v>
      </c>
      <c r="N108" s="76">
        <f t="shared" si="196"/>
        <v>-763.35242199999993</v>
      </c>
      <c r="O108" s="76">
        <f t="shared" si="196"/>
        <v>-808.3</v>
      </c>
      <c r="P108" s="76">
        <f t="shared" si="196"/>
        <v>-617.29999999999995</v>
      </c>
      <c r="Q108" s="76">
        <f t="shared" si="196"/>
        <v>-673.4</v>
      </c>
      <c r="R108" s="76">
        <f t="shared" si="196"/>
        <v>-1062.9000000000001</v>
      </c>
      <c r="S108" s="76">
        <f t="shared" si="196"/>
        <v>-1419.8</v>
      </c>
      <c r="T108" s="76">
        <f t="shared" si="196"/>
        <v>-1451.5</v>
      </c>
      <c r="U108" s="76">
        <f t="shared" si="196"/>
        <v>-1509.5</v>
      </c>
      <c r="V108" s="76">
        <f t="shared" si="196"/>
        <v>-1684.1999999999998</v>
      </c>
      <c r="W108" s="76">
        <f t="shared" si="196"/>
        <v>-1800.2000000000003</v>
      </c>
      <c r="X108" s="76">
        <f t="shared" si="196"/>
        <v>-1719.9</v>
      </c>
      <c r="Y108" s="76">
        <f t="shared" si="196"/>
        <v>-1788.6999999999998</v>
      </c>
      <c r="Z108" s="76">
        <f t="shared" si="196"/>
        <v>-1962</v>
      </c>
      <c r="AA108" s="76">
        <f t="shared" si="196"/>
        <v>-2045.6</v>
      </c>
      <c r="AB108" s="76">
        <f t="shared" si="196"/>
        <v>-2245.5</v>
      </c>
      <c r="AC108" s="76">
        <f t="shared" ca="1" si="196"/>
        <v>-2527.5203530425365</v>
      </c>
      <c r="AD108" s="76">
        <f t="shared" ca="1" si="196"/>
        <v>-2680.0829926636397</v>
      </c>
      <c r="AE108" s="76">
        <f t="shared" ca="1" si="196"/>
        <v>-2914.9173476099172</v>
      </c>
      <c r="AF108" s="76">
        <f t="shared" ca="1" si="196"/>
        <v>-3224.4180763055042</v>
      </c>
      <c r="AG108" s="76">
        <f t="shared" ca="1" si="196"/>
        <v>-3561.5646135335387</v>
      </c>
      <c r="AH108" s="76">
        <f t="shared" ca="1" si="196"/>
        <v>-3930.3930026066337</v>
      </c>
      <c r="AI108" s="76">
        <f t="shared" ca="1" si="196"/>
        <v>-4333.0961608643829</v>
      </c>
      <c r="AJ108" s="76">
        <f t="shared" ca="1" si="196"/>
        <v>-4772.795048068564</v>
      </c>
      <c r="AK108" s="76">
        <f t="shared" ca="1" si="196"/>
        <v>-5251.6342293955495</v>
      </c>
      <c r="AL108" s="76">
        <f t="shared" ca="1" si="196"/>
        <v>-5773.0614643490799</v>
      </c>
      <c r="AM108" s="76">
        <f t="shared" ca="1" si="196"/>
        <v>-6370.1064974131577</v>
      </c>
    </row>
    <row r="109" spans="1:44">
      <c r="D109" s="2" t="s">
        <v>265</v>
      </c>
      <c r="E109" s="229"/>
      <c r="F109" s="229"/>
      <c r="G109" s="230"/>
      <c r="H109" s="230"/>
      <c r="I109" s="230"/>
      <c r="J109" s="230"/>
      <c r="K109" s="230"/>
      <c r="L109" s="188">
        <f t="shared" ref="L109:AA109" si="197">+L60</f>
        <v>72.102351999999996</v>
      </c>
      <c r="M109" s="188">
        <f t="shared" si="197"/>
        <v>125.68360000000001</v>
      </c>
      <c r="N109" s="188">
        <f t="shared" si="197"/>
        <v>155.04757800000002</v>
      </c>
      <c r="O109" s="188">
        <f t="shared" si="197"/>
        <v>176.7</v>
      </c>
      <c r="P109" s="188">
        <f t="shared" si="197"/>
        <v>162.5</v>
      </c>
      <c r="Q109" s="188">
        <f t="shared" si="197"/>
        <v>171.5</v>
      </c>
      <c r="R109" s="188">
        <f t="shared" si="197"/>
        <v>238.8</v>
      </c>
      <c r="S109" s="188">
        <f t="shared" si="197"/>
        <v>301.8</v>
      </c>
      <c r="T109" s="188">
        <f t="shared" si="197"/>
        <v>308.10000000000002</v>
      </c>
      <c r="U109" s="188">
        <f t="shared" si="197"/>
        <v>313.89999999999998</v>
      </c>
      <c r="V109" s="188">
        <f t="shared" si="197"/>
        <v>364.9</v>
      </c>
      <c r="W109" s="188">
        <f t="shared" si="197"/>
        <v>388.1</v>
      </c>
      <c r="X109" s="188">
        <f t="shared" si="197"/>
        <v>362.6</v>
      </c>
      <c r="Y109" s="188">
        <f t="shared" si="197"/>
        <v>392.5</v>
      </c>
      <c r="Z109" s="188">
        <f t="shared" si="197"/>
        <v>431</v>
      </c>
      <c r="AA109" s="188">
        <f t="shared" si="197"/>
        <v>454.4</v>
      </c>
      <c r="AB109" s="188">
        <f>+AB60</f>
        <v>423.3</v>
      </c>
      <c r="AC109" s="106">
        <f t="shared" ref="AC109:AL109" ca="1" si="198">+AC107*AC112</f>
        <v>517.68489158702562</v>
      </c>
      <c r="AD109" s="106">
        <f t="shared" ca="1" si="198"/>
        <v>568.50245298925688</v>
      </c>
      <c r="AE109" s="106">
        <f t="shared" ca="1" si="198"/>
        <v>618.31580100816427</v>
      </c>
      <c r="AF109" s="106">
        <f t="shared" ca="1" si="198"/>
        <v>683.96747073001779</v>
      </c>
      <c r="AG109" s="106">
        <f t="shared" ca="1" si="198"/>
        <v>755.48340286824839</v>
      </c>
      <c r="AH109" s="106">
        <f t="shared" ca="1" si="198"/>
        <v>833.7197278226663</v>
      </c>
      <c r="AI109" s="106">
        <f t="shared" ca="1" si="198"/>
        <v>919.1416098774705</v>
      </c>
      <c r="AJ109" s="106">
        <f t="shared" ca="1" si="198"/>
        <v>1012.411070800234</v>
      </c>
      <c r="AK109" s="106">
        <f t="shared" ca="1" si="198"/>
        <v>1113.9830183554695</v>
      </c>
      <c r="AL109" s="106">
        <f t="shared" ca="1" si="198"/>
        <v>1224.5887954679865</v>
      </c>
      <c r="AM109" s="106">
        <f ca="1">+AM107*AM112</f>
        <v>1351.2347115724879</v>
      </c>
      <c r="AN109" s="7"/>
      <c r="AO109" s="314">
        <f t="shared" ref="AO109" ca="1" si="199">(AL109/AB109)^(1/10)-1</f>
        <v>0.11207531649203362</v>
      </c>
      <c r="AP109" s="314">
        <f t="shared" ref="AP109" si="200">(AB109/L109)^(1/16)-1</f>
        <v>0.11697557713291862</v>
      </c>
      <c r="AQ109" s="314">
        <f t="shared" ref="AQ109" si="201">(AA109/Q109)^(1/10)-1</f>
        <v>0.10234470368312443</v>
      </c>
      <c r="AR109" s="314">
        <f t="shared" ref="AR109" ca="1" si="202">(AL109/AA109)^(1/11)-1</f>
        <v>9.4311812354368474E-2</v>
      </c>
    </row>
    <row r="110" spans="1:44"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1:44">
      <c r="D111" t="s">
        <v>269</v>
      </c>
      <c r="L111" s="81">
        <v>464</v>
      </c>
      <c r="M111" s="81">
        <v>700</v>
      </c>
      <c r="N111" s="81">
        <v>742</v>
      </c>
      <c r="O111" s="76">
        <f>+O109/O95*1000</f>
        <v>794.49295432677172</v>
      </c>
      <c r="P111" s="76">
        <f>+P109/P95*1000</f>
        <v>837.27928030049316</v>
      </c>
      <c r="Q111" s="76">
        <f t="shared" ref="Q111:AA111" si="203">+Q109/Q95*1000</f>
        <v>868.87355483276087</v>
      </c>
      <c r="R111" s="76">
        <f t="shared" si="203"/>
        <v>907.77424247607985</v>
      </c>
      <c r="S111" s="76">
        <f t="shared" si="203"/>
        <v>953.10580485016533</v>
      </c>
      <c r="T111" s="76">
        <f t="shared" si="203"/>
        <v>948.64507865348446</v>
      </c>
      <c r="U111" s="76">
        <f t="shared" si="203"/>
        <v>916.29302694876458</v>
      </c>
      <c r="V111" s="76">
        <f t="shared" si="203"/>
        <v>969.99888353101926</v>
      </c>
      <c r="W111" s="76">
        <f t="shared" si="203"/>
        <v>983.93406298090702</v>
      </c>
      <c r="X111" s="76">
        <f t="shared" si="203"/>
        <v>925.74153786451404</v>
      </c>
      <c r="Y111" s="76">
        <f t="shared" si="203"/>
        <v>960.81114491969572</v>
      </c>
      <c r="Z111" s="76">
        <f t="shared" si="203"/>
        <v>963.14786219164182</v>
      </c>
      <c r="AA111" s="76">
        <f t="shared" si="203"/>
        <v>974.73706339008572</v>
      </c>
      <c r="AB111" s="76">
        <f>+AB109/AB95*1000</f>
        <v>993.0372441750261</v>
      </c>
      <c r="AC111" s="76">
        <f t="shared" ref="AC111:AL111" ca="1" si="204">+AC109/AC95*1000</f>
        <v>960.63773400000002</v>
      </c>
      <c r="AD111" s="76">
        <f t="shared" ca="1" si="204"/>
        <v>970.10696928600009</v>
      </c>
      <c r="AE111" s="76">
        <f t="shared" ca="1" si="204"/>
        <v>971.1198496717202</v>
      </c>
      <c r="AF111" s="76">
        <f t="shared" ca="1" si="204"/>
        <v>981.87451754180609</v>
      </c>
      <c r="AG111" s="76">
        <f t="shared" ca="1" si="204"/>
        <v>992.76824486566852</v>
      </c>
      <c r="AH111" s="76">
        <f t="shared" ca="1" si="204"/>
        <v>1003.8033739236527</v>
      </c>
      <c r="AI111" s="76">
        <f t="shared" ca="1" si="204"/>
        <v>1014.9822991598185</v>
      </c>
      <c r="AJ111" s="76">
        <f t="shared" ca="1" si="204"/>
        <v>1026.3074685715533</v>
      </c>
      <c r="AK111" s="76">
        <f t="shared" ca="1" si="204"/>
        <v>1037.7813851392934</v>
      </c>
      <c r="AL111" s="76">
        <f t="shared" ca="1" si="204"/>
        <v>1049.406608297548</v>
      </c>
      <c r="AM111" s="76">
        <f ca="1">+AM109/AM95*1000</f>
        <v>1061.1857554484525</v>
      </c>
      <c r="AO111" s="314">
        <f t="shared" ref="AO111" ca="1" si="205">(AL111/AB111)^(1/10)-1</f>
        <v>5.5364677409692753E-3</v>
      </c>
      <c r="AP111" s="314">
        <f t="shared" ref="AP111" si="206">(AB111/L111)^(1/16)-1</f>
        <v>4.8704115376002832E-2</v>
      </c>
      <c r="AQ111" s="314">
        <f t="shared" ref="AQ111" si="207">(AA111/Q111)^(1/10)-1</f>
        <v>1.1563359475735835E-2</v>
      </c>
      <c r="AR111" s="314">
        <f t="shared" ref="AR111" ca="1" si="208">(AL111/AA111)^(1/11)-1</f>
        <v>6.7327814411979325E-3</v>
      </c>
    </row>
    <row r="112" spans="1:44">
      <c r="D112" t="s">
        <v>171</v>
      </c>
      <c r="L112" s="41">
        <f>+L109/L107</f>
        <v>0.12226954722740375</v>
      </c>
      <c r="M112" s="41">
        <f>+M109/M107</f>
        <v>0.16148477450854429</v>
      </c>
      <c r="N112" s="41">
        <f>+N109/N107</f>
        <v>0.1688235823170732</v>
      </c>
      <c r="O112" s="41">
        <f>+O109/O107</f>
        <v>0.17939086294416243</v>
      </c>
      <c r="P112" s="41">
        <f>+P109/P107</f>
        <v>0.20838676583739421</v>
      </c>
      <c r="Q112" s="41">
        <f t="shared" ref="Q112:AA112" si="209">+Q109/Q107</f>
        <v>0.20298260149130076</v>
      </c>
      <c r="R112" s="41">
        <f t="shared" si="209"/>
        <v>0.18345240838902974</v>
      </c>
      <c r="S112" s="41">
        <f t="shared" si="209"/>
        <v>0.17530204460966545</v>
      </c>
      <c r="T112" s="41">
        <f t="shared" si="209"/>
        <v>0.17509661286656061</v>
      </c>
      <c r="U112" s="41">
        <f t="shared" si="209"/>
        <v>0.17215092683996927</v>
      </c>
      <c r="V112" s="41">
        <f t="shared" si="209"/>
        <v>0.17807818066468206</v>
      </c>
      <c r="W112" s="41">
        <f t="shared" si="209"/>
        <v>0.17735228259379426</v>
      </c>
      <c r="X112" s="41">
        <f t="shared" si="209"/>
        <v>0.17411764705882354</v>
      </c>
      <c r="Y112" s="41">
        <f t="shared" si="209"/>
        <v>0.17994681826517514</v>
      </c>
      <c r="Z112" s="41">
        <f t="shared" si="209"/>
        <v>0.18010865022983702</v>
      </c>
      <c r="AA112" s="41">
        <f t="shared" si="209"/>
        <v>0.18175999999999998</v>
      </c>
      <c r="AB112" s="41">
        <f>+AB109/AB107</f>
        <v>0.15861061151079137</v>
      </c>
      <c r="AC112" s="79">
        <v>0.17</v>
      </c>
      <c r="AD112" s="79">
        <v>0.17499999999999999</v>
      </c>
      <c r="AE112" s="79">
        <f t="shared" ref="AE112:AM112" si="210">+AD112</f>
        <v>0.17499999999999999</v>
      </c>
      <c r="AF112" s="79">
        <f t="shared" si="210"/>
        <v>0.17499999999999999</v>
      </c>
      <c r="AG112" s="79">
        <f t="shared" si="210"/>
        <v>0.17499999999999999</v>
      </c>
      <c r="AH112" s="79">
        <f t="shared" si="210"/>
        <v>0.17499999999999999</v>
      </c>
      <c r="AI112" s="79">
        <f t="shared" si="210"/>
        <v>0.17499999999999999</v>
      </c>
      <c r="AJ112" s="79">
        <f t="shared" si="210"/>
        <v>0.17499999999999999</v>
      </c>
      <c r="AK112" s="79">
        <f t="shared" si="210"/>
        <v>0.17499999999999999</v>
      </c>
      <c r="AL112" s="79">
        <f t="shared" si="210"/>
        <v>0.17499999999999999</v>
      </c>
      <c r="AM112" s="79">
        <f t="shared" si="210"/>
        <v>0.17499999999999999</v>
      </c>
    </row>
    <row r="113" spans="4:44"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7"/>
    </row>
    <row r="114" spans="4:44">
      <c r="D114" s="210" t="s">
        <v>374</v>
      </c>
      <c r="E114" s="205"/>
      <c r="F114" s="205"/>
      <c r="G114" s="205"/>
      <c r="H114" s="205"/>
      <c r="I114" s="205"/>
      <c r="J114" s="205"/>
      <c r="K114" s="205"/>
      <c r="L114" s="206"/>
      <c r="M114" s="206"/>
      <c r="N114" s="206"/>
      <c r="O114" s="206"/>
      <c r="P114" s="206"/>
      <c r="Q114" s="206"/>
      <c r="R114" s="206"/>
      <c r="S114" s="206"/>
      <c r="T114" s="206"/>
      <c r="U114" s="206"/>
      <c r="V114" s="206"/>
      <c r="W114" s="206"/>
      <c r="X114" s="206"/>
      <c r="Y114" s="206"/>
      <c r="Z114" s="211"/>
      <c r="AA114" s="211"/>
      <c r="AB114" s="31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</row>
    <row r="115" spans="4:44">
      <c r="D115" t="s">
        <v>258</v>
      </c>
      <c r="G115" s="76"/>
      <c r="H115" s="76"/>
      <c r="I115" s="76"/>
      <c r="J115" s="76"/>
      <c r="K115" s="76"/>
      <c r="L115" s="76">
        <f t="shared" ref="L115:AB115" si="211">+L54</f>
        <v>84.6</v>
      </c>
      <c r="M115" s="76">
        <f t="shared" si="211"/>
        <v>97.9</v>
      </c>
      <c r="N115" s="76">
        <f t="shared" si="211"/>
        <v>114.4</v>
      </c>
      <c r="O115" s="76">
        <f t="shared" si="211"/>
        <v>132.4</v>
      </c>
      <c r="P115" s="76">
        <f t="shared" si="211"/>
        <v>125.2</v>
      </c>
      <c r="Q115" s="76">
        <f t="shared" si="211"/>
        <v>144.5</v>
      </c>
      <c r="R115" s="76">
        <f t="shared" si="211"/>
        <v>173.8</v>
      </c>
      <c r="S115" s="76">
        <f t="shared" si="211"/>
        <v>179.6</v>
      </c>
      <c r="T115" s="76">
        <f t="shared" si="211"/>
        <v>202.9</v>
      </c>
      <c r="U115" s="76">
        <f t="shared" si="211"/>
        <v>208.9</v>
      </c>
      <c r="V115" s="76">
        <f t="shared" si="211"/>
        <v>255.7</v>
      </c>
      <c r="W115" s="76">
        <f t="shared" si="211"/>
        <v>267.8</v>
      </c>
      <c r="X115" s="76">
        <f t="shared" si="211"/>
        <v>305.5</v>
      </c>
      <c r="Y115" s="76">
        <f t="shared" si="211"/>
        <v>336.4</v>
      </c>
      <c r="Z115" s="76">
        <f t="shared" si="211"/>
        <v>382.5</v>
      </c>
      <c r="AA115" s="76">
        <f t="shared" si="211"/>
        <v>437.4</v>
      </c>
      <c r="AB115" s="76">
        <f t="shared" si="211"/>
        <v>412.8</v>
      </c>
      <c r="AC115" s="70">
        <f t="shared" ref="AC115:AM115" ca="1" si="212">+AC130*AC86</f>
        <v>522.43055017489621</v>
      </c>
      <c r="AD115" s="70">
        <f t="shared" ca="1" si="212"/>
        <v>564.38155611982472</v>
      </c>
      <c r="AE115" s="70">
        <f t="shared" ca="1" si="212"/>
        <v>612.62894163440001</v>
      </c>
      <c r="AF115" s="70">
        <f t="shared" ca="1" si="212"/>
        <v>664.27561569043826</v>
      </c>
      <c r="AG115" s="70">
        <f t="shared" ca="1" si="212"/>
        <v>719.05144785795187</v>
      </c>
      <c r="AH115" s="70">
        <f t="shared" ca="1" si="212"/>
        <v>777.44629592601382</v>
      </c>
      <c r="AI115" s="70">
        <f t="shared" ca="1" si="212"/>
        <v>839.53270190555406</v>
      </c>
      <c r="AJ115" s="70">
        <f t="shared" ca="1" si="212"/>
        <v>905.52999848855518</v>
      </c>
      <c r="AK115" s="70">
        <f t="shared" ca="1" si="212"/>
        <v>975.43272577639323</v>
      </c>
      <c r="AL115" s="70">
        <f t="shared" ca="1" si="212"/>
        <v>1049.4452818455886</v>
      </c>
      <c r="AM115" s="70">
        <f t="shared" ca="1" si="212"/>
        <v>1132.9866403857602</v>
      </c>
      <c r="AN115" s="7"/>
      <c r="AO115" s="314">
        <f t="shared" ref="AO115:AO120" ca="1" si="213">(AL115/AB115)^(1/10)-1</f>
        <v>9.7796927815641865E-2</v>
      </c>
      <c r="AP115" s="314">
        <f t="shared" ref="AP115:AP120" si="214">(AB115/L115)^(1/16)-1</f>
        <v>0.10413730348694128</v>
      </c>
      <c r="AQ115" s="314">
        <f t="shared" ref="AQ115:AQ120" si="215">(AA115/Q115)^(1/10)-1</f>
        <v>0.11712325655978129</v>
      </c>
      <c r="AR115" s="314">
        <f t="shared" ref="AR115:AR120" ca="1" si="216">(AL115/AA115)^(1/11)-1</f>
        <v>8.2811401546875496E-2</v>
      </c>
    </row>
    <row r="116" spans="4:44">
      <c r="D116" t="s">
        <v>259</v>
      </c>
      <c r="G116" s="76"/>
      <c r="H116" s="76"/>
      <c r="I116" s="76"/>
      <c r="J116" s="76"/>
      <c r="K116" s="76"/>
      <c r="L116" s="76">
        <f t="shared" ref="L116:AB116" si="217">+L55</f>
        <v>14.4</v>
      </c>
      <c r="M116" s="76">
        <f t="shared" si="217"/>
        <v>16.3</v>
      </c>
      <c r="N116" s="76">
        <f t="shared" si="217"/>
        <v>24.3</v>
      </c>
      <c r="O116" s="76">
        <f t="shared" si="217"/>
        <v>26.1</v>
      </c>
      <c r="P116" s="76">
        <f t="shared" si="217"/>
        <v>15.3</v>
      </c>
      <c r="Q116" s="76">
        <f t="shared" si="217"/>
        <v>0.9</v>
      </c>
      <c r="R116" s="76">
        <f t="shared" si="217"/>
        <v>-9.1</v>
      </c>
      <c r="S116" s="76">
        <f t="shared" si="217"/>
        <v>-23.8</v>
      </c>
      <c r="T116" s="76">
        <f t="shared" si="217"/>
        <v>-56.1</v>
      </c>
      <c r="U116" s="76">
        <f t="shared" si="217"/>
        <v>-82.8</v>
      </c>
      <c r="V116" s="76">
        <f t="shared" si="217"/>
        <v>-63.7</v>
      </c>
      <c r="W116" s="76">
        <f t="shared" si="217"/>
        <v>-61.5</v>
      </c>
      <c r="X116" s="76">
        <f t="shared" si="217"/>
        <v>-38.4</v>
      </c>
      <c r="Y116" s="76">
        <f t="shared" si="217"/>
        <v>-49.9</v>
      </c>
      <c r="Z116" s="76">
        <f t="shared" si="217"/>
        <v>-43.4</v>
      </c>
      <c r="AA116" s="76">
        <f t="shared" si="217"/>
        <v>-45.8</v>
      </c>
      <c r="AB116" s="76">
        <f t="shared" si="217"/>
        <v>-39.6</v>
      </c>
      <c r="AC116" s="70">
        <f ca="1">+AC141</f>
        <v>-6.2489433129604066</v>
      </c>
      <c r="AD116" s="70">
        <f t="shared" ref="AD116:AM116" ca="1" si="218">+AD141</f>
        <v>-4.9429762596714255</v>
      </c>
      <c r="AE116" s="70">
        <f t="shared" ca="1" si="218"/>
        <v>-3.4593269032274918</v>
      </c>
      <c r="AF116" s="70">
        <f t="shared" ca="1" si="218"/>
        <v>-1.8357713397707869</v>
      </c>
      <c r="AG116" s="70">
        <f t="shared" ca="1" si="218"/>
        <v>-7.3088358991199698E-2</v>
      </c>
      <c r="AH116" s="70">
        <f t="shared" ca="1" si="218"/>
        <v>1.8416303309192017</v>
      </c>
      <c r="AI116" s="70">
        <f t="shared" ca="1" si="218"/>
        <v>3.913680140238057</v>
      </c>
      <c r="AJ116" s="70">
        <f t="shared" ca="1" si="218"/>
        <v>6.1511998305133773</v>
      </c>
      <c r="AK116" s="70">
        <f t="shared" ca="1" si="218"/>
        <v>8.5572280888290635</v>
      </c>
      <c r="AL116" s="70">
        <f t="shared" ca="1" si="218"/>
        <v>11.139130709744322</v>
      </c>
      <c r="AM116" s="70">
        <f t="shared" ca="1" si="218"/>
        <v>14.033302618065989</v>
      </c>
      <c r="AN116" s="7"/>
      <c r="AO116" s="314"/>
      <c r="AP116" s="314"/>
      <c r="AQ116" s="314"/>
      <c r="AR116" s="314"/>
    </row>
    <row r="117" spans="4:44">
      <c r="D117" t="s">
        <v>130</v>
      </c>
      <c r="G117" s="76"/>
      <c r="H117" s="76"/>
      <c r="I117" s="76"/>
      <c r="J117" s="76"/>
      <c r="K117" s="76"/>
      <c r="L117" s="76">
        <f t="shared" ref="L117:AB117" si="219">+L56</f>
        <v>574.4</v>
      </c>
      <c r="M117" s="76">
        <f t="shared" si="219"/>
        <v>596.20000000000005</v>
      </c>
      <c r="N117" s="76">
        <f t="shared" si="219"/>
        <v>535.70000000000005</v>
      </c>
      <c r="O117" s="76">
        <f t="shared" si="219"/>
        <v>466.6</v>
      </c>
      <c r="P117" s="76">
        <f t="shared" si="219"/>
        <v>363.09999999999997</v>
      </c>
      <c r="Q117" s="76">
        <f t="shared" si="219"/>
        <v>287.60000000000002</v>
      </c>
      <c r="R117" s="76">
        <f t="shared" si="219"/>
        <v>299.10000000000002</v>
      </c>
      <c r="S117" s="76">
        <f t="shared" si="219"/>
        <v>299.2</v>
      </c>
      <c r="T117" s="76">
        <f t="shared" si="219"/>
        <v>309.5</v>
      </c>
      <c r="U117" s="76">
        <f t="shared" si="219"/>
        <v>318.5</v>
      </c>
      <c r="V117" s="76">
        <f t="shared" si="219"/>
        <v>353.1</v>
      </c>
      <c r="W117" s="76">
        <f t="shared" si="219"/>
        <v>315.7</v>
      </c>
      <c r="X117" s="76">
        <f t="shared" si="219"/>
        <v>254.9</v>
      </c>
      <c r="Y117" s="76">
        <f t="shared" si="219"/>
        <v>260.2</v>
      </c>
      <c r="Z117" s="76">
        <f t="shared" si="219"/>
        <v>268.2</v>
      </c>
      <c r="AA117" s="76">
        <f t="shared" si="219"/>
        <v>258.89999999999998</v>
      </c>
      <c r="AB117" s="76">
        <f t="shared" si="219"/>
        <v>194.6</v>
      </c>
      <c r="AC117" s="70">
        <f t="shared" ref="AC117:AM117" si="220">+AB117*(1+AC131)</f>
        <v>179.03200000000001</v>
      </c>
      <c r="AD117" s="70">
        <f t="shared" si="220"/>
        <v>180.82232000000002</v>
      </c>
      <c r="AE117" s="70">
        <f t="shared" si="220"/>
        <v>182.63054320000003</v>
      </c>
      <c r="AF117" s="70">
        <f t="shared" si="220"/>
        <v>184.45684863200003</v>
      </c>
      <c r="AG117" s="70">
        <f t="shared" si="220"/>
        <v>186.30141711832005</v>
      </c>
      <c r="AH117" s="70">
        <f t="shared" si="220"/>
        <v>188.16443128950326</v>
      </c>
      <c r="AI117" s="70">
        <f t="shared" si="220"/>
        <v>190.0460756023983</v>
      </c>
      <c r="AJ117" s="70">
        <f t="shared" si="220"/>
        <v>191.94653635842229</v>
      </c>
      <c r="AK117" s="70">
        <f t="shared" si="220"/>
        <v>193.86600172200653</v>
      </c>
      <c r="AL117" s="70">
        <f t="shared" si="220"/>
        <v>195.80466173922659</v>
      </c>
      <c r="AM117" s="70">
        <f t="shared" si="220"/>
        <v>197.76270835661884</v>
      </c>
      <c r="AN117" s="7"/>
      <c r="AO117" s="314">
        <f t="shared" si="213"/>
        <v>6.173273420864156E-4</v>
      </c>
      <c r="AP117" s="314">
        <f t="shared" si="214"/>
        <v>-6.5411300912133541E-2</v>
      </c>
      <c r="AQ117" s="314">
        <f t="shared" si="215"/>
        <v>-1.0457806790190927E-2</v>
      </c>
      <c r="AR117" s="314">
        <f t="shared" si="216"/>
        <v>-2.5073428955553534E-2</v>
      </c>
    </row>
    <row r="118" spans="4:44">
      <c r="D118" s="2" t="s">
        <v>260</v>
      </c>
      <c r="E118" s="229"/>
      <c r="F118" s="229"/>
      <c r="G118" s="230"/>
      <c r="H118" s="230"/>
      <c r="I118" s="230"/>
      <c r="J118" s="230"/>
      <c r="K118" s="230"/>
      <c r="L118" s="188">
        <f>SUM(L115:L117)</f>
        <v>673.4</v>
      </c>
      <c r="M118" s="188">
        <f t="shared" ref="M118:AL118" si="221">SUM(M115:M117)</f>
        <v>710.40000000000009</v>
      </c>
      <c r="N118" s="188">
        <f t="shared" si="221"/>
        <v>674.40000000000009</v>
      </c>
      <c r="O118" s="188">
        <f t="shared" si="221"/>
        <v>625.1</v>
      </c>
      <c r="P118" s="188">
        <f t="shared" si="221"/>
        <v>503.59999999999997</v>
      </c>
      <c r="Q118" s="188">
        <f t="shared" si="221"/>
        <v>433</v>
      </c>
      <c r="R118" s="188">
        <f t="shared" si="221"/>
        <v>463.80000000000007</v>
      </c>
      <c r="S118" s="188">
        <f t="shared" si="221"/>
        <v>455</v>
      </c>
      <c r="T118" s="188">
        <f t="shared" si="221"/>
        <v>456.3</v>
      </c>
      <c r="U118" s="188">
        <f t="shared" si="221"/>
        <v>444.6</v>
      </c>
      <c r="V118" s="188">
        <f t="shared" si="221"/>
        <v>545.1</v>
      </c>
      <c r="W118" s="188">
        <f t="shared" si="221"/>
        <v>522</v>
      </c>
      <c r="X118" s="188">
        <f t="shared" si="221"/>
        <v>522</v>
      </c>
      <c r="Y118" s="188">
        <f t="shared" si="221"/>
        <v>546.70000000000005</v>
      </c>
      <c r="Z118" s="188">
        <f t="shared" si="221"/>
        <v>607.29999999999995</v>
      </c>
      <c r="AA118" s="188">
        <f>SUM(AA115:AA117)</f>
        <v>650.5</v>
      </c>
      <c r="AB118" s="188">
        <f>SUM(AB115:AB117)</f>
        <v>567.79999999999995</v>
      </c>
      <c r="AC118" s="188">
        <f t="shared" ca="1" si="221"/>
        <v>695.21360686193589</v>
      </c>
      <c r="AD118" s="188">
        <f t="shared" ca="1" si="221"/>
        <v>740.26089986015324</v>
      </c>
      <c r="AE118" s="188">
        <f t="shared" ca="1" si="221"/>
        <v>791.80015793117252</v>
      </c>
      <c r="AF118" s="188">
        <f t="shared" ca="1" si="221"/>
        <v>846.89669298266756</v>
      </c>
      <c r="AG118" s="188">
        <f t="shared" ca="1" si="221"/>
        <v>905.27977661728073</v>
      </c>
      <c r="AH118" s="188">
        <f t="shared" ca="1" si="221"/>
        <v>967.45235754643625</v>
      </c>
      <c r="AI118" s="188">
        <f t="shared" ca="1" si="221"/>
        <v>1033.4924576481903</v>
      </c>
      <c r="AJ118" s="188">
        <f t="shared" ca="1" si="221"/>
        <v>1103.6277346774909</v>
      </c>
      <c r="AK118" s="188">
        <f t="shared" ca="1" si="221"/>
        <v>1177.8559555872289</v>
      </c>
      <c r="AL118" s="188">
        <f t="shared" ca="1" si="221"/>
        <v>1256.3890742945594</v>
      </c>
      <c r="AM118" s="188">
        <f ca="1">SUM(AM115:AM117)</f>
        <v>1344.782651360445</v>
      </c>
      <c r="AN118" s="7"/>
      <c r="AO118" s="314">
        <f t="shared" ca="1" si="213"/>
        <v>8.2661956127844993E-2</v>
      </c>
      <c r="AP118" s="314">
        <f t="shared" si="214"/>
        <v>-1.0604018172285845E-2</v>
      </c>
      <c r="AQ118" s="314">
        <f t="shared" si="215"/>
        <v>4.1539968616974621E-2</v>
      </c>
      <c r="AR118" s="314">
        <f t="shared" ca="1" si="216"/>
        <v>6.1668188684413039E-2</v>
      </c>
    </row>
    <row r="119" spans="4:44">
      <c r="D119" s="71" t="s">
        <v>268</v>
      </c>
      <c r="L119" s="76">
        <f>+L120-L118</f>
        <v>-555.31260799999995</v>
      </c>
      <c r="M119" s="76">
        <f t="shared" ref="M119:T119" si="222">+M120-M118</f>
        <v>-569.48710399999993</v>
      </c>
      <c r="N119" s="76">
        <f t="shared" si="222"/>
        <v>-499.7365410000001</v>
      </c>
      <c r="O119" s="76">
        <f t="shared" si="222"/>
        <v>-437.9</v>
      </c>
      <c r="P119" s="76">
        <f t="shared" si="222"/>
        <v>-342.4</v>
      </c>
      <c r="Q119" s="76">
        <f t="shared" si="222"/>
        <v>-245.5</v>
      </c>
      <c r="R119" s="76">
        <f t="shared" si="222"/>
        <v>-255.40000000000006</v>
      </c>
      <c r="S119" s="76">
        <f t="shared" si="222"/>
        <v>-266.60000000000002</v>
      </c>
      <c r="T119" s="76">
        <f t="shared" si="222"/>
        <v>-271.5</v>
      </c>
      <c r="U119" s="76">
        <f t="shared" ref="U119:AB119" si="223">+U120-U118</f>
        <v>-253.70000000000002</v>
      </c>
      <c r="V119" s="76">
        <f t="shared" si="223"/>
        <v>-291</v>
      </c>
      <c r="W119" s="76">
        <f t="shared" si="223"/>
        <v>-229.89999999999998</v>
      </c>
      <c r="X119" s="76">
        <f t="shared" si="223"/>
        <v>-153</v>
      </c>
      <c r="Y119" s="76">
        <f t="shared" si="223"/>
        <v>-177.90000000000003</v>
      </c>
      <c r="Z119" s="76">
        <f t="shared" si="223"/>
        <v>-186.39999999999998</v>
      </c>
      <c r="AA119" s="76">
        <f t="shared" si="223"/>
        <v>-202.7</v>
      </c>
      <c r="AB119" s="76">
        <f t="shared" si="223"/>
        <v>-200.89999999999998</v>
      </c>
      <c r="AC119" s="70">
        <f>(AC117*AC122)-AC117</f>
        <v>-153.96752000000001</v>
      </c>
      <c r="AD119" s="70">
        <f t="shared" ref="AD119:AM119" si="224">(AD117*AD122)-AD117</f>
        <v>-137.42496320000001</v>
      </c>
      <c r="AE119" s="70">
        <f t="shared" si="224"/>
        <v>-136.97290740000003</v>
      </c>
      <c r="AF119" s="70">
        <f t="shared" si="224"/>
        <v>-136.49806798768003</v>
      </c>
      <c r="AG119" s="70">
        <f t="shared" si="224"/>
        <v>-136.00003449637364</v>
      </c>
      <c r="AH119" s="70">
        <f t="shared" si="224"/>
        <v>-135.47839052844233</v>
      </c>
      <c r="AI119" s="70">
        <f t="shared" si="224"/>
        <v>-136.83317443372678</v>
      </c>
      <c r="AJ119" s="70">
        <f t="shared" si="224"/>
        <v>-138.20150617806405</v>
      </c>
      <c r="AK119" s="70">
        <f t="shared" si="224"/>
        <v>-139.58352123984469</v>
      </c>
      <c r="AL119" s="70">
        <f t="shared" si="224"/>
        <v>-140.97935645224314</v>
      </c>
      <c r="AM119" s="70">
        <f t="shared" si="224"/>
        <v>-142.38915001676557</v>
      </c>
      <c r="AO119" s="314">
        <f t="shared" si="213"/>
        <v>-3.4799454467739688E-2</v>
      </c>
      <c r="AP119" s="314">
        <f t="shared" si="214"/>
        <v>-6.1568342232761197E-2</v>
      </c>
      <c r="AQ119" s="314">
        <f t="shared" si="215"/>
        <v>-1.8974660404371235E-2</v>
      </c>
      <c r="AR119" s="314">
        <f t="shared" si="216"/>
        <v>-3.2471430805324886E-2</v>
      </c>
    </row>
    <row r="120" spans="4:44">
      <c r="D120" s="2" t="s">
        <v>265</v>
      </c>
      <c r="E120" s="229"/>
      <c r="F120" s="229"/>
      <c r="G120" s="230"/>
      <c r="H120" s="230"/>
      <c r="I120" s="230"/>
      <c r="J120" s="230"/>
      <c r="K120" s="230"/>
      <c r="L120" s="188">
        <f t="shared" ref="L120:AB120" si="225">+L61</f>
        <v>118.08739200000002</v>
      </c>
      <c r="M120" s="188">
        <f t="shared" si="225"/>
        <v>140.91289600000016</v>
      </c>
      <c r="N120" s="188">
        <f t="shared" si="225"/>
        <v>174.66345899999999</v>
      </c>
      <c r="O120" s="188">
        <f t="shared" si="225"/>
        <v>187.20000000000002</v>
      </c>
      <c r="P120" s="188">
        <f t="shared" si="225"/>
        <v>161.19999999999999</v>
      </c>
      <c r="Q120" s="188">
        <f t="shared" si="225"/>
        <v>187.5</v>
      </c>
      <c r="R120" s="188">
        <f t="shared" si="225"/>
        <v>208.4</v>
      </c>
      <c r="S120" s="188">
        <f t="shared" si="225"/>
        <v>188.4</v>
      </c>
      <c r="T120" s="188">
        <f t="shared" si="225"/>
        <v>184.8</v>
      </c>
      <c r="U120" s="188">
        <f t="shared" si="225"/>
        <v>190.9</v>
      </c>
      <c r="V120" s="188">
        <f t="shared" si="225"/>
        <v>254.1</v>
      </c>
      <c r="W120" s="188">
        <f t="shared" si="225"/>
        <v>292.10000000000002</v>
      </c>
      <c r="X120" s="188">
        <f t="shared" si="225"/>
        <v>369</v>
      </c>
      <c r="Y120" s="188">
        <f t="shared" si="225"/>
        <v>368.8</v>
      </c>
      <c r="Z120" s="188">
        <f t="shared" si="225"/>
        <v>420.9</v>
      </c>
      <c r="AA120" s="188">
        <f t="shared" si="225"/>
        <v>447.8</v>
      </c>
      <c r="AB120" s="188">
        <f t="shared" si="225"/>
        <v>366.9</v>
      </c>
      <c r="AC120" s="106">
        <f ca="1">SUM(AC118:AC119)</f>
        <v>541.24608686193585</v>
      </c>
      <c r="AD120" s="106">
        <f t="shared" ref="AD120:AM120" ca="1" si="226">SUM(AD118:AD119)</f>
        <v>602.83593666015327</v>
      </c>
      <c r="AE120" s="106">
        <f t="shared" ca="1" si="226"/>
        <v>654.82725053117247</v>
      </c>
      <c r="AF120" s="106">
        <f t="shared" ca="1" si="226"/>
        <v>710.39862499498759</v>
      </c>
      <c r="AG120" s="106">
        <f t="shared" ca="1" si="226"/>
        <v>769.27974212090703</v>
      </c>
      <c r="AH120" s="106">
        <f t="shared" ca="1" si="226"/>
        <v>831.97396701799391</v>
      </c>
      <c r="AI120" s="106">
        <f t="shared" ca="1" si="226"/>
        <v>896.65928321446358</v>
      </c>
      <c r="AJ120" s="106">
        <f t="shared" ca="1" si="226"/>
        <v>965.42622849942688</v>
      </c>
      <c r="AK120" s="106">
        <f t="shared" ca="1" si="226"/>
        <v>1038.2724343473842</v>
      </c>
      <c r="AL120" s="106">
        <f t="shared" ca="1" si="226"/>
        <v>1115.4097178423162</v>
      </c>
      <c r="AM120" s="106">
        <f t="shared" ca="1" si="226"/>
        <v>1202.3935013436794</v>
      </c>
      <c r="AN120" s="7"/>
      <c r="AO120" s="314">
        <f t="shared" ca="1" si="213"/>
        <v>0.11760586242844639</v>
      </c>
      <c r="AP120" s="314">
        <f t="shared" si="214"/>
        <v>7.342451933051386E-2</v>
      </c>
      <c r="AQ120" s="314">
        <f t="shared" si="215"/>
        <v>9.0958629000132518E-2</v>
      </c>
      <c r="AR120" s="314">
        <f t="shared" ca="1" si="216"/>
        <v>8.6505298609019121E-2</v>
      </c>
    </row>
    <row r="121" spans="4:44">
      <c r="D121" t="s">
        <v>171</v>
      </c>
      <c r="G121" s="76"/>
      <c r="H121" s="76"/>
      <c r="I121" s="76"/>
      <c r="J121" s="76"/>
      <c r="K121" s="76"/>
      <c r="L121" s="228">
        <f t="shared" ref="L121:AA121" si="227">+L120/L118</f>
        <v>0.17535995247995251</v>
      </c>
      <c r="M121" s="228">
        <f t="shared" si="227"/>
        <v>0.19835711711711732</v>
      </c>
      <c r="N121" s="228">
        <f t="shared" si="227"/>
        <v>0.25899089412811382</v>
      </c>
      <c r="O121" s="228">
        <f t="shared" si="227"/>
        <v>0.29947208446648538</v>
      </c>
      <c r="P121" s="228">
        <f t="shared" si="227"/>
        <v>0.32009531374106431</v>
      </c>
      <c r="Q121" s="228">
        <f t="shared" si="227"/>
        <v>0.43302540415704388</v>
      </c>
      <c r="R121" s="228">
        <f t="shared" si="227"/>
        <v>0.44933160845191888</v>
      </c>
      <c r="S121" s="228">
        <f t="shared" si="227"/>
        <v>0.41406593406593406</v>
      </c>
      <c r="T121" s="228">
        <f t="shared" si="227"/>
        <v>0.40499671268902038</v>
      </c>
      <c r="U121" s="228">
        <f t="shared" si="227"/>
        <v>0.42937471884840306</v>
      </c>
      <c r="V121" s="228">
        <f t="shared" si="227"/>
        <v>0.46615299944964222</v>
      </c>
      <c r="W121" s="228">
        <f t="shared" si="227"/>
        <v>0.5595785440613027</v>
      </c>
      <c r="X121" s="228">
        <f t="shared" si="227"/>
        <v>0.7068965517241379</v>
      </c>
      <c r="Y121" s="228">
        <f t="shared" si="227"/>
        <v>0.67459301262118165</v>
      </c>
      <c r="Z121" s="228">
        <f t="shared" si="227"/>
        <v>0.69306767660135027</v>
      </c>
      <c r="AA121" s="228">
        <f t="shared" si="227"/>
        <v>0.68839354342813219</v>
      </c>
      <c r="AB121" s="228">
        <f t="shared" ref="AB121:AM121" si="228">+AB120/AB118</f>
        <v>0.6461782317717506</v>
      </c>
      <c r="AC121" s="228">
        <f t="shared" ca="1" si="228"/>
        <v>0.77853206772666517</v>
      </c>
      <c r="AD121" s="228">
        <f t="shared" ca="1" si="228"/>
        <v>0.8143560422737961</v>
      </c>
      <c r="AE121" s="228">
        <f t="shared" ca="1" si="228"/>
        <v>0.82701076019246456</v>
      </c>
      <c r="AF121" s="228">
        <f t="shared" ca="1" si="228"/>
        <v>0.83882559807034984</v>
      </c>
      <c r="AG121" s="228">
        <f t="shared" ca="1" si="228"/>
        <v>0.84977016165703045</v>
      </c>
      <c r="AH121" s="228">
        <f t="shared" ca="1" si="228"/>
        <v>0.85996376000154651</v>
      </c>
      <c r="AI121" s="228">
        <f t="shared" ca="1" si="228"/>
        <v>0.86760118719675661</v>
      </c>
      <c r="AJ121" s="228">
        <f t="shared" ca="1" si="228"/>
        <v>0.87477525089703356</v>
      </c>
      <c r="AK121" s="228">
        <f t="shared" ca="1" si="228"/>
        <v>0.88149355566126564</v>
      </c>
      <c r="AL121" s="228">
        <f t="shared" ca="1" si="228"/>
        <v>0.88779004900898184</v>
      </c>
      <c r="AM121" s="228">
        <f t="shared" ca="1" si="228"/>
        <v>0.89411735058247654</v>
      </c>
      <c r="AN121" s="7"/>
    </row>
    <row r="122" spans="4:44">
      <c r="D122" t="s">
        <v>403</v>
      </c>
      <c r="G122" s="76"/>
      <c r="H122" s="76"/>
      <c r="I122" s="76"/>
      <c r="J122" s="76"/>
      <c r="K122" s="76"/>
      <c r="L122" s="228">
        <f t="shared" ref="L122:Z122" si="229">(L119+L117)/L117</f>
        <v>3.3230139275766055E-2</v>
      </c>
      <c r="M122" s="228">
        <f t="shared" si="229"/>
        <v>4.4805259979872718E-2</v>
      </c>
      <c r="N122" s="228">
        <f t="shared" si="229"/>
        <v>6.7133580362142883E-2</v>
      </c>
      <c r="O122" s="228">
        <f t="shared" si="229"/>
        <v>6.1508786969567172E-2</v>
      </c>
      <c r="P122" s="228">
        <f t="shared" si="229"/>
        <v>5.7009088405397937E-2</v>
      </c>
      <c r="Q122" s="228">
        <f t="shared" si="229"/>
        <v>0.14638386648122398</v>
      </c>
      <c r="R122" s="228">
        <f t="shared" si="229"/>
        <v>0.14610498161150104</v>
      </c>
      <c r="S122" s="228">
        <f t="shared" si="229"/>
        <v>0.10895721925133679</v>
      </c>
      <c r="T122" s="228">
        <f t="shared" si="229"/>
        <v>0.12277867528271405</v>
      </c>
      <c r="U122" s="228">
        <f t="shared" si="229"/>
        <v>0.20345368916797482</v>
      </c>
      <c r="V122" s="228">
        <f t="shared" si="229"/>
        <v>0.17587085811384881</v>
      </c>
      <c r="W122" s="228">
        <f t="shared" si="229"/>
        <v>0.2717770034843206</v>
      </c>
      <c r="X122" s="228">
        <f t="shared" si="229"/>
        <v>0.3997646135739506</v>
      </c>
      <c r="Y122" s="228">
        <f t="shared" si="229"/>
        <v>0.31629515757109899</v>
      </c>
      <c r="Z122" s="228">
        <f t="shared" si="229"/>
        <v>0.30499627143922453</v>
      </c>
      <c r="AA122" s="228">
        <f>(AA119+AA117)/AA117</f>
        <v>0.21707222865971415</v>
      </c>
      <c r="AB122" s="228">
        <f>(AB119+AB117)/AB117</f>
        <v>-3.2374100719424377E-2</v>
      </c>
      <c r="AC122" s="78">
        <v>0.14000000000000001</v>
      </c>
      <c r="AD122" s="78">
        <v>0.24</v>
      </c>
      <c r="AE122" s="78">
        <v>0.25</v>
      </c>
      <c r="AF122" s="78">
        <v>0.26</v>
      </c>
      <c r="AG122" s="78">
        <v>0.27</v>
      </c>
      <c r="AH122" s="78">
        <v>0.28000000000000003</v>
      </c>
      <c r="AI122" s="78">
        <v>0.28000000000000003</v>
      </c>
      <c r="AJ122" s="78">
        <v>0.28000000000000003</v>
      </c>
      <c r="AK122" s="78">
        <v>0.28000000000000003</v>
      </c>
      <c r="AL122" s="78">
        <v>0.28000000000000003</v>
      </c>
      <c r="AM122" s="78">
        <v>0.28000000000000003</v>
      </c>
      <c r="AN122" s="7"/>
    </row>
    <row r="123" spans="4:44">
      <c r="F123" s="36"/>
      <c r="G123" s="92"/>
      <c r="H123" s="92"/>
      <c r="I123" s="92"/>
      <c r="J123" s="92"/>
      <c r="K123" s="92"/>
      <c r="L123" s="348">
        <f>+L117/L118</f>
        <v>0.85298485298485294</v>
      </c>
      <c r="M123" s="348">
        <f t="shared" ref="M123:Z123" si="230">+M117/M118</f>
        <v>0.83924549549549543</v>
      </c>
      <c r="N123" s="348">
        <f t="shared" si="230"/>
        <v>0.79433570581257407</v>
      </c>
      <c r="O123" s="348">
        <f t="shared" si="230"/>
        <v>0.7464405695088786</v>
      </c>
      <c r="P123" s="348">
        <f t="shared" si="230"/>
        <v>0.7210087370929309</v>
      </c>
      <c r="Q123" s="348">
        <f t="shared" si="230"/>
        <v>0.66420323325635111</v>
      </c>
      <c r="R123" s="348">
        <f t="shared" si="230"/>
        <v>0.64489003880983176</v>
      </c>
      <c r="S123" s="348">
        <f t="shared" si="230"/>
        <v>0.65758241758241753</v>
      </c>
      <c r="T123" s="348">
        <f t="shared" si="230"/>
        <v>0.67828183212798598</v>
      </c>
      <c r="U123" s="348">
        <f t="shared" si="230"/>
        <v>0.71637426900584789</v>
      </c>
      <c r="V123" s="348">
        <f t="shared" si="230"/>
        <v>0.64777105118326916</v>
      </c>
      <c r="W123" s="348">
        <f t="shared" si="230"/>
        <v>0.60478927203065136</v>
      </c>
      <c r="X123" s="348">
        <f t="shared" si="230"/>
        <v>0.48831417624521073</v>
      </c>
      <c r="Y123" s="348">
        <f t="shared" si="230"/>
        <v>0.47594658862264488</v>
      </c>
      <c r="Z123" s="348">
        <f t="shared" si="230"/>
        <v>0.44162687304462378</v>
      </c>
      <c r="AA123" s="348">
        <f>+AA117/AA118</f>
        <v>0.3980015372790161</v>
      </c>
      <c r="AB123" s="348">
        <f>+AB117/AB118</f>
        <v>0.34272631208171894</v>
      </c>
      <c r="AC123" s="348">
        <f t="shared" ref="AC123:AM123" ca="1" si="231">+AC117/AC118</f>
        <v>0.25752085148062182</v>
      </c>
      <c r="AD123" s="348">
        <f t="shared" ca="1" si="231"/>
        <v>0.24426836542921579</v>
      </c>
      <c r="AE123" s="348">
        <f t="shared" ca="1" si="231"/>
        <v>0.23065231974338057</v>
      </c>
      <c r="AF123" s="348">
        <f t="shared" ca="1" si="231"/>
        <v>0.21780324585087865</v>
      </c>
      <c r="AG123" s="348">
        <f t="shared" ca="1" si="231"/>
        <v>0.20579429909995822</v>
      </c>
      <c r="AH123" s="348">
        <f t="shared" ca="1" si="231"/>
        <v>0.19449477777562979</v>
      </c>
      <c r="AI123" s="348">
        <f t="shared" ca="1" si="231"/>
        <v>0.18388724000450482</v>
      </c>
      <c r="AJ123" s="348">
        <f t="shared" ca="1" si="231"/>
        <v>0.17392326264300897</v>
      </c>
      <c r="AK123" s="348">
        <f t="shared" ca="1" si="231"/>
        <v>0.1645922838037977</v>
      </c>
      <c r="AL123" s="348">
        <f t="shared" ca="1" si="231"/>
        <v>0.15584715415419184</v>
      </c>
      <c r="AM123" s="348">
        <f t="shared" ca="1" si="231"/>
        <v>0.14705923530211581</v>
      </c>
      <c r="AN123" s="7"/>
    </row>
    <row r="124" spans="4:44">
      <c r="G124" s="76"/>
      <c r="H124" s="76"/>
      <c r="I124" s="76"/>
      <c r="J124" s="76"/>
      <c r="K124" s="76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7"/>
    </row>
    <row r="125" spans="4:44">
      <c r="D125" t="s">
        <v>258</v>
      </c>
      <c r="G125" s="76"/>
      <c r="H125" s="76"/>
      <c r="I125" s="76"/>
      <c r="J125" s="76"/>
      <c r="K125" s="76"/>
      <c r="L125" s="76">
        <f>+L115</f>
        <v>84.6</v>
      </c>
      <c r="M125" s="76">
        <f t="shared" ref="M125:AM125" si="232">+M115</f>
        <v>97.9</v>
      </c>
      <c r="N125" s="76">
        <f t="shared" si="232"/>
        <v>114.4</v>
      </c>
      <c r="O125" s="76">
        <f t="shared" si="232"/>
        <v>132.4</v>
      </c>
      <c r="P125" s="76">
        <f t="shared" si="232"/>
        <v>125.2</v>
      </c>
      <c r="Q125" s="76">
        <f t="shared" si="232"/>
        <v>144.5</v>
      </c>
      <c r="R125" s="76">
        <f t="shared" si="232"/>
        <v>173.8</v>
      </c>
      <c r="S125" s="76">
        <f t="shared" si="232"/>
        <v>179.6</v>
      </c>
      <c r="T125" s="76">
        <f t="shared" si="232"/>
        <v>202.9</v>
      </c>
      <c r="U125" s="76">
        <f t="shared" si="232"/>
        <v>208.9</v>
      </c>
      <c r="V125" s="76">
        <f t="shared" si="232"/>
        <v>255.7</v>
      </c>
      <c r="W125" s="76">
        <f t="shared" si="232"/>
        <v>267.8</v>
      </c>
      <c r="X125" s="76">
        <f t="shared" si="232"/>
        <v>305.5</v>
      </c>
      <c r="Y125" s="76">
        <f t="shared" si="232"/>
        <v>336.4</v>
      </c>
      <c r="Z125" s="76">
        <f t="shared" si="232"/>
        <v>382.5</v>
      </c>
      <c r="AA125" s="76">
        <f t="shared" si="232"/>
        <v>437.4</v>
      </c>
      <c r="AB125" s="76">
        <f t="shared" si="232"/>
        <v>412.8</v>
      </c>
      <c r="AC125" s="76">
        <f t="shared" ca="1" si="232"/>
        <v>522.43055017489621</v>
      </c>
      <c r="AD125" s="76">
        <f t="shared" ca="1" si="232"/>
        <v>564.38155611982472</v>
      </c>
      <c r="AE125" s="76">
        <f t="shared" ca="1" si="232"/>
        <v>612.62894163440001</v>
      </c>
      <c r="AF125" s="76">
        <f t="shared" ca="1" si="232"/>
        <v>664.27561569043826</v>
      </c>
      <c r="AG125" s="76">
        <f t="shared" ca="1" si="232"/>
        <v>719.05144785795187</v>
      </c>
      <c r="AH125" s="76">
        <f t="shared" ca="1" si="232"/>
        <v>777.44629592601382</v>
      </c>
      <c r="AI125" s="76">
        <f t="shared" ca="1" si="232"/>
        <v>839.53270190555406</v>
      </c>
      <c r="AJ125" s="76">
        <f t="shared" ca="1" si="232"/>
        <v>905.52999848855518</v>
      </c>
      <c r="AK125" s="76">
        <f t="shared" ca="1" si="232"/>
        <v>975.43272577639323</v>
      </c>
      <c r="AL125" s="76">
        <f t="shared" ca="1" si="232"/>
        <v>1049.4452818455886</v>
      </c>
      <c r="AM125" s="76">
        <f t="shared" ca="1" si="232"/>
        <v>1132.9866403857602</v>
      </c>
      <c r="AN125" s="7"/>
    </row>
    <row r="126" spans="4:44">
      <c r="D126" t="s">
        <v>259</v>
      </c>
      <c r="G126" s="76"/>
      <c r="H126" s="76"/>
      <c r="I126" s="76"/>
      <c r="J126" s="76"/>
      <c r="K126" s="76"/>
      <c r="L126" s="76">
        <f>+L116</f>
        <v>14.4</v>
      </c>
      <c r="M126" s="76">
        <f t="shared" ref="M126:AM126" si="233">+M116</f>
        <v>16.3</v>
      </c>
      <c r="N126" s="76">
        <f t="shared" si="233"/>
        <v>24.3</v>
      </c>
      <c r="O126" s="76">
        <f t="shared" si="233"/>
        <v>26.1</v>
      </c>
      <c r="P126" s="76">
        <f t="shared" si="233"/>
        <v>15.3</v>
      </c>
      <c r="Q126" s="76">
        <f t="shared" si="233"/>
        <v>0.9</v>
      </c>
      <c r="R126" s="76">
        <f t="shared" si="233"/>
        <v>-9.1</v>
      </c>
      <c r="S126" s="76">
        <f t="shared" si="233"/>
        <v>-23.8</v>
      </c>
      <c r="T126" s="76">
        <f t="shared" si="233"/>
        <v>-56.1</v>
      </c>
      <c r="U126" s="76">
        <f t="shared" si="233"/>
        <v>-82.8</v>
      </c>
      <c r="V126" s="76">
        <f t="shared" si="233"/>
        <v>-63.7</v>
      </c>
      <c r="W126" s="76">
        <f t="shared" si="233"/>
        <v>-61.5</v>
      </c>
      <c r="X126" s="76">
        <f t="shared" si="233"/>
        <v>-38.4</v>
      </c>
      <c r="Y126" s="76">
        <f t="shared" si="233"/>
        <v>-49.9</v>
      </c>
      <c r="Z126" s="76">
        <f t="shared" si="233"/>
        <v>-43.4</v>
      </c>
      <c r="AA126" s="76">
        <f t="shared" si="233"/>
        <v>-45.8</v>
      </c>
      <c r="AB126" s="76">
        <f t="shared" si="233"/>
        <v>-39.6</v>
      </c>
      <c r="AC126" s="76">
        <f t="shared" ca="1" si="233"/>
        <v>-6.2489433129604066</v>
      </c>
      <c r="AD126" s="76">
        <f t="shared" ca="1" si="233"/>
        <v>-4.9429762596714255</v>
      </c>
      <c r="AE126" s="76">
        <f t="shared" ca="1" si="233"/>
        <v>-3.4593269032274918</v>
      </c>
      <c r="AF126" s="76">
        <f t="shared" ca="1" si="233"/>
        <v>-1.8357713397707869</v>
      </c>
      <c r="AG126" s="76">
        <f t="shared" ca="1" si="233"/>
        <v>-7.3088358991199698E-2</v>
      </c>
      <c r="AH126" s="76">
        <f t="shared" ca="1" si="233"/>
        <v>1.8416303309192017</v>
      </c>
      <c r="AI126" s="76">
        <f t="shared" ca="1" si="233"/>
        <v>3.913680140238057</v>
      </c>
      <c r="AJ126" s="76">
        <f t="shared" ca="1" si="233"/>
        <v>6.1511998305133773</v>
      </c>
      <c r="AK126" s="76">
        <f t="shared" ca="1" si="233"/>
        <v>8.5572280888290635</v>
      </c>
      <c r="AL126" s="76">
        <f t="shared" ca="1" si="233"/>
        <v>11.139130709744322</v>
      </c>
      <c r="AM126" s="76">
        <f t="shared" ca="1" si="233"/>
        <v>14.033302618065989</v>
      </c>
      <c r="AN126" s="7"/>
    </row>
    <row r="127" spans="4:44">
      <c r="D127" t="s">
        <v>130</v>
      </c>
      <c r="G127" s="76"/>
      <c r="H127" s="76"/>
      <c r="I127" s="76"/>
      <c r="J127" s="76"/>
      <c r="K127" s="76"/>
      <c r="L127" s="76">
        <f>+L117+L119</f>
        <v>19.087392000000023</v>
      </c>
      <c r="M127" s="76">
        <f t="shared" ref="M127:AM127" si="234">+M117+M119</f>
        <v>26.712896000000114</v>
      </c>
      <c r="N127" s="76">
        <f t="shared" si="234"/>
        <v>35.963458999999943</v>
      </c>
      <c r="O127" s="76">
        <f t="shared" si="234"/>
        <v>28.700000000000045</v>
      </c>
      <c r="P127" s="76">
        <f t="shared" si="234"/>
        <v>20.699999999999989</v>
      </c>
      <c r="Q127" s="76">
        <f t="shared" si="234"/>
        <v>42.100000000000023</v>
      </c>
      <c r="R127" s="76">
        <f t="shared" si="234"/>
        <v>43.69999999999996</v>
      </c>
      <c r="S127" s="76">
        <f t="shared" si="234"/>
        <v>32.599999999999966</v>
      </c>
      <c r="T127" s="76">
        <f t="shared" si="234"/>
        <v>38</v>
      </c>
      <c r="U127" s="76">
        <f t="shared" si="234"/>
        <v>64.799999999999983</v>
      </c>
      <c r="V127" s="76">
        <f t="shared" si="234"/>
        <v>62.100000000000023</v>
      </c>
      <c r="W127" s="76">
        <f t="shared" si="234"/>
        <v>85.800000000000011</v>
      </c>
      <c r="X127" s="76">
        <f t="shared" si="234"/>
        <v>101.9</v>
      </c>
      <c r="Y127" s="76">
        <f t="shared" si="234"/>
        <v>82.299999999999955</v>
      </c>
      <c r="Z127" s="76">
        <f t="shared" si="234"/>
        <v>81.800000000000011</v>
      </c>
      <c r="AA127" s="76">
        <f t="shared" si="234"/>
        <v>56.199999999999989</v>
      </c>
      <c r="AB127" s="76">
        <f t="shared" si="234"/>
        <v>-6.2999999999999829</v>
      </c>
      <c r="AC127" s="76">
        <f t="shared" si="234"/>
        <v>25.064480000000003</v>
      </c>
      <c r="AD127" s="76">
        <f t="shared" si="234"/>
        <v>43.397356800000011</v>
      </c>
      <c r="AE127" s="76">
        <f t="shared" si="234"/>
        <v>45.657635800000008</v>
      </c>
      <c r="AF127" s="76">
        <f t="shared" si="234"/>
        <v>47.958780644320001</v>
      </c>
      <c r="AG127" s="76">
        <f t="shared" si="234"/>
        <v>50.301382621946402</v>
      </c>
      <c r="AH127" s="76">
        <f t="shared" si="234"/>
        <v>52.686040761060923</v>
      </c>
      <c r="AI127" s="76">
        <f t="shared" si="234"/>
        <v>53.212901168671522</v>
      </c>
      <c r="AJ127" s="76">
        <f t="shared" si="234"/>
        <v>53.745030180358242</v>
      </c>
      <c r="AK127" s="76">
        <f t="shared" si="234"/>
        <v>54.282480482161844</v>
      </c>
      <c r="AL127" s="76">
        <f t="shared" si="234"/>
        <v>54.825305286983451</v>
      </c>
      <c r="AM127" s="76">
        <f t="shared" si="234"/>
        <v>55.373558339853275</v>
      </c>
      <c r="AN127" s="7"/>
    </row>
    <row r="128" spans="4:44">
      <c r="D128" s="2" t="s">
        <v>265</v>
      </c>
      <c r="E128" s="229"/>
      <c r="F128" s="229"/>
      <c r="G128" s="230"/>
      <c r="H128" s="230"/>
      <c r="I128" s="230"/>
      <c r="J128" s="230"/>
      <c r="K128" s="230"/>
      <c r="L128" s="188">
        <f>SUM(L125:L127)</f>
        <v>118.08739200000002</v>
      </c>
      <c r="M128" s="188">
        <f t="shared" ref="M128:AM128" si="235">SUM(M125:M127)</f>
        <v>140.9128960000001</v>
      </c>
      <c r="N128" s="188">
        <f t="shared" si="235"/>
        <v>174.66345899999996</v>
      </c>
      <c r="O128" s="188">
        <f t="shared" si="235"/>
        <v>187.20000000000005</v>
      </c>
      <c r="P128" s="188">
        <f t="shared" si="235"/>
        <v>161.19999999999999</v>
      </c>
      <c r="Q128" s="188">
        <f t="shared" si="235"/>
        <v>187.50000000000003</v>
      </c>
      <c r="R128" s="188">
        <f t="shared" si="235"/>
        <v>208.39999999999998</v>
      </c>
      <c r="S128" s="188">
        <f t="shared" si="235"/>
        <v>188.39999999999995</v>
      </c>
      <c r="T128" s="188">
        <f t="shared" si="235"/>
        <v>184.8</v>
      </c>
      <c r="U128" s="188">
        <f t="shared" si="235"/>
        <v>190.89999999999998</v>
      </c>
      <c r="V128" s="188">
        <f t="shared" si="235"/>
        <v>254.10000000000002</v>
      </c>
      <c r="W128" s="188">
        <f t="shared" si="235"/>
        <v>292.10000000000002</v>
      </c>
      <c r="X128" s="188">
        <f t="shared" si="235"/>
        <v>369</v>
      </c>
      <c r="Y128" s="188">
        <f t="shared" si="235"/>
        <v>368.79999999999995</v>
      </c>
      <c r="Z128" s="188">
        <f t="shared" si="235"/>
        <v>420.90000000000003</v>
      </c>
      <c r="AA128" s="188">
        <f t="shared" si="235"/>
        <v>447.79999999999995</v>
      </c>
      <c r="AB128" s="188">
        <f t="shared" si="235"/>
        <v>366.9</v>
      </c>
      <c r="AC128" s="188">
        <f t="shared" ca="1" si="235"/>
        <v>541.24608686193585</v>
      </c>
      <c r="AD128" s="188">
        <f t="shared" ca="1" si="235"/>
        <v>602.83593666015327</v>
      </c>
      <c r="AE128" s="188">
        <f t="shared" ca="1" si="235"/>
        <v>654.82725053117247</v>
      </c>
      <c r="AF128" s="188">
        <f t="shared" ca="1" si="235"/>
        <v>710.39862499498747</v>
      </c>
      <c r="AG128" s="188">
        <f t="shared" ca="1" si="235"/>
        <v>769.27974212090703</v>
      </c>
      <c r="AH128" s="188">
        <f t="shared" ca="1" si="235"/>
        <v>831.97396701799391</v>
      </c>
      <c r="AI128" s="188">
        <f t="shared" ca="1" si="235"/>
        <v>896.65928321446358</v>
      </c>
      <c r="AJ128" s="188">
        <f t="shared" ca="1" si="235"/>
        <v>965.42622849942677</v>
      </c>
      <c r="AK128" s="188">
        <f t="shared" ca="1" si="235"/>
        <v>1038.2724343473842</v>
      </c>
      <c r="AL128" s="188">
        <f t="shared" ca="1" si="235"/>
        <v>1115.4097178423162</v>
      </c>
      <c r="AM128" s="188">
        <f t="shared" ca="1" si="235"/>
        <v>1202.3935013436794</v>
      </c>
      <c r="AN128" s="7"/>
      <c r="AO128" s="314">
        <f t="shared" ref="AO128" ca="1" si="236">(AL128/AB128)^(1/10)-1</f>
        <v>0.11760586242844639</v>
      </c>
      <c r="AP128" s="314">
        <f t="shared" ref="AP128" si="237">(AB128/L128)^(1/16)-1</f>
        <v>7.342451933051386E-2</v>
      </c>
      <c r="AQ128" s="314">
        <f t="shared" ref="AQ128" si="238">(AA128/Q128)^(1/10)-1</f>
        <v>9.0958629000132518E-2</v>
      </c>
      <c r="AR128" s="314">
        <f t="shared" ref="AR128" ca="1" si="239">(AL128/AA128)^(1/11)-1</f>
        <v>8.6505298609019121E-2</v>
      </c>
    </row>
    <row r="129" spans="4:40"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7"/>
    </row>
    <row r="130" spans="4:40">
      <c r="D130" t="s">
        <v>401</v>
      </c>
      <c r="G130" s="76"/>
      <c r="H130" s="76"/>
      <c r="I130" s="76"/>
      <c r="J130" s="76"/>
      <c r="K130" s="76"/>
      <c r="L130" s="41">
        <f t="shared" ref="L130:AB130" si="240">+L115/L86</f>
        <v>2.1164815370759531E-2</v>
      </c>
      <c r="M130" s="41">
        <f t="shared" si="240"/>
        <v>2.0518516966026031E-2</v>
      </c>
      <c r="N130" s="41">
        <f t="shared" si="240"/>
        <v>1.9479634927121646E-2</v>
      </c>
      <c r="O130" s="41">
        <f t="shared" si="240"/>
        <v>2.009318136979649E-2</v>
      </c>
      <c r="P130" s="41">
        <f t="shared" si="240"/>
        <v>2.2000808336408526E-2</v>
      </c>
      <c r="Q130" s="41">
        <f t="shared" si="240"/>
        <v>2.3335432714823249E-2</v>
      </c>
      <c r="R130" s="41">
        <f t="shared" si="240"/>
        <v>2.4105409153952845E-2</v>
      </c>
      <c r="S130" s="41">
        <f t="shared" si="240"/>
        <v>2.2946505001980349E-2</v>
      </c>
      <c r="T130" s="41">
        <f t="shared" si="240"/>
        <v>2.3196524522693496E-2</v>
      </c>
      <c r="U130" s="41">
        <f t="shared" si="240"/>
        <v>2.0269155759098805E-2</v>
      </c>
      <c r="V130" s="41">
        <f t="shared" si="240"/>
        <v>2.190243693520065E-2</v>
      </c>
      <c r="W130" s="41">
        <f t="shared" si="240"/>
        <v>2.1528369535508143E-2</v>
      </c>
      <c r="X130" s="41">
        <f t="shared" si="240"/>
        <v>2.3020639453834386E-2</v>
      </c>
      <c r="Y130" s="41">
        <f t="shared" si="240"/>
        <v>2.3373447097079014E-2</v>
      </c>
      <c r="Z130" s="41">
        <f t="shared" si="240"/>
        <v>2.5209585574185386E-2</v>
      </c>
      <c r="AA130" s="41">
        <f t="shared" si="240"/>
        <v>2.5475406971664869E-2</v>
      </c>
      <c r="AB130" s="41">
        <f t="shared" si="240"/>
        <v>2.6271240374212437E-2</v>
      </c>
      <c r="AC130" s="79">
        <f>+AB130*1.0025</f>
        <v>2.6336918475147967E-2</v>
      </c>
      <c r="AD130" s="79">
        <f t="shared" ref="AD130:AM130" si="241">+AC130*1.0025</f>
        <v>2.6402760771335836E-2</v>
      </c>
      <c r="AE130" s="79">
        <f t="shared" si="241"/>
        <v>2.6468767673264174E-2</v>
      </c>
      <c r="AF130" s="79">
        <f t="shared" si="241"/>
        <v>2.6534939592447335E-2</v>
      </c>
      <c r="AG130" s="79">
        <f t="shared" si="241"/>
        <v>2.6601276941428453E-2</v>
      </c>
      <c r="AH130" s="79">
        <f t="shared" si="241"/>
        <v>2.6667780133782022E-2</v>
      </c>
      <c r="AI130" s="79">
        <f t="shared" si="241"/>
        <v>2.6734449584116474E-2</v>
      </c>
      <c r="AJ130" s="79">
        <f t="shared" si="241"/>
        <v>2.6801285708076765E-2</v>
      </c>
      <c r="AK130" s="79">
        <f t="shared" si="241"/>
        <v>2.6868288922346956E-2</v>
      </c>
      <c r="AL130" s="79">
        <f t="shared" si="241"/>
        <v>2.6935459644652823E-2</v>
      </c>
      <c r="AM130" s="79">
        <f t="shared" si="241"/>
        <v>2.7002798293764452E-2</v>
      </c>
      <c r="AN130" s="7"/>
    </row>
    <row r="131" spans="4:40">
      <c r="D131" t="s">
        <v>402</v>
      </c>
      <c r="G131" s="76"/>
      <c r="H131" s="76"/>
      <c r="I131" s="76"/>
      <c r="J131" s="76"/>
      <c r="K131" s="76"/>
      <c r="L131" s="41"/>
      <c r="M131" s="41">
        <f t="shared" ref="M131:AB131" si="242">+M117/L117-1</f>
        <v>3.7952646239554522E-2</v>
      </c>
      <c r="N131" s="41">
        <f t="shared" si="242"/>
        <v>-0.10147601476014756</v>
      </c>
      <c r="O131" s="41">
        <f t="shared" si="242"/>
        <v>-0.12899010640283748</v>
      </c>
      <c r="P131" s="41">
        <f t="shared" si="242"/>
        <v>-0.22181740248606951</v>
      </c>
      <c r="Q131" s="41">
        <f t="shared" si="242"/>
        <v>-0.20793169925640309</v>
      </c>
      <c r="R131" s="41">
        <f t="shared" si="242"/>
        <v>3.9986091794158574E-2</v>
      </c>
      <c r="S131" s="41">
        <f t="shared" si="242"/>
        <v>3.343363423602419E-4</v>
      </c>
      <c r="T131" s="41">
        <f t="shared" si="242"/>
        <v>3.4425133689839571E-2</v>
      </c>
      <c r="U131" s="41">
        <f t="shared" si="242"/>
        <v>2.9079159935379684E-2</v>
      </c>
      <c r="V131" s="41">
        <f t="shared" si="242"/>
        <v>0.1086342229199373</v>
      </c>
      <c r="W131" s="41">
        <f t="shared" si="242"/>
        <v>-0.10591900311526492</v>
      </c>
      <c r="X131" s="41">
        <f t="shared" si="242"/>
        <v>-0.19258789990497305</v>
      </c>
      <c r="Y131" s="41">
        <f t="shared" si="242"/>
        <v>2.0792467634366263E-2</v>
      </c>
      <c r="Z131" s="41">
        <f t="shared" si="242"/>
        <v>3.0745580322828703E-2</v>
      </c>
      <c r="AA131" s="41">
        <f t="shared" si="242"/>
        <v>-3.4675615212528044E-2</v>
      </c>
      <c r="AB131" s="41">
        <f t="shared" si="242"/>
        <v>-0.24835843955195047</v>
      </c>
      <c r="AC131" s="52">
        <v>-0.08</v>
      </c>
      <c r="AD131" s="52">
        <v>0.01</v>
      </c>
      <c r="AE131" s="52">
        <v>0.01</v>
      </c>
      <c r="AF131" s="52">
        <v>0.01</v>
      </c>
      <c r="AG131" s="52">
        <v>0.01</v>
      </c>
      <c r="AH131" s="52">
        <v>0.01</v>
      </c>
      <c r="AI131" s="52">
        <v>0.01</v>
      </c>
      <c r="AJ131" s="52">
        <v>0.01</v>
      </c>
      <c r="AK131" s="52">
        <v>0.01</v>
      </c>
      <c r="AL131" s="52">
        <v>0.01</v>
      </c>
      <c r="AM131" s="52">
        <v>0.01</v>
      </c>
      <c r="AN131" s="7"/>
    </row>
    <row r="132" spans="4:40">
      <c r="G132" s="76"/>
      <c r="H132" s="76"/>
      <c r="I132" s="76"/>
      <c r="J132" s="76"/>
      <c r="K132" s="76"/>
      <c r="L132" s="76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7"/>
    </row>
    <row r="133" spans="4:40">
      <c r="D133" s="262" t="s">
        <v>259</v>
      </c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7"/>
    </row>
    <row r="134" spans="4:40">
      <c r="D134" t="s">
        <v>528</v>
      </c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>
        <f t="shared" ref="W134:AM134" si="243">+W171*W71</f>
        <v>112.208416</v>
      </c>
      <c r="X134" s="76">
        <f t="shared" si="243"/>
        <v>119.490332</v>
      </c>
      <c r="Y134" s="76">
        <f t="shared" si="243"/>
        <v>119.77099199999999</v>
      </c>
      <c r="Z134" s="76">
        <f t="shared" si="243"/>
        <v>134.064019</v>
      </c>
      <c r="AA134" s="76">
        <f t="shared" si="243"/>
        <v>168.19328000000002</v>
      </c>
      <c r="AB134" s="76">
        <f t="shared" si="243"/>
        <v>167.66522599999999</v>
      </c>
      <c r="AC134" s="76">
        <f t="shared" ca="1" si="243"/>
        <v>209.06992938733956</v>
      </c>
      <c r="AD134" s="76">
        <f t="shared" ca="1" si="243"/>
        <v>222.51352142332479</v>
      </c>
      <c r="AE134" s="76">
        <f t="shared" ca="1" si="243"/>
        <v>237.95875647103003</v>
      </c>
      <c r="AF134" s="76">
        <f t="shared" ca="1" si="243"/>
        <v>254.19855553047617</v>
      </c>
      <c r="AG134" s="76">
        <f t="shared" ca="1" si="243"/>
        <v>271.08489535254279</v>
      </c>
      <c r="AH134" s="76">
        <f t="shared" ca="1" si="243"/>
        <v>288.75953923761529</v>
      </c>
      <c r="AI134" s="76">
        <f t="shared" ca="1" si="243"/>
        <v>307.20207576429021</v>
      </c>
      <c r="AJ134" s="76">
        <f t="shared" ca="1" si="243"/>
        <v>326.44495202933405</v>
      </c>
      <c r="AK134" s="76">
        <f t="shared" ca="1" si="243"/>
        <v>346.43760212398428</v>
      </c>
      <c r="AL134" s="76">
        <f t="shared" ca="1" si="243"/>
        <v>367.20457890919243</v>
      </c>
      <c r="AM134" s="76">
        <f t="shared" ca="1" si="243"/>
        <v>390.56530800909246</v>
      </c>
      <c r="AN134" s="7"/>
    </row>
    <row r="135" spans="4:40">
      <c r="D135" t="s">
        <v>529</v>
      </c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>
        <f t="shared" ref="W135:AM135" si="244">+W172*W71</f>
        <v>85.551168000000018</v>
      </c>
      <c r="X135" s="76">
        <f t="shared" si="244"/>
        <v>65.786811999999998</v>
      </c>
      <c r="Y135" s="76">
        <f t="shared" si="244"/>
        <v>75.758759999999995</v>
      </c>
      <c r="Z135" s="76">
        <f t="shared" si="244"/>
        <v>74.14713900000001</v>
      </c>
      <c r="AA135" s="76">
        <f t="shared" si="244"/>
        <v>84.929279999999991</v>
      </c>
      <c r="AB135" s="76">
        <f t="shared" si="244"/>
        <v>81.952957999999995</v>
      </c>
      <c r="AC135" s="76">
        <f t="shared" ca="1" si="244"/>
        <v>101.1692200905283</v>
      </c>
      <c r="AD135" s="76">
        <f t="shared" ca="1" si="244"/>
        <v>106.59784643866845</v>
      </c>
      <c r="AE135" s="76">
        <f t="shared" ca="1" si="244"/>
        <v>112.85710598885268</v>
      </c>
      <c r="AF135" s="76">
        <f t="shared" ca="1" si="244"/>
        <v>119.35359140245261</v>
      </c>
      <c r="AG135" s="76">
        <f t="shared" ca="1" si="244"/>
        <v>126.00939533305448</v>
      </c>
      <c r="AH135" s="76">
        <f t="shared" ca="1" si="244"/>
        <v>132.88291381847955</v>
      </c>
      <c r="AI135" s="76">
        <f t="shared" ca="1" si="244"/>
        <v>139.95620022028788</v>
      </c>
      <c r="AJ135" s="76">
        <f t="shared" ca="1" si="244"/>
        <v>147.23570797468651</v>
      </c>
      <c r="AK135" s="76">
        <f t="shared" ca="1" si="244"/>
        <v>154.69041701420494</v>
      </c>
      <c r="AL135" s="76">
        <f t="shared" ca="1" si="244"/>
        <v>162.32360113857686</v>
      </c>
      <c r="AM135" s="76">
        <f t="shared" ca="1" si="244"/>
        <v>170.92376078076134</v>
      </c>
      <c r="AN135" s="7"/>
    </row>
    <row r="136" spans="4:40">
      <c r="D136" t="s">
        <v>526</v>
      </c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81">
        <v>300</v>
      </c>
      <c r="X136" s="81">
        <v>300</v>
      </c>
      <c r="Y136" s="81">
        <v>300</v>
      </c>
      <c r="Z136" s="81">
        <v>300</v>
      </c>
      <c r="AA136" s="81">
        <v>300</v>
      </c>
      <c r="AB136" s="81">
        <v>315</v>
      </c>
      <c r="AC136" s="81">
        <v>400</v>
      </c>
      <c r="AD136" s="81">
        <v>400</v>
      </c>
      <c r="AE136" s="81">
        <v>400</v>
      </c>
      <c r="AF136" s="81">
        <v>400</v>
      </c>
      <c r="AG136" s="81">
        <v>400</v>
      </c>
      <c r="AH136" s="81">
        <v>400</v>
      </c>
      <c r="AI136" s="81">
        <v>400</v>
      </c>
      <c r="AJ136" s="81">
        <v>400</v>
      </c>
      <c r="AK136" s="81">
        <v>400</v>
      </c>
      <c r="AL136" s="81">
        <v>400</v>
      </c>
      <c r="AM136" s="81">
        <v>400</v>
      </c>
      <c r="AN136" s="7"/>
    </row>
    <row r="137" spans="4:40">
      <c r="D137" t="s">
        <v>527</v>
      </c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81">
        <v>-1000</v>
      </c>
      <c r="X137" s="81">
        <v>-1000</v>
      </c>
      <c r="Y137" s="81">
        <v>-1000</v>
      </c>
      <c r="Z137" s="81">
        <v>-1000</v>
      </c>
      <c r="AA137" s="81">
        <v>-1000</v>
      </c>
      <c r="AB137" s="81">
        <v>-975</v>
      </c>
      <c r="AC137" s="81">
        <v>-750</v>
      </c>
      <c r="AD137" s="81">
        <v>-750</v>
      </c>
      <c r="AE137" s="81">
        <v>-750</v>
      </c>
      <c r="AF137" s="81">
        <v>-750</v>
      </c>
      <c r="AG137" s="81">
        <v>-750</v>
      </c>
      <c r="AH137" s="81">
        <v>-750</v>
      </c>
      <c r="AI137" s="81">
        <v>-750</v>
      </c>
      <c r="AJ137" s="81">
        <v>-750</v>
      </c>
      <c r="AK137" s="81">
        <v>-750</v>
      </c>
      <c r="AL137" s="81">
        <v>-750</v>
      </c>
      <c r="AM137" s="81">
        <v>-750</v>
      </c>
      <c r="AN137" s="7"/>
    </row>
    <row r="138" spans="4:40">
      <c r="D138" t="s">
        <v>398</v>
      </c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>
        <f>+W134*W136/1000</f>
        <v>33.6625248</v>
      </c>
      <c r="X138" s="76">
        <f t="shared" ref="X138:AA138" si="245">+X134*X136/1000</f>
        <v>35.8470996</v>
      </c>
      <c r="Y138" s="76">
        <f t="shared" si="245"/>
        <v>35.931297600000001</v>
      </c>
      <c r="Z138" s="76">
        <f t="shared" si="245"/>
        <v>40.219205699999996</v>
      </c>
      <c r="AA138" s="76">
        <f t="shared" si="245"/>
        <v>50.457984000000003</v>
      </c>
      <c r="AB138" s="76">
        <f>+AB134*AB136/1000</f>
        <v>52.814546189999994</v>
      </c>
      <c r="AC138" s="76">
        <f ca="1">+AC134*AC136/1000</f>
        <v>83.627971754935814</v>
      </c>
      <c r="AD138" s="76">
        <f t="shared" ref="AD138:AM138" ca="1" si="246">+AD134*AD136/1000</f>
        <v>89.005408569329916</v>
      </c>
      <c r="AE138" s="76">
        <f t="shared" ca="1" si="246"/>
        <v>95.183502588412011</v>
      </c>
      <c r="AF138" s="76">
        <f t="shared" ca="1" si="246"/>
        <v>101.67942221219047</v>
      </c>
      <c r="AG138" s="76">
        <f t="shared" ca="1" si="246"/>
        <v>108.43395814101711</v>
      </c>
      <c r="AH138" s="76">
        <f t="shared" ca="1" si="246"/>
        <v>115.50381569504611</v>
      </c>
      <c r="AI138" s="76">
        <f t="shared" ca="1" si="246"/>
        <v>122.88083030571607</v>
      </c>
      <c r="AJ138" s="76">
        <f t="shared" ca="1" si="246"/>
        <v>130.57798081173362</v>
      </c>
      <c r="AK138" s="76">
        <f t="shared" ca="1" si="246"/>
        <v>138.57504084959371</v>
      </c>
      <c r="AL138" s="76">
        <f t="shared" ca="1" si="246"/>
        <v>146.88183156367697</v>
      </c>
      <c r="AM138" s="76">
        <f t="shared" ca="1" si="246"/>
        <v>156.226123203637</v>
      </c>
      <c r="AN138" s="7"/>
    </row>
    <row r="139" spans="4:40">
      <c r="D139" t="s">
        <v>399</v>
      </c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>
        <f>+W135*W137/1000</f>
        <v>-85.551168000000018</v>
      </c>
      <c r="X139" s="76">
        <f t="shared" ref="X139:AA139" si="247">+X135*X137/1000</f>
        <v>-65.786811999999998</v>
      </c>
      <c r="Y139" s="76">
        <f t="shared" si="247"/>
        <v>-75.758759999999995</v>
      </c>
      <c r="Z139" s="76">
        <f t="shared" si="247"/>
        <v>-74.14713900000001</v>
      </c>
      <c r="AA139" s="76">
        <f t="shared" si="247"/>
        <v>-84.929279999999977</v>
      </c>
      <c r="AB139" s="76">
        <f>+AB135*AB137/1000</f>
        <v>-79.904134049999996</v>
      </c>
      <c r="AC139" s="76">
        <f ca="1">+AC135*AC137/1000</f>
        <v>-75.876915067896221</v>
      </c>
      <c r="AD139" s="76">
        <f t="shared" ref="AD139:AM139" ca="1" si="248">+AD135*AD137/1000</f>
        <v>-79.948384829001341</v>
      </c>
      <c r="AE139" s="76">
        <f t="shared" ca="1" si="248"/>
        <v>-84.642829491639503</v>
      </c>
      <c r="AF139" s="76">
        <f t="shared" ca="1" si="248"/>
        <v>-89.515193551839459</v>
      </c>
      <c r="AG139" s="76">
        <f t="shared" ca="1" si="248"/>
        <v>-94.50704649979086</v>
      </c>
      <c r="AH139" s="76">
        <f t="shared" ca="1" si="248"/>
        <v>-99.662185363859663</v>
      </c>
      <c r="AI139" s="76">
        <f t="shared" ca="1" si="248"/>
        <v>-104.96715016521591</v>
      </c>
      <c r="AJ139" s="76">
        <f t="shared" ca="1" si="248"/>
        <v>-110.42678098101487</v>
      </c>
      <c r="AK139" s="76">
        <f t="shared" ca="1" si="248"/>
        <v>-116.0178127606537</v>
      </c>
      <c r="AL139" s="76">
        <f t="shared" ca="1" si="248"/>
        <v>-121.74270085393265</v>
      </c>
      <c r="AM139" s="76">
        <f t="shared" ca="1" si="248"/>
        <v>-128.19282058557101</v>
      </c>
      <c r="AN139" s="7"/>
    </row>
    <row r="140" spans="4:40">
      <c r="D140" t="s">
        <v>130</v>
      </c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>
        <f>+W141-SUM(W138:W139)</f>
        <v>-9.6113567999999816</v>
      </c>
      <c r="X140" s="76">
        <f t="shared" ref="X140:AA140" si="249">+X141-SUM(X138:X139)</f>
        <v>-8.4602876000000009</v>
      </c>
      <c r="Y140" s="76">
        <f t="shared" si="249"/>
        <v>-10.072537600000004</v>
      </c>
      <c r="Z140" s="76">
        <f t="shared" si="249"/>
        <v>-9.472066699999985</v>
      </c>
      <c r="AA140" s="76">
        <f t="shared" si="249"/>
        <v>-11.328704000000023</v>
      </c>
      <c r="AB140" s="76">
        <f>+AB141-SUM(AB138:AB139)</f>
        <v>-12.51041214</v>
      </c>
      <c r="AC140" s="81">
        <v>-14</v>
      </c>
      <c r="AD140" s="81">
        <v>-14</v>
      </c>
      <c r="AE140" s="81">
        <v>-14</v>
      </c>
      <c r="AF140" s="81">
        <v>-14</v>
      </c>
      <c r="AG140" s="81">
        <v>-14</v>
      </c>
      <c r="AH140" s="81">
        <v>-14</v>
      </c>
      <c r="AI140" s="81">
        <v>-14</v>
      </c>
      <c r="AJ140" s="81">
        <v>-14</v>
      </c>
      <c r="AK140" s="81">
        <v>-14</v>
      </c>
      <c r="AL140" s="81">
        <v>-14</v>
      </c>
      <c r="AM140" s="81">
        <v>-14</v>
      </c>
      <c r="AN140" s="7"/>
    </row>
    <row r="141" spans="4:40">
      <c r="D141" s="2" t="s">
        <v>400</v>
      </c>
      <c r="E141" s="229"/>
      <c r="F141" s="229"/>
      <c r="G141" s="230"/>
      <c r="H141" s="230"/>
      <c r="I141" s="230"/>
      <c r="J141" s="230"/>
      <c r="K141" s="230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>
        <f t="shared" ref="W141:AB141" si="250">+W116</f>
        <v>-61.5</v>
      </c>
      <c r="X141" s="188">
        <f t="shared" si="250"/>
        <v>-38.4</v>
      </c>
      <c r="Y141" s="188">
        <f t="shared" si="250"/>
        <v>-49.9</v>
      </c>
      <c r="Z141" s="188">
        <f t="shared" si="250"/>
        <v>-43.4</v>
      </c>
      <c r="AA141" s="188">
        <f t="shared" si="250"/>
        <v>-45.8</v>
      </c>
      <c r="AB141" s="188">
        <f t="shared" si="250"/>
        <v>-39.6</v>
      </c>
      <c r="AC141" s="106">
        <f ca="1">SUM(AC138:AC140)</f>
        <v>-6.2489433129604066</v>
      </c>
      <c r="AD141" s="106">
        <f t="shared" ref="AD141:AM141" ca="1" si="251">SUM(AD138:AD140)</f>
        <v>-4.9429762596714255</v>
      </c>
      <c r="AE141" s="106">
        <f t="shared" ca="1" si="251"/>
        <v>-3.4593269032274918</v>
      </c>
      <c r="AF141" s="106">
        <f t="shared" ca="1" si="251"/>
        <v>-1.8357713396489856</v>
      </c>
      <c r="AG141" s="106">
        <f t="shared" ca="1" si="251"/>
        <v>-7.3088358773745199E-2</v>
      </c>
      <c r="AH141" s="106">
        <f t="shared" ca="1" si="251"/>
        <v>1.841630331186451</v>
      </c>
      <c r="AI141" s="106">
        <f t="shared" ca="1" si="251"/>
        <v>3.913680140500162</v>
      </c>
      <c r="AJ141" s="106">
        <f t="shared" ca="1" si="251"/>
        <v>6.1511998307187525</v>
      </c>
      <c r="AK141" s="106">
        <f t="shared" ca="1" si="251"/>
        <v>8.5572280889400076</v>
      </c>
      <c r="AL141" s="106">
        <f t="shared" ca="1" si="251"/>
        <v>11.139130709744322</v>
      </c>
      <c r="AM141" s="106">
        <f t="shared" ca="1" si="251"/>
        <v>14.033302618065989</v>
      </c>
      <c r="AN141" s="7"/>
    </row>
    <row r="142" spans="4:40"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7"/>
    </row>
    <row r="143" spans="4:40">
      <c r="D143" s="210" t="s">
        <v>246</v>
      </c>
      <c r="E143" s="205"/>
      <c r="F143" s="205"/>
      <c r="G143" s="205"/>
      <c r="H143" s="205"/>
      <c r="I143" s="205"/>
      <c r="J143" s="205"/>
      <c r="K143" s="205"/>
      <c r="L143" s="206"/>
      <c r="M143" s="206"/>
      <c r="N143" s="206"/>
      <c r="O143" s="206"/>
      <c r="P143" s="206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</row>
    <row r="144" spans="4:40">
      <c r="D144" t="s">
        <v>292</v>
      </c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>
        <f t="shared" ref="Q144:AB144" si="252">+P149</f>
        <v>3986.7</v>
      </c>
      <c r="R144" s="76">
        <f t="shared" si="252"/>
        <v>4112.7</v>
      </c>
      <c r="S144" s="76">
        <f t="shared" si="252"/>
        <v>4334.6000000000004</v>
      </c>
      <c r="T144" s="76">
        <f t="shared" si="252"/>
        <v>4981.8</v>
      </c>
      <c r="U144" s="76">
        <f t="shared" si="252"/>
        <v>5933.3</v>
      </c>
      <c r="V144" s="76">
        <f t="shared" si="252"/>
        <v>7184.4</v>
      </c>
      <c r="W144" s="76">
        <f t="shared" si="252"/>
        <v>8458.7000000000007</v>
      </c>
      <c r="X144" s="76">
        <f t="shared" si="252"/>
        <v>9593.6</v>
      </c>
      <c r="Y144" s="76">
        <f t="shared" si="252"/>
        <v>10681.3</v>
      </c>
      <c r="Z144" s="76">
        <f t="shared" si="252"/>
        <v>11618.9</v>
      </c>
      <c r="AA144" s="76">
        <f t="shared" si="252"/>
        <v>12510.2</v>
      </c>
      <c r="AB144" s="76">
        <f t="shared" si="252"/>
        <v>13617.8</v>
      </c>
      <c r="AC144" s="76">
        <f t="shared" ref="AC144:AM144" si="253">+AB149</f>
        <v>13847.2</v>
      </c>
      <c r="AD144" s="76">
        <f t="shared" ca="1" si="253"/>
        <v>14959.462532443902</v>
      </c>
      <c r="AE144" s="76">
        <f t="shared" ca="1" si="253"/>
        <v>16069.051901282503</v>
      </c>
      <c r="AF144" s="76">
        <f t="shared" ca="1" si="253"/>
        <v>17291.300809742519</v>
      </c>
      <c r="AG144" s="76">
        <f t="shared" ca="1" si="253"/>
        <v>18629.130635967933</v>
      </c>
      <c r="AH144" s="76">
        <f t="shared" ca="1" si="253"/>
        <v>20083.402240020328</v>
      </c>
      <c r="AI144" s="76">
        <f t="shared" ca="1" si="253"/>
        <v>21658.212376037685</v>
      </c>
      <c r="AJ144" s="76">
        <f t="shared" ca="1" si="253"/>
        <v>23357.596409456411</v>
      </c>
      <c r="AK144" s="76">
        <f t="shared" ca="1" si="253"/>
        <v>25186.503519656104</v>
      </c>
      <c r="AL144" s="76">
        <f t="shared" ca="1" si="253"/>
        <v>27149.155420841918</v>
      </c>
      <c r="AM144" s="76">
        <f t="shared" ca="1" si="253"/>
        <v>29250.566597274163</v>
      </c>
      <c r="AN144" s="7"/>
    </row>
    <row r="145" spans="4:44">
      <c r="D145" s="71" t="s">
        <v>293</v>
      </c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>
        <f t="shared" ref="Q145:AB145" si="254">+Q158*Q163</f>
        <v>560.79793856001618</v>
      </c>
      <c r="R145" s="76">
        <f t="shared" si="254"/>
        <v>651.42188595616653</v>
      </c>
      <c r="S145" s="76">
        <f t="shared" si="254"/>
        <v>1062.1723122917074</v>
      </c>
      <c r="T145" s="76">
        <f t="shared" si="254"/>
        <v>1381.4581230121862</v>
      </c>
      <c r="U145" s="76">
        <f t="shared" si="254"/>
        <v>1736.5603969415233</v>
      </c>
      <c r="V145" s="76">
        <f t="shared" si="254"/>
        <v>1975.1658804496792</v>
      </c>
      <c r="W145" s="76">
        <f t="shared" si="254"/>
        <v>2213.9669998193358</v>
      </c>
      <c r="X145" s="76">
        <f t="shared" si="254"/>
        <v>2497.1216216739613</v>
      </c>
      <c r="Y145" s="76">
        <f t="shared" si="254"/>
        <v>2567.7855195755578</v>
      </c>
      <c r="Z145" s="76">
        <f t="shared" si="254"/>
        <v>2737.2473418509107</v>
      </c>
      <c r="AA145" s="76">
        <f t="shared" si="254"/>
        <v>3011.2662901133745</v>
      </c>
      <c r="AB145" s="76">
        <f t="shared" si="254"/>
        <v>2716.2134407643957</v>
      </c>
      <c r="AC145" s="76">
        <f t="shared" ref="AC145:AL145" ca="1" si="255">+AC158*AC163</f>
        <v>3412.8575667976475</v>
      </c>
      <c r="AD145" s="76">
        <f t="shared" ca="1" si="255"/>
        <v>3618.765585510494</v>
      </c>
      <c r="AE145" s="76">
        <f t="shared" ca="1" si="255"/>
        <v>3948.393670811784</v>
      </c>
      <c r="AF145" s="76">
        <f t="shared" ca="1" si="255"/>
        <v>4302.9779465592428</v>
      </c>
      <c r="AG145" s="76">
        <f t="shared" ca="1" si="255"/>
        <v>4681.0342934885366</v>
      </c>
      <c r="AH145" s="76">
        <f t="shared" ca="1" si="255"/>
        <v>5086.0083520699045</v>
      </c>
      <c r="AI145" s="76">
        <f t="shared" ca="1" si="255"/>
        <v>5518.6574965697218</v>
      </c>
      <c r="AJ145" s="76">
        <f t="shared" ca="1" si="255"/>
        <v>5980.7097241976344</v>
      </c>
      <c r="AK145" s="76">
        <f t="shared" ca="1" si="255"/>
        <v>6472.4204239823903</v>
      </c>
      <c r="AL145" s="76">
        <f t="shared" ca="1" si="255"/>
        <v>6995.434753579174</v>
      </c>
      <c r="AM145" s="76">
        <f ca="1">+AM158*AM163</f>
        <v>7586.3301777416473</v>
      </c>
      <c r="AN145" s="7"/>
    </row>
    <row r="146" spans="4:44">
      <c r="D146" s="71" t="s">
        <v>294</v>
      </c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>
        <f t="shared" ref="Q146:AB146" si="256">-Q144/(Q168/12)</f>
        <v>-745.1775700934578</v>
      </c>
      <c r="R146" s="76">
        <f t="shared" si="256"/>
        <v>-765.15348837209297</v>
      </c>
      <c r="S146" s="76">
        <f t="shared" si="256"/>
        <v>-796.55742725880566</v>
      </c>
      <c r="T146" s="76">
        <f t="shared" si="256"/>
        <v>-907.15629742033377</v>
      </c>
      <c r="U146" s="76">
        <f t="shared" si="256"/>
        <v>-1088.6788990825687</v>
      </c>
      <c r="V146" s="76">
        <f t="shared" si="256"/>
        <v>-1318.2385321100917</v>
      </c>
      <c r="W146" s="76">
        <f t="shared" si="256"/>
        <v>-1540.279210925645</v>
      </c>
      <c r="X146" s="76">
        <f t="shared" si="256"/>
        <v>-1749.5927051671733</v>
      </c>
      <c r="Y146" s="76">
        <f t="shared" si="256"/>
        <v>-1947.9574468085104</v>
      </c>
      <c r="Z146" s="76">
        <f t="shared" si="256"/>
        <v>-2112.5272727272727</v>
      </c>
      <c r="AA146" s="76">
        <f t="shared" si="256"/>
        <v>-2271.14069591528</v>
      </c>
      <c r="AB146" s="76">
        <f t="shared" si="256"/>
        <v>-2475.9636363636364</v>
      </c>
      <c r="AC146" s="76">
        <f t="shared" ref="AC146:AL146" si="257">-AC144/(AC168/12)</f>
        <v>-2517.6727272727276</v>
      </c>
      <c r="AD146" s="76">
        <f t="shared" ca="1" si="257"/>
        <v>-2719.9022786261639</v>
      </c>
      <c r="AE146" s="76">
        <f t="shared" ca="1" si="257"/>
        <v>-2921.6458002331824</v>
      </c>
      <c r="AF146" s="76">
        <f t="shared" ca="1" si="257"/>
        <v>-3143.8728744986397</v>
      </c>
      <c r="AG146" s="76">
        <f t="shared" ca="1" si="257"/>
        <v>-3387.1146610850788</v>
      </c>
      <c r="AH146" s="76">
        <f t="shared" ca="1" si="257"/>
        <v>-3651.5276800036959</v>
      </c>
      <c r="AI146" s="76">
        <f t="shared" ca="1" si="257"/>
        <v>-3937.8567956432157</v>
      </c>
      <c r="AJ146" s="76">
        <f t="shared" ca="1" si="257"/>
        <v>-4246.8357108102564</v>
      </c>
      <c r="AK146" s="76">
        <f t="shared" ca="1" si="257"/>
        <v>-4579.3642763011094</v>
      </c>
      <c r="AL146" s="76">
        <f t="shared" ca="1" si="257"/>
        <v>-4936.2100765167124</v>
      </c>
      <c r="AM146" s="76">
        <f ca="1">-AM144/(AM168/12)</f>
        <v>-5318.2848358680294</v>
      </c>
      <c r="AN146" s="7"/>
    </row>
    <row r="147" spans="4:44">
      <c r="D147" s="71" t="s">
        <v>295</v>
      </c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>
        <f t="shared" ref="Q147:AB147" si="258">-Q153</f>
        <v>-70.18956</v>
      </c>
      <c r="R147" s="76">
        <f t="shared" si="258"/>
        <v>-47.374879999999997</v>
      </c>
      <c r="S147" s="76">
        <f t="shared" si="258"/>
        <v>-32.170559999999995</v>
      </c>
      <c r="T147" s="76">
        <f t="shared" si="258"/>
        <v>-42.006899999999995</v>
      </c>
      <c r="U147" s="76">
        <f t="shared" si="258"/>
        <v>-59.6</v>
      </c>
      <c r="V147" s="76">
        <f t="shared" si="258"/>
        <v>-70.5</v>
      </c>
      <c r="W147" s="76">
        <f t="shared" si="258"/>
        <v>-88</v>
      </c>
      <c r="X147" s="76">
        <f t="shared" si="258"/>
        <v>-121.9</v>
      </c>
      <c r="Y147" s="76">
        <f t="shared" si="258"/>
        <v>-132.6</v>
      </c>
      <c r="Z147" s="76">
        <f t="shared" si="258"/>
        <v>-144.19999999999999</v>
      </c>
      <c r="AA147" s="76">
        <f t="shared" si="258"/>
        <v>-166.1</v>
      </c>
      <c r="AB147" s="76">
        <f t="shared" si="258"/>
        <v>-109.4</v>
      </c>
      <c r="AC147" s="76">
        <f t="shared" ref="AC147:AL147" ca="1" si="259">-AC153</f>
        <v>-182.92230708101877</v>
      </c>
      <c r="AD147" s="76">
        <f t="shared" ca="1" si="259"/>
        <v>-189.27393804573109</v>
      </c>
      <c r="AE147" s="76">
        <f t="shared" ca="1" si="259"/>
        <v>-204.49896211858339</v>
      </c>
      <c r="AF147" s="76">
        <f t="shared" ca="1" si="259"/>
        <v>-221.2752457702932</v>
      </c>
      <c r="AG147" s="76">
        <f t="shared" ca="1" si="259"/>
        <v>-239.64802817656116</v>
      </c>
      <c r="AH147" s="76">
        <f t="shared" ca="1" si="259"/>
        <v>-259.67053574641011</v>
      </c>
      <c r="AI147" s="76">
        <f t="shared" ca="1" si="259"/>
        <v>-281.41666708597256</v>
      </c>
      <c r="AJ147" s="76">
        <f t="shared" ca="1" si="259"/>
        <v>-304.96690267723727</v>
      </c>
      <c r="AK147" s="76">
        <f t="shared" ca="1" si="259"/>
        <v>-330.40424594094884</v>
      </c>
      <c r="AL147" s="76">
        <f t="shared" ca="1" si="259"/>
        <v>-357.81350007995155</v>
      </c>
      <c r="AM147" s="76">
        <f ca="1">-AM153</f>
        <v>-387.51129940782835</v>
      </c>
      <c r="AN147" s="7"/>
    </row>
    <row r="148" spans="4:44">
      <c r="D148" s="71" t="s">
        <v>296</v>
      </c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>
        <f t="shared" ref="Q148:Y148" si="260">+Q149-Q145-Q144-Q146-Q147</f>
        <v>380.56919153344177</v>
      </c>
      <c r="R148" s="76">
        <f t="shared" si="260"/>
        <v>383.006482415927</v>
      </c>
      <c r="S148" s="76">
        <f t="shared" si="260"/>
        <v>413.75567496709812</v>
      </c>
      <c r="T148" s="76">
        <f t="shared" si="260"/>
        <v>519.20507440814708</v>
      </c>
      <c r="U148" s="76">
        <f t="shared" si="260"/>
        <v>662.81850214104486</v>
      </c>
      <c r="V148" s="76">
        <f t="shared" si="260"/>
        <v>687.87265166041357</v>
      </c>
      <c r="W148" s="76">
        <f t="shared" si="260"/>
        <v>549.21221110630881</v>
      </c>
      <c r="X148" s="76">
        <f t="shared" si="260"/>
        <v>462.07108349321095</v>
      </c>
      <c r="Y148" s="76">
        <f t="shared" si="260"/>
        <v>450.37192723295254</v>
      </c>
      <c r="Z148" s="76">
        <f>+Z149-Z145-Z144-Z146-Z147</f>
        <v>410.77993087636304</v>
      </c>
      <c r="AA148" s="76">
        <f>+AA149-AA145-AA144-AA146-AA147</f>
        <v>533.57440580190507</v>
      </c>
      <c r="AB148" s="76">
        <f>+AB149-AB145-AB144-AB146-AB147</f>
        <v>98.550195599242585</v>
      </c>
      <c r="AC148" s="319">
        <v>400</v>
      </c>
      <c r="AD148" s="319">
        <v>400</v>
      </c>
      <c r="AE148" s="319">
        <v>400</v>
      </c>
      <c r="AF148" s="319">
        <v>400</v>
      </c>
      <c r="AG148" s="319">
        <v>400</v>
      </c>
      <c r="AH148" s="319">
        <v>400</v>
      </c>
      <c r="AI148" s="319">
        <v>400</v>
      </c>
      <c r="AJ148" s="319">
        <v>400</v>
      </c>
      <c r="AK148" s="319">
        <v>400</v>
      </c>
      <c r="AL148" s="319">
        <v>400</v>
      </c>
      <c r="AM148" s="319">
        <v>400</v>
      </c>
      <c r="AN148" s="7"/>
    </row>
    <row r="149" spans="4:44">
      <c r="D149" s="9" t="s">
        <v>284</v>
      </c>
      <c r="E149" s="9"/>
      <c r="F149" s="9"/>
      <c r="G149" s="237"/>
      <c r="H149" s="237"/>
      <c r="I149" s="237"/>
      <c r="J149" s="237"/>
      <c r="K149" s="237"/>
      <c r="L149" s="238"/>
      <c r="M149" s="238"/>
      <c r="N149" s="238"/>
      <c r="O149" s="238">
        <v>3838.5</v>
      </c>
      <c r="P149" s="238">
        <v>3986.7</v>
      </c>
      <c r="Q149" s="238">
        <v>4112.7</v>
      </c>
      <c r="R149" s="238">
        <v>4334.6000000000004</v>
      </c>
      <c r="S149" s="238">
        <v>4981.8</v>
      </c>
      <c r="T149" s="238">
        <v>5933.3</v>
      </c>
      <c r="U149" s="238">
        <v>7184.4</v>
      </c>
      <c r="V149" s="238">
        <v>8458.7000000000007</v>
      </c>
      <c r="W149" s="238">
        <v>9593.6</v>
      </c>
      <c r="X149" s="238">
        <v>10681.3</v>
      </c>
      <c r="Y149" s="238">
        <v>11618.9</v>
      </c>
      <c r="Z149" s="238">
        <v>12510.2</v>
      </c>
      <c r="AA149" s="238">
        <v>13617.8</v>
      </c>
      <c r="AB149" s="238">
        <v>13847.2</v>
      </c>
      <c r="AC149" s="237">
        <f t="shared" ref="AC149:AL149" ca="1" si="261">SUM(AC144:AC148)</f>
        <v>14959.462532443902</v>
      </c>
      <c r="AD149" s="237">
        <f t="shared" ca="1" si="261"/>
        <v>16069.051901282503</v>
      </c>
      <c r="AE149" s="237">
        <f t="shared" ca="1" si="261"/>
        <v>17291.300809742519</v>
      </c>
      <c r="AF149" s="237">
        <f t="shared" ca="1" si="261"/>
        <v>18629.130636032831</v>
      </c>
      <c r="AG149" s="237">
        <f t="shared" ca="1" si="261"/>
        <v>20083.402240194831</v>
      </c>
      <c r="AH149" s="237">
        <f t="shared" ca="1" si="261"/>
        <v>21658.212376340129</v>
      </c>
      <c r="AI149" s="237">
        <f t="shared" ca="1" si="261"/>
        <v>23357.596409878217</v>
      </c>
      <c r="AJ149" s="237">
        <f t="shared" ca="1" si="261"/>
        <v>25186.503520166549</v>
      </c>
      <c r="AK149" s="237">
        <f t="shared" ca="1" si="261"/>
        <v>27149.155421396437</v>
      </c>
      <c r="AL149" s="237">
        <f t="shared" ca="1" si="261"/>
        <v>29250.566597824429</v>
      </c>
      <c r="AM149" s="237">
        <f ca="1">SUM(AM144:AM148)</f>
        <v>31531.100639739954</v>
      </c>
      <c r="AN149" s="7"/>
      <c r="AO149" s="314">
        <f t="shared" ref="AO149:AO150" ca="1" si="262">(AL149/AB149)^(1/10)-1</f>
        <v>7.7648755723304763E-2</v>
      </c>
      <c r="AP149" s="314"/>
      <c r="AQ149" s="314">
        <f t="shared" ref="AQ149:AQ150" si="263">(AA149/Q149)^(1/10)-1</f>
        <v>0.12719224459280065</v>
      </c>
      <c r="AR149" s="314">
        <f t="shared" ref="AR149:AR150" ca="1" si="264">(AL149/AA149)^(1/11)-1</f>
        <v>7.1974125615186013E-2</v>
      </c>
    </row>
    <row r="150" spans="4:44">
      <c r="D150" t="s">
        <v>285</v>
      </c>
      <c r="G150" s="76"/>
      <c r="H150" s="76"/>
      <c r="I150" s="76"/>
      <c r="J150" s="76"/>
      <c r="K150" s="76"/>
      <c r="L150" s="81"/>
      <c r="M150" s="81"/>
      <c r="N150" s="81"/>
      <c r="O150" s="81">
        <v>3608.4</v>
      </c>
      <c r="P150" s="81">
        <v>4021</v>
      </c>
      <c r="Q150" s="81">
        <v>4057.2</v>
      </c>
      <c r="R150" s="81">
        <v>4229.8999999999996</v>
      </c>
      <c r="S150" s="81">
        <v>4662.3999999999996</v>
      </c>
      <c r="T150" s="81">
        <v>5385.5</v>
      </c>
      <c r="U150" s="81">
        <v>6629.5</v>
      </c>
      <c r="V150" s="81">
        <v>7859.9</v>
      </c>
      <c r="W150" s="81">
        <v>9092.9</v>
      </c>
      <c r="X150" s="81">
        <v>10158.299999999999</v>
      </c>
      <c r="Y150" s="81">
        <v>11210.8</v>
      </c>
      <c r="Z150" s="81">
        <v>12150.2</v>
      </c>
      <c r="AA150" s="81">
        <v>13105.1</v>
      </c>
      <c r="AB150" s="81">
        <v>13463.3</v>
      </c>
      <c r="AC150" s="70">
        <f t="shared" ref="AC150:AM150" ca="1" si="265">+AVERAGE(AB149:AC149)</f>
        <v>14403.331266221951</v>
      </c>
      <c r="AD150" s="70">
        <f t="shared" ca="1" si="265"/>
        <v>15514.257216863203</v>
      </c>
      <c r="AE150" s="70">
        <f t="shared" ca="1" si="265"/>
        <v>16680.176355512511</v>
      </c>
      <c r="AF150" s="70">
        <f t="shared" ca="1" si="265"/>
        <v>17960.215722887675</v>
      </c>
      <c r="AG150" s="70">
        <f t="shared" ca="1" si="265"/>
        <v>19356.266438113831</v>
      </c>
      <c r="AH150" s="70">
        <f t="shared" ca="1" si="265"/>
        <v>20870.807308267482</v>
      </c>
      <c r="AI150" s="70">
        <f t="shared" ca="1" si="265"/>
        <v>22507.904393109173</v>
      </c>
      <c r="AJ150" s="70">
        <f t="shared" ca="1" si="265"/>
        <v>24272.049965022383</v>
      </c>
      <c r="AK150" s="70">
        <f t="shared" ca="1" si="265"/>
        <v>26167.829470781493</v>
      </c>
      <c r="AL150" s="70">
        <f t="shared" ca="1" si="265"/>
        <v>28199.861009610431</v>
      </c>
      <c r="AM150" s="70">
        <f t="shared" ca="1" si="265"/>
        <v>30390.833618782191</v>
      </c>
      <c r="AN150" s="7"/>
      <c r="AO150" s="314">
        <f t="shared" ca="1" si="262"/>
        <v>7.6736770552567002E-2</v>
      </c>
      <c r="AP150" s="314"/>
      <c r="AQ150" s="314">
        <f t="shared" si="263"/>
        <v>0.12440143770367551</v>
      </c>
      <c r="AR150" s="314">
        <f t="shared" ca="1" si="264"/>
        <v>7.2149007892207351E-2</v>
      </c>
    </row>
    <row r="151" spans="4:44">
      <c r="D151" t="s">
        <v>286</v>
      </c>
      <c r="G151" s="76"/>
      <c r="H151" s="76"/>
      <c r="I151" s="76"/>
      <c r="J151" s="76"/>
      <c r="K151" s="76"/>
      <c r="L151" s="81"/>
      <c r="M151" s="81"/>
      <c r="N151" s="81"/>
      <c r="O151" s="76">
        <f t="shared" ref="O151:T151" si="266">-O180</f>
        <v>0</v>
      </c>
      <c r="P151" s="76">
        <f t="shared" si="266"/>
        <v>0</v>
      </c>
      <c r="Q151" s="76">
        <f t="shared" si="266"/>
        <v>0</v>
      </c>
      <c r="R151" s="76">
        <f t="shared" si="266"/>
        <v>27.7</v>
      </c>
      <c r="S151" s="76">
        <f t="shared" si="266"/>
        <v>36.4</v>
      </c>
      <c r="T151" s="76">
        <f t="shared" si="266"/>
        <v>56.2</v>
      </c>
      <c r="U151" s="81">
        <v>69.900000000000006</v>
      </c>
      <c r="V151" s="81">
        <v>81.7</v>
      </c>
      <c r="W151" s="81">
        <v>94.9</v>
      </c>
      <c r="X151" s="81">
        <v>123.6</v>
      </c>
      <c r="Y151" s="81">
        <v>128.6</v>
      </c>
      <c r="Z151" s="81">
        <v>138.19999999999999</v>
      </c>
      <c r="AA151" s="81">
        <v>157.80000000000001</v>
      </c>
      <c r="AB151" s="81">
        <v>411.1</v>
      </c>
      <c r="AC151" s="70">
        <f t="shared" ref="AC151:AL151" ca="1" si="267">+AC149*AC152</f>
        <v>186.9932816555488</v>
      </c>
      <c r="AD151" s="70">
        <f t="shared" ca="1" si="267"/>
        <v>192.82862281539005</v>
      </c>
      <c r="AE151" s="70">
        <f t="shared" ca="1" si="267"/>
        <v>208.53308776549477</v>
      </c>
      <c r="AF151" s="70">
        <f t="shared" ca="1" si="267"/>
        <v>225.79065204790871</v>
      </c>
      <c r="AG151" s="70">
        <f t="shared" ca="1" si="267"/>
        <v>244.63394447269252</v>
      </c>
      <c r="AH151" s="70">
        <f t="shared" ca="1" si="267"/>
        <v>265.13563438039137</v>
      </c>
      <c r="AI151" s="70">
        <f t="shared" ca="1" si="267"/>
        <v>287.36885987146348</v>
      </c>
      <c r="AJ151" s="70">
        <f t="shared" ca="1" si="267"/>
        <v>311.41928120935802</v>
      </c>
      <c r="AK151" s="70">
        <f t="shared" ca="1" si="267"/>
        <v>337.36498249162685</v>
      </c>
      <c r="AL151" s="70">
        <f t="shared" ca="1" si="267"/>
        <v>365.29524836599194</v>
      </c>
      <c r="AM151" s="70">
        <f ca="1">+AM149*AM152</f>
        <v>395.74454077430073</v>
      </c>
      <c r="AN151" s="7"/>
    </row>
    <row r="152" spans="4:44">
      <c r="D152" t="s">
        <v>290</v>
      </c>
      <c r="G152" s="76"/>
      <c r="H152" s="76"/>
      <c r="I152" s="76"/>
      <c r="J152" s="76"/>
      <c r="K152" s="76"/>
      <c r="L152" s="48"/>
      <c r="M152" s="48"/>
      <c r="N152" s="48"/>
      <c r="O152" s="48">
        <f>+O151/O149</f>
        <v>0</v>
      </c>
      <c r="P152" s="48">
        <f>+P151/P149</f>
        <v>0</v>
      </c>
      <c r="Q152" s="48">
        <f>+Q151/Q149</f>
        <v>0</v>
      </c>
      <c r="R152" s="48">
        <f t="shared" ref="R152:W152" si="268">+R151/R149</f>
        <v>6.390439717621002E-3</v>
      </c>
      <c r="S152" s="48">
        <f t="shared" si="268"/>
        <v>7.3065960094744866E-3</v>
      </c>
      <c r="T152" s="48">
        <f t="shared" si="268"/>
        <v>9.4719633256366616E-3</v>
      </c>
      <c r="U152" s="48">
        <f t="shared" si="268"/>
        <v>9.7294137297477875E-3</v>
      </c>
      <c r="V152" s="48">
        <f t="shared" si="268"/>
        <v>9.6586945984607556E-3</v>
      </c>
      <c r="W152" s="48">
        <f t="shared" si="268"/>
        <v>9.8920113408939303E-3</v>
      </c>
      <c r="X152" s="48">
        <f>+X151/X149</f>
        <v>1.15716251767107E-2</v>
      </c>
      <c r="Y152" s="48">
        <f>+Y151/Y149</f>
        <v>1.1068173407121155E-2</v>
      </c>
      <c r="Z152" s="48">
        <f>+Z151/Z149</f>
        <v>1.1046985659701683E-2</v>
      </c>
      <c r="AA152" s="48">
        <f>+AA151/AA149</f>
        <v>1.1587774824127246E-2</v>
      </c>
      <c r="AB152" s="48">
        <f>+AB151/AB149</f>
        <v>2.9688312438615749E-2</v>
      </c>
      <c r="AC152" s="17">
        <v>1.2500000000000001E-2</v>
      </c>
      <c r="AD152" s="17">
        <v>1.2E-2</v>
      </c>
      <c r="AE152" s="17">
        <f>+AD152*1.005</f>
        <v>1.206E-2</v>
      </c>
      <c r="AF152" s="17">
        <f t="shared" ref="AF152:AM152" si="269">+AE152*1.005</f>
        <v>1.2120299999999999E-2</v>
      </c>
      <c r="AG152" s="17">
        <f t="shared" si="269"/>
        <v>1.2180901499999997E-2</v>
      </c>
      <c r="AH152" s="17">
        <f t="shared" si="269"/>
        <v>1.2241806007499996E-2</v>
      </c>
      <c r="AI152" s="17">
        <f t="shared" si="269"/>
        <v>1.2303015037537494E-2</v>
      </c>
      <c r="AJ152" s="17">
        <f t="shared" si="269"/>
        <v>1.236453011272518E-2</v>
      </c>
      <c r="AK152" s="17">
        <f t="shared" si="269"/>
        <v>1.2426352763288805E-2</v>
      </c>
      <c r="AL152" s="17">
        <f t="shared" si="269"/>
        <v>1.2488484527105248E-2</v>
      </c>
      <c r="AM152" s="17">
        <f t="shared" si="269"/>
        <v>1.2550926949740773E-2</v>
      </c>
      <c r="AN152" s="7"/>
    </row>
    <row r="153" spans="4:44">
      <c r="D153" t="s">
        <v>287</v>
      </c>
      <c r="G153" s="76"/>
      <c r="H153" s="76"/>
      <c r="I153" s="76"/>
      <c r="J153" s="76"/>
      <c r="K153" s="76"/>
      <c r="L153" s="81"/>
      <c r="M153" s="81"/>
      <c r="N153" s="81"/>
      <c r="O153" s="76">
        <f t="shared" ref="O153:T153" si="270">+O150*O154</f>
        <v>38.249040000000001</v>
      </c>
      <c r="P153" s="76">
        <f t="shared" si="270"/>
        <v>69.965399999999988</v>
      </c>
      <c r="Q153" s="76">
        <f t="shared" si="270"/>
        <v>70.18956</v>
      </c>
      <c r="R153" s="76">
        <f t="shared" si="270"/>
        <v>47.374879999999997</v>
      </c>
      <c r="S153" s="76">
        <f t="shared" si="270"/>
        <v>32.170559999999995</v>
      </c>
      <c r="T153" s="76">
        <f t="shared" si="270"/>
        <v>42.006899999999995</v>
      </c>
      <c r="U153" s="81">
        <v>59.6</v>
      </c>
      <c r="V153" s="81">
        <v>70.5</v>
      </c>
      <c r="W153" s="81">
        <v>88</v>
      </c>
      <c r="X153" s="81">
        <v>121.9</v>
      </c>
      <c r="Y153" s="81">
        <v>132.6</v>
      </c>
      <c r="Z153" s="81">
        <v>144.19999999999999</v>
      </c>
      <c r="AA153" s="81">
        <v>166.1</v>
      </c>
      <c r="AB153" s="81">
        <v>109.4</v>
      </c>
      <c r="AC153" s="76">
        <f t="shared" ref="AC153:AL153" ca="1" si="271">+AC154*AC150</f>
        <v>182.92230708101877</v>
      </c>
      <c r="AD153" s="76">
        <f t="shared" ca="1" si="271"/>
        <v>189.27393804573109</v>
      </c>
      <c r="AE153" s="76">
        <f t="shared" ca="1" si="271"/>
        <v>204.49896211858339</v>
      </c>
      <c r="AF153" s="76">
        <f t="shared" ca="1" si="271"/>
        <v>221.275245770693</v>
      </c>
      <c r="AG153" s="76">
        <f t="shared" ca="1" si="271"/>
        <v>239.64802817804315</v>
      </c>
      <c r="AH153" s="76">
        <f t="shared" ca="1" si="271"/>
        <v>259.67053574937722</v>
      </c>
      <c r="AI153" s="76">
        <f t="shared" ca="1" si="271"/>
        <v>281.41666709050025</v>
      </c>
      <c r="AJ153" s="76">
        <f t="shared" ca="1" si="271"/>
        <v>304.96690268309391</v>
      </c>
      <c r="AK153" s="76">
        <f t="shared" ca="1" si="271"/>
        <v>330.40424594767217</v>
      </c>
      <c r="AL153" s="76">
        <f t="shared" ca="1" si="271"/>
        <v>357.81350008696052</v>
      </c>
      <c r="AM153" s="76">
        <f ca="1">+AM154*AM150</f>
        <v>387.51129941481776</v>
      </c>
      <c r="AN153" s="7"/>
    </row>
    <row r="154" spans="4:44">
      <c r="D154" t="s">
        <v>288</v>
      </c>
      <c r="G154" s="76"/>
      <c r="H154" s="76"/>
      <c r="I154" s="76"/>
      <c r="J154" s="76"/>
      <c r="K154" s="76"/>
      <c r="L154" s="48"/>
      <c r="M154" s="48"/>
      <c r="N154" s="48"/>
      <c r="O154" s="17">
        <v>1.06E-2</v>
      </c>
      <c r="P154" s="17">
        <v>1.7399999999999999E-2</v>
      </c>
      <c r="Q154" s="17">
        <v>1.7299999999999999E-2</v>
      </c>
      <c r="R154" s="17">
        <v>1.12E-2</v>
      </c>
      <c r="S154" s="17">
        <v>6.8999999999999999E-3</v>
      </c>
      <c r="T154" s="17">
        <v>7.7999999999999996E-3</v>
      </c>
      <c r="U154" s="48">
        <f t="shared" ref="U154:AB154" si="272">+U153/U150</f>
        <v>8.9901199185458934E-3</v>
      </c>
      <c r="V154" s="48">
        <f t="shared" si="272"/>
        <v>8.9695797656458732E-3</v>
      </c>
      <c r="W154" s="48">
        <f t="shared" si="272"/>
        <v>9.6778805441608291E-3</v>
      </c>
      <c r="X154" s="48">
        <f t="shared" si="272"/>
        <v>1.2000039376667358E-2</v>
      </c>
      <c r="Y154" s="48">
        <f t="shared" si="272"/>
        <v>1.1827880258322333E-2</v>
      </c>
      <c r="Z154" s="48">
        <f t="shared" si="272"/>
        <v>1.1868117397244488E-2</v>
      </c>
      <c r="AA154" s="48">
        <f t="shared" si="272"/>
        <v>1.2674454983174488E-2</v>
      </c>
      <c r="AB154" s="48">
        <f t="shared" si="272"/>
        <v>8.1257938246937986E-3</v>
      </c>
      <c r="AC154" s="17">
        <v>1.2699999999999999E-2</v>
      </c>
      <c r="AD154" s="17">
        <f>+AD152+0.0002</f>
        <v>1.2200000000000001E-2</v>
      </c>
      <c r="AE154" s="17">
        <f t="shared" ref="AE154:AM154" si="273">+AE152+0.0002</f>
        <v>1.226E-2</v>
      </c>
      <c r="AF154" s="17">
        <f t="shared" si="273"/>
        <v>1.2320299999999999E-2</v>
      </c>
      <c r="AG154" s="17">
        <f t="shared" si="273"/>
        <v>1.2380901499999998E-2</v>
      </c>
      <c r="AH154" s="17">
        <f t="shared" si="273"/>
        <v>1.2441806007499997E-2</v>
      </c>
      <c r="AI154" s="17">
        <f t="shared" si="273"/>
        <v>1.2503015037537495E-2</v>
      </c>
      <c r="AJ154" s="17">
        <f t="shared" si="273"/>
        <v>1.2564530112725181E-2</v>
      </c>
      <c r="AK154" s="17">
        <f t="shared" si="273"/>
        <v>1.2626352763288806E-2</v>
      </c>
      <c r="AL154" s="17">
        <f t="shared" si="273"/>
        <v>1.2688484527105248E-2</v>
      </c>
      <c r="AM154" s="17">
        <f t="shared" si="273"/>
        <v>1.2750926949740773E-2</v>
      </c>
      <c r="AN154" s="7"/>
    </row>
    <row r="155" spans="4:44">
      <c r="D155" t="s">
        <v>291</v>
      </c>
      <c r="G155" s="76"/>
      <c r="H155" s="76"/>
      <c r="I155" s="76"/>
      <c r="J155" s="76"/>
      <c r="K155" s="76"/>
      <c r="L155" s="17"/>
      <c r="M155" s="17"/>
      <c r="N155" s="17"/>
      <c r="O155" s="17">
        <v>2.24E-2</v>
      </c>
      <c r="P155" s="17">
        <v>2.9600000000000001E-2</v>
      </c>
      <c r="Q155" s="17">
        <v>3.2399999999999998E-2</v>
      </c>
      <c r="R155" s="17">
        <v>2.8000000000000001E-2</v>
      </c>
      <c r="S155" s="17">
        <v>2.3400000000000001E-2</v>
      </c>
      <c r="T155" s="17">
        <v>2.5999999999999999E-2</v>
      </c>
      <c r="U155" s="17">
        <v>2.58E-2</v>
      </c>
      <c r="V155" s="17">
        <v>2.6200000000000001E-2</v>
      </c>
      <c r="W155" s="17">
        <v>2.7400000000000001E-2</v>
      </c>
      <c r="X155" s="17">
        <v>3.1E-2</v>
      </c>
      <c r="Y155" s="17">
        <v>3.3799999999999997E-2</v>
      </c>
      <c r="Z155" s="17">
        <v>3.61E-2</v>
      </c>
      <c r="AA155" s="17">
        <v>3.44E-2</v>
      </c>
      <c r="AB155" s="17">
        <v>2.8299999999999999E-2</v>
      </c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7"/>
    </row>
    <row r="156" spans="4:44">
      <c r="D156" t="s">
        <v>289</v>
      </c>
      <c r="G156" s="76"/>
      <c r="H156" s="76"/>
      <c r="I156" s="76"/>
      <c r="J156" s="76"/>
      <c r="K156" s="76"/>
      <c r="L156" s="17"/>
      <c r="M156" s="17"/>
      <c r="N156" s="17"/>
      <c r="O156" s="17">
        <v>0.502</v>
      </c>
      <c r="P156" s="17">
        <v>0.44</v>
      </c>
      <c r="Q156" s="17">
        <v>0.498</v>
      </c>
      <c r="R156" s="17">
        <v>0.54800000000000004</v>
      </c>
      <c r="S156" s="17">
        <v>0.59699999999999998</v>
      </c>
      <c r="T156" s="17">
        <v>0.58399999999999996</v>
      </c>
      <c r="U156" s="17">
        <v>0.55200000000000005</v>
      </c>
      <c r="V156" s="17">
        <v>0.54200000000000004</v>
      </c>
      <c r="W156" s="17">
        <v>0.51200000000000001</v>
      </c>
      <c r="X156" s="17">
        <v>0.47399999999999998</v>
      </c>
      <c r="Y156" s="17">
        <v>0.46100000000000002</v>
      </c>
      <c r="Z156" s="17">
        <v>0.47699999999999998</v>
      </c>
      <c r="AA156" s="17">
        <v>0.48099999999999998</v>
      </c>
      <c r="AB156" s="17">
        <v>0.53500000000000003</v>
      </c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7"/>
    </row>
    <row r="157" spans="4:44">
      <c r="G157" s="76"/>
      <c r="H157" s="76"/>
      <c r="I157" s="76"/>
      <c r="J157" s="76"/>
      <c r="K157" s="76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7"/>
    </row>
    <row r="158" spans="4:44">
      <c r="D158" t="s">
        <v>277</v>
      </c>
      <c r="G158" s="76"/>
      <c r="H158" s="76"/>
      <c r="I158" s="76"/>
      <c r="J158" s="76"/>
      <c r="K158" s="76"/>
      <c r="L158" s="81"/>
      <c r="M158" s="81"/>
      <c r="N158" s="81"/>
      <c r="O158" s="81">
        <v>2430.8000000000002</v>
      </c>
      <c r="P158" s="81">
        <v>1930.2</v>
      </c>
      <c r="Q158" s="81">
        <v>1836.9</v>
      </c>
      <c r="R158" s="81">
        <v>2147.4</v>
      </c>
      <c r="S158" s="81">
        <v>2842.9</v>
      </c>
      <c r="T158" s="81">
        <v>3445.3</v>
      </c>
      <c r="U158" s="81">
        <v>4183.8999999999996</v>
      </c>
      <c r="V158" s="81">
        <v>4727.8</v>
      </c>
      <c r="W158" s="81">
        <v>5171</v>
      </c>
      <c r="X158" s="81">
        <v>5643.3</v>
      </c>
      <c r="Y158" s="81">
        <v>5962.2</v>
      </c>
      <c r="Z158" s="81">
        <v>6330.1</v>
      </c>
      <c r="AA158" s="81">
        <v>7089.7</v>
      </c>
      <c r="AB158" s="81">
        <v>6395</v>
      </c>
      <c r="AC158" s="76">
        <f t="shared" ref="AC158:AL158" ca="1" si="274">+AC160*AC162/1000000</f>
        <v>8104.8174185985126</v>
      </c>
      <c r="AD158" s="76">
        <f t="shared" ca="1" si="274"/>
        <v>8663.518611158046</v>
      </c>
      <c r="AE158" s="76">
        <f t="shared" ca="1" si="274"/>
        <v>9416.6074935918386</v>
      </c>
      <c r="AF158" s="76">
        <f t="shared" ca="1" si="274"/>
        <v>10223.556813230694</v>
      </c>
      <c r="AG158" s="76">
        <f t="shared" ca="1" si="274"/>
        <v>11080.312335960043</v>
      </c>
      <c r="AH158" s="76">
        <f t="shared" ca="1" si="274"/>
        <v>11994.513895502614</v>
      </c>
      <c r="AI158" s="76">
        <f t="shared" ca="1" si="274"/>
        <v>12967.380572133627</v>
      </c>
      <c r="AJ158" s="76">
        <f t="shared" ca="1" si="274"/>
        <v>14002.394848262855</v>
      </c>
      <c r="AK158" s="76">
        <f t="shared" ca="1" si="274"/>
        <v>15099.56259993984</v>
      </c>
      <c r="AL158" s="76">
        <f t="shared" ca="1" si="274"/>
        <v>16262.129316698662</v>
      </c>
      <c r="AM158" s="76">
        <f ca="1">+AM160*AM162/1000000</f>
        <v>17574.226908779809</v>
      </c>
      <c r="AN158" s="7"/>
    </row>
    <row r="159" spans="4:44">
      <c r="D159" t="s">
        <v>298</v>
      </c>
      <c r="G159" s="76"/>
      <c r="H159" s="76"/>
      <c r="I159" s="76"/>
      <c r="J159" s="76"/>
      <c r="K159" s="76"/>
      <c r="L159" s="239"/>
      <c r="M159" s="239"/>
      <c r="N159" s="239"/>
      <c r="O159" s="239">
        <f t="shared" ref="O159:AM159" si="275">+O81</f>
        <v>17298</v>
      </c>
      <c r="P159" s="239">
        <f t="shared" si="275"/>
        <v>16291</v>
      </c>
      <c r="Q159" s="239">
        <f t="shared" si="275"/>
        <v>17152</v>
      </c>
      <c r="R159" s="239">
        <f t="shared" si="275"/>
        <v>18019</v>
      </c>
      <c r="S159" s="239">
        <f t="shared" si="275"/>
        <v>18995</v>
      </c>
      <c r="T159" s="239">
        <f t="shared" si="275"/>
        <v>19351</v>
      </c>
      <c r="U159" s="239">
        <f t="shared" si="275"/>
        <v>19408</v>
      </c>
      <c r="V159" s="239">
        <f t="shared" si="275"/>
        <v>19897</v>
      </c>
      <c r="W159" s="239">
        <f t="shared" si="275"/>
        <v>19917</v>
      </c>
      <c r="X159" s="239">
        <f t="shared" si="275"/>
        <v>19586</v>
      </c>
      <c r="Y159" s="239">
        <f t="shared" si="275"/>
        <v>19757</v>
      </c>
      <c r="Z159" s="239">
        <f t="shared" si="275"/>
        <v>20077</v>
      </c>
      <c r="AA159" s="239">
        <f t="shared" si="275"/>
        <v>20418</v>
      </c>
      <c r="AB159" s="239">
        <f t="shared" si="275"/>
        <v>20690</v>
      </c>
      <c r="AC159" s="239">
        <f t="shared" si="275"/>
        <v>20948.625</v>
      </c>
      <c r="AD159" s="239">
        <f t="shared" si="275"/>
        <v>21210.482812499999</v>
      </c>
      <c r="AE159" s="239">
        <f t="shared" si="275"/>
        <v>21475.613847656248</v>
      </c>
      <c r="AF159" s="239">
        <f t="shared" si="275"/>
        <v>21744.059020751949</v>
      </c>
      <c r="AG159" s="239">
        <f t="shared" si="275"/>
        <v>22015.859758511346</v>
      </c>
      <c r="AH159" s="239">
        <f t="shared" si="275"/>
        <v>22291.058005492738</v>
      </c>
      <c r="AI159" s="239">
        <f t="shared" si="275"/>
        <v>22569.696230561396</v>
      </c>
      <c r="AJ159" s="239">
        <f t="shared" si="275"/>
        <v>22851.817433443412</v>
      </c>
      <c r="AK159" s="239">
        <f t="shared" si="275"/>
        <v>23137.465151361452</v>
      </c>
      <c r="AL159" s="239">
        <f t="shared" si="275"/>
        <v>23426.683465753467</v>
      </c>
      <c r="AM159" s="239">
        <f t="shared" si="275"/>
        <v>23719.517009075385</v>
      </c>
      <c r="AN159" s="7"/>
    </row>
    <row r="160" spans="4:44">
      <c r="D160" t="s">
        <v>297</v>
      </c>
      <c r="G160" s="76"/>
      <c r="H160" s="76"/>
      <c r="I160" s="76"/>
      <c r="J160" s="76"/>
      <c r="K160" s="76"/>
      <c r="L160" s="239"/>
      <c r="M160" s="244"/>
      <c r="N160" s="244"/>
      <c r="O160" s="244" t="s">
        <v>41</v>
      </c>
      <c r="P160" s="244" t="s">
        <v>41</v>
      </c>
      <c r="Q160" s="239">
        <f t="shared" ref="Q160:W160" si="276">+Q158/Q162*1000000</f>
        <v>16847.656608272951</v>
      </c>
      <c r="R160" s="239">
        <f t="shared" si="276"/>
        <v>17867.751678689998</v>
      </c>
      <c r="S160" s="239">
        <f t="shared" si="276"/>
        <v>18645.879791169293</v>
      </c>
      <c r="T160" s="239">
        <f t="shared" si="276"/>
        <v>19191.198997354128</v>
      </c>
      <c r="U160" s="239">
        <f t="shared" si="276"/>
        <v>19130.247912723014</v>
      </c>
      <c r="V160" s="239">
        <f t="shared" si="276"/>
        <v>19434.852670349908</v>
      </c>
      <c r="W160" s="239">
        <f t="shared" si="276"/>
        <v>19481.889490856207</v>
      </c>
      <c r="X160" s="239">
        <f>+X158/X162*1000000</f>
        <v>18998.259511249213</v>
      </c>
      <c r="Y160" s="239">
        <f>+Y158/Y162*1000000</f>
        <v>19187.163503776479</v>
      </c>
      <c r="Z160" s="239">
        <f>+Z158/Z162*1000000</f>
        <v>19545.549983943882</v>
      </c>
      <c r="AA160" s="239">
        <f>+AA158/AA162*1000000</f>
        <v>20046.995085592131</v>
      </c>
      <c r="AB160" s="239">
        <f>+AB158/AB162*1000000</f>
        <v>20025.301710370572</v>
      </c>
      <c r="AC160" s="240">
        <f t="shared" ref="AC160:AL160" si="277">+AC159*AC161</f>
        <v>20529.6525</v>
      </c>
      <c r="AD160" s="240">
        <f t="shared" si="277"/>
        <v>20786.273156249998</v>
      </c>
      <c r="AE160" s="240">
        <f t="shared" si="277"/>
        <v>21046.101570703122</v>
      </c>
      <c r="AF160" s="240">
        <f t="shared" si="277"/>
        <v>21309.17784033691</v>
      </c>
      <c r="AG160" s="240">
        <f t="shared" si="277"/>
        <v>21575.542563341118</v>
      </c>
      <c r="AH160" s="240">
        <f t="shared" si="277"/>
        <v>21845.236845382882</v>
      </c>
      <c r="AI160" s="240">
        <f t="shared" si="277"/>
        <v>22118.302305950168</v>
      </c>
      <c r="AJ160" s="240">
        <f t="shared" si="277"/>
        <v>22394.781084774542</v>
      </c>
      <c r="AK160" s="240">
        <f t="shared" si="277"/>
        <v>22674.715848334221</v>
      </c>
      <c r="AL160" s="240">
        <f t="shared" si="277"/>
        <v>22958.149796438396</v>
      </c>
      <c r="AM160" s="240">
        <f>+AM159*AM161</f>
        <v>23245.126668893878</v>
      </c>
      <c r="AN160" s="7"/>
    </row>
    <row r="161" spans="4:40">
      <c r="D161" t="s">
        <v>299</v>
      </c>
      <c r="G161" s="76"/>
      <c r="H161" s="76"/>
      <c r="I161" s="76"/>
      <c r="J161" s="76"/>
      <c r="K161" s="76"/>
      <c r="L161" s="228"/>
      <c r="M161" s="244"/>
      <c r="N161" s="244"/>
      <c r="O161" s="244" t="s">
        <v>41</v>
      </c>
      <c r="P161" s="244" t="s">
        <v>41</v>
      </c>
      <c r="Q161" s="228">
        <f t="shared" ref="Q161:W161" si="278">+Q160/Q159</f>
        <v>0.98225609889651067</v>
      </c>
      <c r="R161" s="228">
        <f t="shared" si="278"/>
        <v>0.99160617563072295</v>
      </c>
      <c r="S161" s="228">
        <f t="shared" si="278"/>
        <v>0.98162041543402434</v>
      </c>
      <c r="T161" s="228">
        <f t="shared" si="278"/>
        <v>0.99174197702207267</v>
      </c>
      <c r="U161" s="228">
        <f t="shared" si="278"/>
        <v>0.98568878363164747</v>
      </c>
      <c r="V161" s="228">
        <f t="shared" si="278"/>
        <v>0.97677301454238874</v>
      </c>
      <c r="W161" s="228">
        <f t="shared" si="278"/>
        <v>0.97815381286620506</v>
      </c>
      <c r="X161" s="228">
        <f>+X160/X159</f>
        <v>0.96999180594553314</v>
      </c>
      <c r="Y161" s="228">
        <f>+Y160/Y159</f>
        <v>0.97115774175109981</v>
      </c>
      <c r="Z161" s="228">
        <f>+Z160/Z159</f>
        <v>0.97352941096497891</v>
      </c>
      <c r="AA161" s="228">
        <f>+AA160/AA159</f>
        <v>0.9818295173666437</v>
      </c>
      <c r="AB161" s="228">
        <f>+AB160/AB159</f>
        <v>0.96787345144372028</v>
      </c>
      <c r="AC161" s="78">
        <v>0.98</v>
      </c>
      <c r="AD161" s="78">
        <v>0.98</v>
      </c>
      <c r="AE161" s="78">
        <v>0.98</v>
      </c>
      <c r="AF161" s="78">
        <v>0.98</v>
      </c>
      <c r="AG161" s="78">
        <v>0.98</v>
      </c>
      <c r="AH161" s="78">
        <v>0.98</v>
      </c>
      <c r="AI161" s="78">
        <v>0.98</v>
      </c>
      <c r="AJ161" s="78">
        <v>0.98</v>
      </c>
      <c r="AK161" s="78">
        <v>0.98</v>
      </c>
      <c r="AL161" s="78">
        <v>0.98</v>
      </c>
      <c r="AM161" s="78">
        <v>0.98</v>
      </c>
      <c r="AN161" s="7"/>
    </row>
    <row r="162" spans="4:40">
      <c r="D162" t="s">
        <v>278</v>
      </c>
      <c r="G162" s="76"/>
      <c r="H162" s="76"/>
      <c r="I162" s="76"/>
      <c r="J162" s="76"/>
      <c r="K162" s="76"/>
      <c r="L162" s="81"/>
      <c r="M162" s="244"/>
      <c r="N162" s="244"/>
      <c r="O162" s="244" t="s">
        <v>41</v>
      </c>
      <c r="P162" s="244" t="s">
        <v>41</v>
      </c>
      <c r="Q162" s="81">
        <v>109030</v>
      </c>
      <c r="R162" s="81">
        <v>120183</v>
      </c>
      <c r="S162" s="81">
        <v>152468</v>
      </c>
      <c r="T162" s="81">
        <v>179525</v>
      </c>
      <c r="U162" s="81">
        <v>218706</v>
      </c>
      <c r="V162" s="81">
        <v>243264</v>
      </c>
      <c r="W162" s="81">
        <v>265426</v>
      </c>
      <c r="X162" s="81">
        <v>297043</v>
      </c>
      <c r="Y162" s="81">
        <v>310739</v>
      </c>
      <c r="Z162" s="81">
        <v>323864</v>
      </c>
      <c r="AA162" s="81">
        <v>353654</v>
      </c>
      <c r="AB162" s="81">
        <v>319346</v>
      </c>
      <c r="AC162" s="76">
        <f t="shared" ref="AC162:AM162" ca="1" si="279">+AC163*AC71*1000</f>
        <v>394785.90388212918</v>
      </c>
      <c r="AD162" s="76">
        <f t="shared" ca="1" si="279"/>
        <v>416790.37632357428</v>
      </c>
      <c r="AE162" s="76">
        <f t="shared" ca="1" si="279"/>
        <v>447427.63698812854</v>
      </c>
      <c r="AF162" s="76">
        <f t="shared" ca="1" si="279"/>
        <v>479772.46658388316</v>
      </c>
      <c r="AG162" s="76">
        <f t="shared" ca="1" si="279"/>
        <v>513558.91994853219</v>
      </c>
      <c r="AH162" s="76">
        <f t="shared" ca="1" si="279"/>
        <v>549067.69748482085</v>
      </c>
      <c r="AI162" s="76">
        <f t="shared" ca="1" si="279"/>
        <v>586273.77422339283</v>
      </c>
      <c r="AJ162" s="76">
        <f t="shared" ca="1" si="279"/>
        <v>625252.58877950429</v>
      </c>
      <c r="AK162" s="76">
        <f t="shared" ca="1" si="279"/>
        <v>665920.69779447233</v>
      </c>
      <c r="AL162" s="76">
        <f t="shared" ca="1" si="279"/>
        <v>708337.97413507081</v>
      </c>
      <c r="AM162" s="76">
        <f t="shared" ca="1" si="279"/>
        <v>756039.19733839331</v>
      </c>
      <c r="AN162" s="7"/>
    </row>
    <row r="163" spans="4:40">
      <c r="D163" t="s">
        <v>283</v>
      </c>
      <c r="L163" s="79"/>
      <c r="M163" s="244"/>
      <c r="N163" s="244"/>
      <c r="O163" s="244" t="s">
        <v>41</v>
      </c>
      <c r="P163" s="244" t="s">
        <v>41</v>
      </c>
      <c r="Q163" s="41">
        <f t="shared" ref="Q163:AB163" si="280">(Q162/1000)/Q71</f>
        <v>0.30529584547880456</v>
      </c>
      <c r="R163" s="41">
        <f t="shared" si="280"/>
        <v>0.30335377012022285</v>
      </c>
      <c r="S163" s="41">
        <f t="shared" si="280"/>
        <v>0.37362281905508721</v>
      </c>
      <c r="T163" s="41">
        <f t="shared" si="280"/>
        <v>0.40096889182718082</v>
      </c>
      <c r="U163" s="41">
        <f t="shared" si="280"/>
        <v>0.41505781613841713</v>
      </c>
      <c r="V163" s="41">
        <f t="shared" si="280"/>
        <v>0.4177769534349336</v>
      </c>
      <c r="W163" s="41">
        <f t="shared" si="280"/>
        <v>0.42815064780880602</v>
      </c>
      <c r="X163" s="41">
        <f t="shared" si="280"/>
        <v>0.44249315501106817</v>
      </c>
      <c r="Y163" s="41">
        <f t="shared" si="280"/>
        <v>0.4306775216489816</v>
      </c>
      <c r="Z163" s="41">
        <f t="shared" si="280"/>
        <v>0.43241770933332974</v>
      </c>
      <c r="AA163" s="41">
        <f t="shared" si="280"/>
        <v>0.42473818216756343</v>
      </c>
      <c r="AB163" s="41">
        <f t="shared" si="280"/>
        <v>0.42474017838379918</v>
      </c>
      <c r="AC163" s="221">
        <f>+AC170-AC164</f>
        <v>0.42108999999999996</v>
      </c>
      <c r="AD163" s="221">
        <f t="shared" ref="AD163:AM163" si="281">+AD170-AD164</f>
        <v>0.41770160000000006</v>
      </c>
      <c r="AE163" s="221">
        <f t="shared" si="281"/>
        <v>0.41930107774999997</v>
      </c>
      <c r="AF163" s="221">
        <f t="shared" si="281"/>
        <v>0.42088854448812502</v>
      </c>
      <c r="AG163" s="221">
        <f t="shared" si="281"/>
        <v>0.42246411036507964</v>
      </c>
      <c r="AH163" s="221">
        <f t="shared" si="281"/>
        <v>0.42402788445496015</v>
      </c>
      <c r="AI163" s="221">
        <f t="shared" si="281"/>
        <v>0.42557997476595816</v>
      </c>
      <c r="AJ163" s="221">
        <f t="shared" si="281"/>
        <v>0.42712048825095722</v>
      </c>
      <c r="AK163" s="221">
        <f t="shared" si="281"/>
        <v>0.42864953081802454</v>
      </c>
      <c r="AL163" s="221">
        <f t="shared" si="281"/>
        <v>0.43016720734079744</v>
      </c>
      <c r="AM163" s="221">
        <f t="shared" si="281"/>
        <v>0.43167362166876516</v>
      </c>
    </row>
    <row r="164" spans="4:40">
      <c r="D164" t="s">
        <v>300</v>
      </c>
      <c r="L164" s="244"/>
      <c r="M164" s="244"/>
      <c r="N164" s="244"/>
      <c r="O164" s="244" t="s">
        <v>41</v>
      </c>
      <c r="P164" s="244" t="s">
        <v>41</v>
      </c>
      <c r="Q164" s="244" t="s">
        <v>41</v>
      </c>
      <c r="R164" s="244" t="s">
        <v>41</v>
      </c>
      <c r="S164" s="244" t="s">
        <v>41</v>
      </c>
      <c r="T164" s="244" t="s">
        <v>41</v>
      </c>
      <c r="U164" s="244" t="s">
        <v>41</v>
      </c>
      <c r="V164" s="244" t="s">
        <v>41</v>
      </c>
      <c r="W164" s="41">
        <f t="shared" ref="W164:AB164" si="282">+W170-W163</f>
        <v>4.9849352191193963E-2</v>
      </c>
      <c r="X164" s="41">
        <f t="shared" si="282"/>
        <v>5.2506844988931822E-2</v>
      </c>
      <c r="Y164" s="41">
        <f t="shared" si="282"/>
        <v>5.3322478351018388E-2</v>
      </c>
      <c r="Z164" s="41">
        <f t="shared" si="282"/>
        <v>5.158229066667025E-2</v>
      </c>
      <c r="AA164" s="41">
        <f t="shared" si="282"/>
        <v>4.2261817832436599E-2</v>
      </c>
      <c r="AB164" s="41">
        <f t="shared" si="282"/>
        <v>3.0259821616200833E-2</v>
      </c>
      <c r="AC164" s="79">
        <v>3.5000000000000003E-2</v>
      </c>
      <c r="AD164" s="79">
        <v>0.04</v>
      </c>
      <c r="AE164" s="79">
        <v>0.04</v>
      </c>
      <c r="AF164" s="79">
        <v>0.04</v>
      </c>
      <c r="AG164" s="79">
        <v>0.04</v>
      </c>
      <c r="AH164" s="79">
        <v>0.04</v>
      </c>
      <c r="AI164" s="79">
        <v>0.04</v>
      </c>
      <c r="AJ164" s="79">
        <v>0.04</v>
      </c>
      <c r="AK164" s="79">
        <v>0.04</v>
      </c>
      <c r="AL164" s="79">
        <v>0.04</v>
      </c>
      <c r="AM164" s="79">
        <v>0.04</v>
      </c>
    </row>
    <row r="165" spans="4:40">
      <c r="D165" t="s">
        <v>279</v>
      </c>
      <c r="L165" s="79"/>
      <c r="M165" s="79"/>
      <c r="N165" s="79"/>
      <c r="O165" s="244" t="s">
        <v>41</v>
      </c>
      <c r="P165" s="244" t="s">
        <v>41</v>
      </c>
      <c r="Q165" s="79">
        <v>9.5000000000000001E-2</v>
      </c>
      <c r="R165" s="79">
        <v>8.6999999999999994E-2</v>
      </c>
      <c r="S165" s="79">
        <v>8.7999999999999995E-2</v>
      </c>
      <c r="T165" s="79">
        <v>7.9000000000000001E-2</v>
      </c>
      <c r="U165" s="79">
        <v>7.0000000000000007E-2</v>
      </c>
      <c r="V165" s="79">
        <v>7.0999999999999994E-2</v>
      </c>
      <c r="W165" s="79">
        <v>7.2999999999999995E-2</v>
      </c>
      <c r="X165" s="79">
        <v>7.3999999999999996E-2</v>
      </c>
      <c r="Y165" s="79">
        <v>7.8E-2</v>
      </c>
      <c r="Z165" s="79">
        <v>8.5000000000000006E-2</v>
      </c>
      <c r="AA165" s="79">
        <v>8.4000000000000005E-2</v>
      </c>
      <c r="AB165" s="79">
        <v>8.4000000000000005E-2</v>
      </c>
    </row>
    <row r="166" spans="4:40">
      <c r="D166" t="s">
        <v>280</v>
      </c>
      <c r="L166" s="244"/>
      <c r="M166" s="244"/>
      <c r="N166" s="244"/>
      <c r="O166" s="244" t="s">
        <v>41</v>
      </c>
      <c r="P166" s="244" t="s">
        <v>41</v>
      </c>
      <c r="Q166" s="244" t="s">
        <v>41</v>
      </c>
      <c r="R166" s="244" t="s">
        <v>41</v>
      </c>
      <c r="S166" s="244" t="s">
        <v>41</v>
      </c>
      <c r="T166" s="244" t="s">
        <v>41</v>
      </c>
      <c r="U166" s="81">
        <v>702</v>
      </c>
      <c r="V166" s="81">
        <v>701</v>
      </c>
      <c r="W166" s="81">
        <v>702</v>
      </c>
      <c r="X166" s="81">
        <v>706</v>
      </c>
      <c r="Y166" s="81">
        <v>707</v>
      </c>
      <c r="Z166" s="81">
        <v>706</v>
      </c>
      <c r="AA166" s="81">
        <v>710</v>
      </c>
      <c r="AB166" s="81">
        <v>706</v>
      </c>
    </row>
    <row r="167" spans="4:40">
      <c r="D167" t="s">
        <v>281</v>
      </c>
      <c r="L167" s="244"/>
      <c r="M167" s="244"/>
      <c r="N167" s="244"/>
      <c r="O167" s="244" t="s">
        <v>41</v>
      </c>
      <c r="P167" s="244" t="s">
        <v>41</v>
      </c>
      <c r="Q167" s="244" t="s">
        <v>41</v>
      </c>
      <c r="R167" s="244" t="s">
        <v>41</v>
      </c>
      <c r="S167" s="244" t="s">
        <v>41</v>
      </c>
      <c r="T167" s="244" t="s">
        <v>41</v>
      </c>
      <c r="U167" s="79">
        <v>0.93700000000000006</v>
      </c>
      <c r="V167" s="79">
        <v>0.94199999999999995</v>
      </c>
      <c r="W167" s="79">
        <v>0.94599999999999995</v>
      </c>
      <c r="X167" s="79">
        <v>0.95</v>
      </c>
      <c r="Y167" s="79">
        <v>0.95</v>
      </c>
      <c r="Z167" s="79">
        <v>0.94799999999999995</v>
      </c>
      <c r="AA167" s="79">
        <v>0.94199999999999995</v>
      </c>
      <c r="AB167" s="79">
        <v>0.92</v>
      </c>
    </row>
    <row r="168" spans="4:40">
      <c r="D168" t="s">
        <v>282</v>
      </c>
      <c r="L168" s="109"/>
      <c r="M168" s="109"/>
      <c r="N168" s="109"/>
      <c r="O168" s="244" t="s">
        <v>41</v>
      </c>
      <c r="P168" s="244" t="s">
        <v>41</v>
      </c>
      <c r="Q168" s="109">
        <v>64.2</v>
      </c>
      <c r="R168" s="109">
        <v>64.5</v>
      </c>
      <c r="S168" s="109">
        <v>65.3</v>
      </c>
      <c r="T168" s="109">
        <v>65.900000000000006</v>
      </c>
      <c r="U168" s="109">
        <v>65.400000000000006</v>
      </c>
      <c r="V168" s="109">
        <v>65.400000000000006</v>
      </c>
      <c r="W168" s="109">
        <v>65.900000000000006</v>
      </c>
      <c r="X168" s="109">
        <v>65.8</v>
      </c>
      <c r="Y168" s="109">
        <v>65.8</v>
      </c>
      <c r="Z168" s="109">
        <v>66</v>
      </c>
      <c r="AA168" s="109">
        <v>66.099999999999994</v>
      </c>
      <c r="AB168" s="109">
        <v>66</v>
      </c>
      <c r="AC168" s="109">
        <v>66</v>
      </c>
      <c r="AD168" s="109">
        <v>66</v>
      </c>
      <c r="AE168" s="109">
        <v>66</v>
      </c>
      <c r="AF168" s="109">
        <v>66</v>
      </c>
      <c r="AG168" s="109">
        <v>66</v>
      </c>
      <c r="AH168" s="109">
        <v>66</v>
      </c>
      <c r="AI168" s="109">
        <v>66</v>
      </c>
      <c r="AJ168" s="109">
        <v>66</v>
      </c>
      <c r="AK168" s="109">
        <v>66</v>
      </c>
      <c r="AL168" s="109">
        <v>66</v>
      </c>
      <c r="AM168" s="109">
        <v>66</v>
      </c>
    </row>
    <row r="169" spans="4:40"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7"/>
    </row>
    <row r="170" spans="4:40">
      <c r="D170" t="s">
        <v>246</v>
      </c>
      <c r="G170" s="76"/>
      <c r="H170" s="76"/>
      <c r="I170" s="76"/>
      <c r="J170" s="76"/>
      <c r="K170" s="76"/>
      <c r="L170" s="244"/>
      <c r="M170" s="244"/>
      <c r="N170" s="244"/>
      <c r="O170" s="244" t="s">
        <v>41</v>
      </c>
      <c r="P170" s="244" t="s">
        <v>41</v>
      </c>
      <c r="Q170" s="246">
        <f t="shared" ref="Q170:V170" si="283">+Q163+$W$164</f>
        <v>0.35514519766999852</v>
      </c>
      <c r="R170" s="246">
        <f t="shared" si="283"/>
        <v>0.35320312231141682</v>
      </c>
      <c r="S170" s="246">
        <f t="shared" si="283"/>
        <v>0.42347217124628117</v>
      </c>
      <c r="T170" s="246">
        <f t="shared" si="283"/>
        <v>0.45081824401837478</v>
      </c>
      <c r="U170" s="246">
        <f t="shared" si="283"/>
        <v>0.4649071683296111</v>
      </c>
      <c r="V170" s="246">
        <f t="shared" si="283"/>
        <v>0.46762630562612756</v>
      </c>
      <c r="W170" s="79">
        <v>0.47799999999999998</v>
      </c>
      <c r="X170" s="79">
        <v>0.495</v>
      </c>
      <c r="Y170" s="79">
        <v>0.48399999999999999</v>
      </c>
      <c r="Z170" s="79">
        <v>0.48399999999999999</v>
      </c>
      <c r="AA170" s="79">
        <v>0.46700000000000003</v>
      </c>
      <c r="AB170" s="79">
        <v>0.45500000000000002</v>
      </c>
      <c r="AC170" s="41">
        <f>1-SUM(AC171:AC173)</f>
        <v>0.45609</v>
      </c>
      <c r="AD170" s="41">
        <f t="shared" ref="AD170:AM170" si="284">1-SUM(AD171:AD173)</f>
        <v>0.45770160000000004</v>
      </c>
      <c r="AE170" s="41">
        <f t="shared" si="284"/>
        <v>0.45930107774999995</v>
      </c>
      <c r="AF170" s="41">
        <f t="shared" si="284"/>
        <v>0.460888544488125</v>
      </c>
      <c r="AG170" s="41">
        <f t="shared" si="284"/>
        <v>0.46246411036507962</v>
      </c>
      <c r="AH170" s="41">
        <f t="shared" si="284"/>
        <v>0.46402788445496013</v>
      </c>
      <c r="AI170" s="41">
        <f t="shared" si="284"/>
        <v>0.46557997476595814</v>
      </c>
      <c r="AJ170" s="41">
        <f t="shared" si="284"/>
        <v>0.4671204882509572</v>
      </c>
      <c r="AK170" s="41">
        <f t="shared" si="284"/>
        <v>0.46864953081802452</v>
      </c>
      <c r="AL170" s="41">
        <f t="shared" si="284"/>
        <v>0.47016720734079742</v>
      </c>
      <c r="AM170" s="41">
        <f t="shared" si="284"/>
        <v>0.47167362166876514</v>
      </c>
      <c r="AN170" s="7"/>
    </row>
    <row r="171" spans="4:40">
      <c r="D171" t="s">
        <v>261</v>
      </c>
      <c r="G171" s="76"/>
      <c r="H171" s="76"/>
      <c r="I171" s="76"/>
      <c r="J171" s="76"/>
      <c r="K171" s="76"/>
      <c r="L171" s="244"/>
      <c r="M171" s="244"/>
      <c r="N171" s="244"/>
      <c r="O171" s="244" t="s">
        <v>41</v>
      </c>
      <c r="P171" s="244" t="s">
        <v>41</v>
      </c>
      <c r="Q171" s="244" t="s">
        <v>41</v>
      </c>
      <c r="R171" s="244" t="s">
        <v>41</v>
      </c>
      <c r="S171" s="244" t="s">
        <v>41</v>
      </c>
      <c r="T171" s="244" t="s">
        <v>41</v>
      </c>
      <c r="U171" s="244" t="s">
        <v>41</v>
      </c>
      <c r="V171" s="244" t="s">
        <v>41</v>
      </c>
      <c r="W171" s="79">
        <v>0.18099999999999999</v>
      </c>
      <c r="X171" s="79">
        <v>0.17799999999999999</v>
      </c>
      <c r="Y171" s="79">
        <v>0.16600000000000001</v>
      </c>
      <c r="Z171" s="79">
        <v>0.17899999999999999</v>
      </c>
      <c r="AA171" s="79">
        <v>0.20200000000000001</v>
      </c>
      <c r="AB171" s="79">
        <v>0.223</v>
      </c>
      <c r="AC171" s="79">
        <f t="shared" ref="AC171:AM171" si="285">+AB171</f>
        <v>0.223</v>
      </c>
      <c r="AD171" s="79">
        <f t="shared" si="285"/>
        <v>0.223</v>
      </c>
      <c r="AE171" s="79">
        <f t="shared" si="285"/>
        <v>0.223</v>
      </c>
      <c r="AF171" s="79">
        <f t="shared" si="285"/>
        <v>0.223</v>
      </c>
      <c r="AG171" s="79">
        <f t="shared" si="285"/>
        <v>0.223</v>
      </c>
      <c r="AH171" s="79">
        <f t="shared" si="285"/>
        <v>0.223</v>
      </c>
      <c r="AI171" s="79">
        <f t="shared" si="285"/>
        <v>0.223</v>
      </c>
      <c r="AJ171" s="79">
        <f t="shared" si="285"/>
        <v>0.223</v>
      </c>
      <c r="AK171" s="79">
        <f t="shared" si="285"/>
        <v>0.223</v>
      </c>
      <c r="AL171" s="79">
        <f t="shared" si="285"/>
        <v>0.223</v>
      </c>
      <c r="AM171" s="79">
        <f t="shared" si="285"/>
        <v>0.223</v>
      </c>
      <c r="AN171" s="7"/>
    </row>
    <row r="172" spans="4:40">
      <c r="D172" t="s">
        <v>262</v>
      </c>
      <c r="G172" s="76"/>
      <c r="H172" s="76"/>
      <c r="I172" s="76"/>
      <c r="J172" s="76"/>
      <c r="K172" s="76"/>
      <c r="L172" s="244"/>
      <c r="M172" s="244"/>
      <c r="N172" s="244"/>
      <c r="O172" s="244" t="s">
        <v>41</v>
      </c>
      <c r="P172" s="244" t="s">
        <v>41</v>
      </c>
      <c r="Q172" s="244" t="s">
        <v>41</v>
      </c>
      <c r="R172" s="244" t="s">
        <v>41</v>
      </c>
      <c r="S172" s="244" t="s">
        <v>41</v>
      </c>
      <c r="T172" s="244" t="s">
        <v>41</v>
      </c>
      <c r="U172" s="244" t="s">
        <v>41</v>
      </c>
      <c r="V172" s="244" t="s">
        <v>41</v>
      </c>
      <c r="W172" s="79">
        <v>0.13800000000000001</v>
      </c>
      <c r="X172" s="79">
        <v>9.8000000000000004E-2</v>
      </c>
      <c r="Y172" s="79">
        <v>0.105</v>
      </c>
      <c r="Z172" s="79">
        <v>9.9000000000000005E-2</v>
      </c>
      <c r="AA172" s="79">
        <v>0.10199999999999999</v>
      </c>
      <c r="AB172" s="79">
        <v>0.109</v>
      </c>
      <c r="AC172" s="79">
        <f>+AB172*0.99</f>
        <v>0.10790999999999999</v>
      </c>
      <c r="AD172" s="79">
        <f t="shared" ref="AD172:AM172" si="286">+AC172*0.99</f>
        <v>0.10683089999999999</v>
      </c>
      <c r="AE172" s="79">
        <f t="shared" si="286"/>
        <v>0.10576259099999999</v>
      </c>
      <c r="AF172" s="79">
        <f t="shared" si="286"/>
        <v>0.10470496508999999</v>
      </c>
      <c r="AG172" s="79">
        <f t="shared" si="286"/>
        <v>0.1036579154391</v>
      </c>
      <c r="AH172" s="79">
        <f t="shared" si="286"/>
        <v>0.102621336284709</v>
      </c>
      <c r="AI172" s="79">
        <f t="shared" si="286"/>
        <v>0.1015951229218619</v>
      </c>
      <c r="AJ172" s="79">
        <f t="shared" si="286"/>
        <v>0.10057917169264328</v>
      </c>
      <c r="AK172" s="79">
        <f t="shared" si="286"/>
        <v>9.9573379975716858E-2</v>
      </c>
      <c r="AL172" s="79">
        <f t="shared" si="286"/>
        <v>9.8577646175959682E-2</v>
      </c>
      <c r="AM172" s="79">
        <f t="shared" si="286"/>
        <v>9.7591869714200086E-2</v>
      </c>
      <c r="AN172" s="7"/>
    </row>
    <row r="173" spans="4:40">
      <c r="D173" t="s">
        <v>130</v>
      </c>
      <c r="G173" s="76"/>
      <c r="H173" s="76"/>
      <c r="I173" s="76"/>
      <c r="J173" s="76"/>
      <c r="K173" s="76"/>
      <c r="L173" s="244"/>
      <c r="M173" s="244"/>
      <c r="N173" s="244"/>
      <c r="O173" s="244" t="s">
        <v>41</v>
      </c>
      <c r="P173" s="244" t="s">
        <v>41</v>
      </c>
      <c r="Q173" s="244" t="s">
        <v>41</v>
      </c>
      <c r="R173" s="244" t="s">
        <v>41</v>
      </c>
      <c r="S173" s="244" t="s">
        <v>41</v>
      </c>
      <c r="T173" s="244" t="s">
        <v>41</v>
      </c>
      <c r="U173" s="244" t="s">
        <v>41</v>
      </c>
      <c r="V173" s="244" t="s">
        <v>41</v>
      </c>
      <c r="W173" s="79">
        <v>0.20300000000000001</v>
      </c>
      <c r="X173" s="79">
        <v>0.22900000000000001</v>
      </c>
      <c r="Y173" s="79">
        <v>0.245</v>
      </c>
      <c r="Z173" s="79">
        <v>0.23799999999999999</v>
      </c>
      <c r="AA173" s="79">
        <v>0.22900000000000001</v>
      </c>
      <c r="AB173" s="79">
        <v>0.21299999999999999</v>
      </c>
      <c r="AC173" s="79">
        <f>+AB173</f>
        <v>0.21299999999999999</v>
      </c>
      <c r="AD173" s="79">
        <f>+AC173*0.9975</f>
        <v>0.2124675</v>
      </c>
      <c r="AE173" s="79">
        <f t="shared" ref="AE173:AM173" si="287">+AD173*0.9975</f>
        <v>0.21193633125000003</v>
      </c>
      <c r="AF173" s="79">
        <f t="shared" si="287"/>
        <v>0.21140649042187504</v>
      </c>
      <c r="AG173" s="79">
        <f t="shared" si="287"/>
        <v>0.21087797419582036</v>
      </c>
      <c r="AH173" s="79">
        <f t="shared" si="287"/>
        <v>0.21035077926033083</v>
      </c>
      <c r="AI173" s="79">
        <f t="shared" si="287"/>
        <v>0.20982490231218001</v>
      </c>
      <c r="AJ173" s="79">
        <f t="shared" si="287"/>
        <v>0.20930034005639958</v>
      </c>
      <c r="AK173" s="79">
        <f t="shared" si="287"/>
        <v>0.20877708920625859</v>
      </c>
      <c r="AL173" s="79">
        <f t="shared" si="287"/>
        <v>0.20825514648324295</v>
      </c>
      <c r="AM173" s="79">
        <f t="shared" si="287"/>
        <v>0.20773450861703485</v>
      </c>
      <c r="AN173" s="7"/>
    </row>
    <row r="174" spans="4:40">
      <c r="D174" s="2" t="s">
        <v>263</v>
      </c>
      <c r="E174" s="2"/>
      <c r="F174" s="2"/>
      <c r="G174" s="188"/>
      <c r="H174" s="188"/>
      <c r="I174" s="188"/>
      <c r="J174" s="188"/>
      <c r="K174" s="188"/>
      <c r="L174" s="245"/>
      <c r="M174" s="245"/>
      <c r="N174" s="245"/>
      <c r="O174" s="245" t="s">
        <v>41</v>
      </c>
      <c r="P174" s="245" t="s">
        <v>41</v>
      </c>
      <c r="Q174" s="245" t="s">
        <v>41</v>
      </c>
      <c r="R174" s="245" t="s">
        <v>41</v>
      </c>
      <c r="S174" s="245" t="s">
        <v>41</v>
      </c>
      <c r="T174" s="245" t="s">
        <v>41</v>
      </c>
      <c r="U174" s="245" t="s">
        <v>41</v>
      </c>
      <c r="V174" s="245" t="s">
        <v>41</v>
      </c>
      <c r="W174" s="231">
        <f t="shared" ref="W174:AB174" si="288">SUM(W170:W173)</f>
        <v>1</v>
      </c>
      <c r="X174" s="231">
        <f t="shared" si="288"/>
        <v>1</v>
      </c>
      <c r="Y174" s="231">
        <f t="shared" si="288"/>
        <v>1</v>
      </c>
      <c r="Z174" s="231">
        <f t="shared" si="288"/>
        <v>1</v>
      </c>
      <c r="AA174" s="231">
        <f t="shared" si="288"/>
        <v>1</v>
      </c>
      <c r="AB174" s="231">
        <f t="shared" si="288"/>
        <v>1</v>
      </c>
      <c r="AC174" s="231">
        <f t="shared" ref="AC174:AM174" si="289">SUM(AC170:AC173)</f>
        <v>0.99999999999999989</v>
      </c>
      <c r="AD174" s="231">
        <f t="shared" si="289"/>
        <v>1</v>
      </c>
      <c r="AE174" s="231">
        <f t="shared" si="289"/>
        <v>0.99999999999999989</v>
      </c>
      <c r="AF174" s="231">
        <f t="shared" si="289"/>
        <v>1</v>
      </c>
      <c r="AG174" s="231">
        <f t="shared" si="289"/>
        <v>0.99999999999999989</v>
      </c>
      <c r="AH174" s="231">
        <f t="shared" si="289"/>
        <v>1</v>
      </c>
      <c r="AI174" s="231">
        <f t="shared" si="289"/>
        <v>1</v>
      </c>
      <c r="AJ174" s="231">
        <f t="shared" si="289"/>
        <v>1</v>
      </c>
      <c r="AK174" s="231">
        <f t="shared" si="289"/>
        <v>1</v>
      </c>
      <c r="AL174" s="231">
        <f t="shared" si="289"/>
        <v>1</v>
      </c>
      <c r="AM174" s="231">
        <f t="shared" si="289"/>
        <v>1</v>
      </c>
      <c r="AN174" s="7"/>
    </row>
    <row r="175" spans="4:40"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7"/>
    </row>
    <row r="176" spans="4:40">
      <c r="D176" t="s">
        <v>274</v>
      </c>
      <c r="G176" s="76"/>
      <c r="H176" s="76"/>
      <c r="I176" s="76"/>
      <c r="J176" s="76"/>
      <c r="K176" s="76"/>
      <c r="L176" s="81"/>
      <c r="M176" s="81"/>
      <c r="N176" s="81"/>
      <c r="O176" s="81">
        <v>0</v>
      </c>
      <c r="P176" s="81">
        <v>0</v>
      </c>
      <c r="Q176" s="81">
        <v>0</v>
      </c>
      <c r="R176" s="81">
        <v>419.1</v>
      </c>
      <c r="S176" s="81">
        <v>448.7</v>
      </c>
      <c r="T176" s="81">
        <v>495.3</v>
      </c>
      <c r="U176" s="81">
        <v>548</v>
      </c>
      <c r="V176" s="81">
        <v>604.9</v>
      </c>
      <c r="W176" s="81">
        <v>682.9</v>
      </c>
      <c r="X176" s="81">
        <v>762</v>
      </c>
      <c r="Y176" s="81">
        <v>856.6</v>
      </c>
      <c r="Z176" s="81">
        <v>972.9</v>
      </c>
      <c r="AA176" s="81">
        <v>1104.0999999999999</v>
      </c>
      <c r="AB176" s="81">
        <v>1142</v>
      </c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7"/>
    </row>
    <row r="177" spans="4:44">
      <c r="D177" t="s">
        <v>109</v>
      </c>
      <c r="G177" s="76"/>
      <c r="H177" s="76"/>
      <c r="I177" s="76"/>
      <c r="J177" s="76"/>
      <c r="K177" s="76"/>
      <c r="L177" s="81"/>
      <c r="M177" s="81"/>
      <c r="N177" s="81"/>
      <c r="O177" s="81">
        <v>0</v>
      </c>
      <c r="P177" s="81">
        <v>0</v>
      </c>
      <c r="Q177" s="81">
        <v>0</v>
      </c>
      <c r="R177" s="81">
        <v>-133.80000000000001</v>
      </c>
      <c r="S177" s="81">
        <v>-106.1</v>
      </c>
      <c r="T177" s="81">
        <v>-95.1</v>
      </c>
      <c r="U177" s="81">
        <v>-90</v>
      </c>
      <c r="V177" s="81">
        <v>-96.6</v>
      </c>
      <c r="W177" s="81">
        <v>-127.7</v>
      </c>
      <c r="X177" s="81">
        <v>-171.4</v>
      </c>
      <c r="Y177" s="81">
        <v>-215</v>
      </c>
      <c r="Z177" s="81">
        <v>-289.3</v>
      </c>
      <c r="AA177" s="81">
        <v>-358.1</v>
      </c>
      <c r="AB177" s="81">
        <v>-314.10000000000002</v>
      </c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7"/>
    </row>
    <row r="178" spans="4:44">
      <c r="D178" s="235" t="s">
        <v>250</v>
      </c>
      <c r="E178" s="235"/>
      <c r="F178" s="235"/>
      <c r="G178" s="236"/>
      <c r="H178" s="236"/>
      <c r="I178" s="236"/>
      <c r="J178" s="236"/>
      <c r="K178" s="236"/>
      <c r="L178" s="236"/>
      <c r="M178" s="236"/>
      <c r="N178" s="236"/>
      <c r="O178" s="188">
        <f>SUM(O176:O177)</f>
        <v>0</v>
      </c>
      <c r="P178" s="188">
        <f>SUM(P176:P177)</f>
        <v>0</v>
      </c>
      <c r="Q178" s="188">
        <f t="shared" ref="Q178:V178" si="290">SUM(Q176:Q177)</f>
        <v>0</v>
      </c>
      <c r="R178" s="188">
        <f t="shared" si="290"/>
        <v>285.3</v>
      </c>
      <c r="S178" s="188">
        <f t="shared" si="290"/>
        <v>342.6</v>
      </c>
      <c r="T178" s="188">
        <f t="shared" si="290"/>
        <v>400.20000000000005</v>
      </c>
      <c r="U178" s="188">
        <f t="shared" si="290"/>
        <v>458</v>
      </c>
      <c r="V178" s="188">
        <f t="shared" si="290"/>
        <v>508.29999999999995</v>
      </c>
      <c r="W178" s="188">
        <f t="shared" ref="W178:AB178" si="291">SUM(W176:W177)</f>
        <v>555.19999999999993</v>
      </c>
      <c r="X178" s="188">
        <f t="shared" si="291"/>
        <v>590.6</v>
      </c>
      <c r="Y178" s="188">
        <f t="shared" si="291"/>
        <v>641.6</v>
      </c>
      <c r="Z178" s="188">
        <f t="shared" si="291"/>
        <v>683.59999999999991</v>
      </c>
      <c r="AA178" s="188">
        <f t="shared" si="291"/>
        <v>745.99999999999989</v>
      </c>
      <c r="AB178" s="188">
        <f t="shared" si="291"/>
        <v>827.9</v>
      </c>
      <c r="AC178" s="106">
        <f t="shared" ref="AC178:AM178" ca="1" si="292">+AC194*AC150</f>
        <v>835.39321344087318</v>
      </c>
      <c r="AD178" s="106">
        <f t="shared" ca="1" si="292"/>
        <v>902.07648587451104</v>
      </c>
      <c r="AE178" s="106">
        <f t="shared" ca="1" si="292"/>
        <v>972.29352632675307</v>
      </c>
      <c r="AF178" s="106">
        <f t="shared" ca="1" si="292"/>
        <v>1049.5247537779853</v>
      </c>
      <c r="AG178" s="106">
        <f t="shared" ca="1" si="292"/>
        <v>1133.9322580345308</v>
      </c>
      <c r="AH178" s="106">
        <f t="shared" ca="1" si="292"/>
        <v>1225.7140052327368</v>
      </c>
      <c r="AI178" s="106">
        <f t="shared" ca="1" si="292"/>
        <v>1325.1631270739238</v>
      </c>
      <c r="AJ178" s="106">
        <f t="shared" ca="1" si="292"/>
        <v>1432.6005714728262</v>
      </c>
      <c r="AK178" s="106">
        <f t="shared" ca="1" si="292"/>
        <v>1548.3557271362713</v>
      </c>
      <c r="AL178" s="106">
        <f t="shared" ca="1" si="292"/>
        <v>1672.7629201458788</v>
      </c>
      <c r="AM178" s="106">
        <f t="shared" ca="1" si="292"/>
        <v>1807.2341286160201</v>
      </c>
      <c r="AN178" s="7"/>
    </row>
    <row r="179" spans="4:44">
      <c r="D179" t="s">
        <v>355</v>
      </c>
      <c r="G179" s="76"/>
      <c r="H179" s="76"/>
      <c r="I179" s="76"/>
      <c r="J179" s="76"/>
      <c r="K179" s="76"/>
      <c r="L179" s="81"/>
      <c r="M179" s="81"/>
      <c r="N179" s="81"/>
      <c r="O179" s="81">
        <f>48.5+70.7</f>
        <v>119.2</v>
      </c>
      <c r="P179" s="81">
        <f>-35.3+89.6</f>
        <v>54.3</v>
      </c>
      <c r="Q179" s="81">
        <v>220.1</v>
      </c>
      <c r="R179" s="81">
        <v>7.5</v>
      </c>
      <c r="S179" s="81">
        <v>1.5</v>
      </c>
      <c r="T179" s="81">
        <v>0</v>
      </c>
      <c r="U179" s="81">
        <v>0</v>
      </c>
      <c r="V179" s="81">
        <v>0</v>
      </c>
      <c r="W179" s="81">
        <v>0</v>
      </c>
      <c r="X179" s="81">
        <v>0</v>
      </c>
      <c r="Y179" s="81">
        <v>0</v>
      </c>
      <c r="Z179" s="81">
        <v>0</v>
      </c>
      <c r="AA179" s="81">
        <v>0</v>
      </c>
      <c r="AB179" s="81">
        <v>0</v>
      </c>
      <c r="AC179" s="81">
        <v>0</v>
      </c>
      <c r="AD179" s="81">
        <v>0</v>
      </c>
      <c r="AE179" s="81">
        <v>0</v>
      </c>
      <c r="AF179" s="81">
        <v>0</v>
      </c>
      <c r="AG179" s="81">
        <v>0</v>
      </c>
      <c r="AH179" s="81">
        <v>0</v>
      </c>
      <c r="AI179" s="81">
        <v>0</v>
      </c>
      <c r="AJ179" s="81">
        <v>0</v>
      </c>
      <c r="AK179" s="81">
        <v>0</v>
      </c>
      <c r="AL179" s="81">
        <v>0</v>
      </c>
      <c r="AM179" s="81">
        <v>0</v>
      </c>
      <c r="AN179" s="7"/>
    </row>
    <row r="180" spans="4:44">
      <c r="D180" t="s">
        <v>275</v>
      </c>
      <c r="G180" s="76"/>
      <c r="H180" s="76"/>
      <c r="I180" s="76"/>
      <c r="J180" s="76"/>
      <c r="K180" s="76"/>
      <c r="L180" s="81"/>
      <c r="M180" s="81"/>
      <c r="N180" s="81"/>
      <c r="O180" s="81">
        <v>0</v>
      </c>
      <c r="P180" s="81">
        <v>0</v>
      </c>
      <c r="Q180" s="81">
        <v>0</v>
      </c>
      <c r="R180" s="81">
        <v>-27.7</v>
      </c>
      <c r="S180" s="81">
        <v>-36.4</v>
      </c>
      <c r="T180" s="81">
        <v>-56.2</v>
      </c>
      <c r="U180" s="81">
        <v>-72.2</v>
      </c>
      <c r="V180" s="81">
        <v>-82.3</v>
      </c>
      <c r="W180" s="81">
        <v>-101.2</v>
      </c>
      <c r="X180" s="81">
        <v>-150.6</v>
      </c>
      <c r="Y180" s="81">
        <v>-137.6</v>
      </c>
      <c r="Z180" s="81">
        <v>-153.80000000000001</v>
      </c>
      <c r="AA180" s="81">
        <v>-185.7</v>
      </c>
      <c r="AB180" s="81">
        <v>-160.69999999999999</v>
      </c>
      <c r="AC180" s="190">
        <v>-170</v>
      </c>
      <c r="AD180" s="92">
        <f ca="1">AC151-AD151-AD153</f>
        <v>-195.10927920557234</v>
      </c>
      <c r="AE180" s="92">
        <f t="shared" ref="AE180:AM180" ca="1" si="293">AD151-AE151-AE153</f>
        <v>-220.20342706868811</v>
      </c>
      <c r="AF180" s="92">
        <f t="shared" ca="1" si="293"/>
        <v>-238.53281005310694</v>
      </c>
      <c r="AG180" s="92">
        <f t="shared" ca="1" si="293"/>
        <v>-258.49132060282693</v>
      </c>
      <c r="AH180" s="92">
        <f t="shared" ca="1" si="293"/>
        <v>-280.17222565707607</v>
      </c>
      <c r="AI180" s="92">
        <f t="shared" ca="1" si="293"/>
        <v>-303.64989258157237</v>
      </c>
      <c r="AJ180" s="92">
        <f t="shared" ca="1" si="293"/>
        <v>-329.01732402098844</v>
      </c>
      <c r="AK180" s="92">
        <f t="shared" ca="1" si="293"/>
        <v>-356.34994722994099</v>
      </c>
      <c r="AL180" s="92">
        <f t="shared" ca="1" si="293"/>
        <v>-385.74376596132561</v>
      </c>
      <c r="AM180" s="92">
        <f t="shared" ca="1" si="293"/>
        <v>-417.96059182312655</v>
      </c>
      <c r="AN180" s="7"/>
    </row>
    <row r="181" spans="4:44">
      <c r="D181" t="s">
        <v>531</v>
      </c>
      <c r="G181" s="76"/>
      <c r="H181" s="76"/>
      <c r="I181" s="76"/>
      <c r="J181" s="76"/>
      <c r="K181" s="76"/>
      <c r="L181" s="81"/>
      <c r="M181" s="81"/>
      <c r="N181" s="81"/>
      <c r="O181" s="70">
        <f t="shared" ref="O181:S181" si="294">+P181*0.9</f>
        <v>-12.010566600000004</v>
      </c>
      <c r="P181" s="70">
        <f t="shared" si="294"/>
        <v>-13.345074000000004</v>
      </c>
      <c r="Q181" s="70">
        <f t="shared" si="294"/>
        <v>-14.827860000000005</v>
      </c>
      <c r="R181" s="70">
        <f t="shared" si="294"/>
        <v>-16.475400000000004</v>
      </c>
      <c r="S181" s="70">
        <f t="shared" si="294"/>
        <v>-18.306000000000004</v>
      </c>
      <c r="T181" s="70">
        <f>+U181*0.9</f>
        <v>-20.340000000000003</v>
      </c>
      <c r="U181" s="81">
        <v>-22.6</v>
      </c>
      <c r="V181" s="81">
        <v>-25.3</v>
      </c>
      <c r="W181" s="81">
        <v>-28.2</v>
      </c>
      <c r="X181" s="81">
        <v>-30.8</v>
      </c>
      <c r="Y181" s="81">
        <v>-35.4</v>
      </c>
      <c r="Z181" s="81">
        <v>-38.299999999999997</v>
      </c>
      <c r="AA181" s="81">
        <v>-42.3</v>
      </c>
      <c r="AB181" s="81">
        <v>-46</v>
      </c>
      <c r="AC181" s="70">
        <f ca="1">-AC162*AC186/1000000</f>
        <v>-48.336690742302231</v>
      </c>
      <c r="AD181" s="70">
        <f t="shared" ref="AD181:AM181" ca="1" si="295">-AD162*AD186/1000000</f>
        <v>-51.030868444420008</v>
      </c>
      <c r="AE181" s="70">
        <f t="shared" ca="1" si="295"/>
        <v>-54.234204906820395</v>
      </c>
      <c r="AF181" s="70">
        <f t="shared" ca="1" si="295"/>
        <v>-57.573281910233959</v>
      </c>
      <c r="AG181" s="70">
        <f t="shared" ca="1" si="295"/>
        <v>-61.011420599804609</v>
      </c>
      <c r="AH181" s="70">
        <f t="shared" ca="1" si="295"/>
        <v>-64.577607239391781</v>
      </c>
      <c r="AI181" s="70">
        <f t="shared" ca="1" si="295"/>
        <v>-68.263997541623297</v>
      </c>
      <c r="AJ181" s="70">
        <f t="shared" ca="1" si="295"/>
        <v>-72.802576304690902</v>
      </c>
      <c r="AK181" s="70">
        <f t="shared" ca="1" si="295"/>
        <v>-78.313230071988343</v>
      </c>
      <c r="AL181" s="70">
        <f t="shared" ca="1" si="295"/>
        <v>-84.551086104851763</v>
      </c>
      <c r="AM181" s="70">
        <f t="shared" ca="1" si="295"/>
        <v>-91.598638885794401</v>
      </c>
      <c r="AN181" s="7"/>
    </row>
    <row r="182" spans="4:44">
      <c r="D182" t="s">
        <v>532</v>
      </c>
      <c r="G182" s="76"/>
      <c r="H182" s="76"/>
      <c r="I182" s="76"/>
      <c r="J182" s="76"/>
      <c r="K182" s="76"/>
      <c r="L182" s="76"/>
      <c r="M182" s="76"/>
      <c r="N182" s="76"/>
      <c r="O182" s="76">
        <f t="shared" ref="O182:S182" si="296">+O183-O180-O178-O179-O181</f>
        <v>-21.289433399999993</v>
      </c>
      <c r="P182" s="76">
        <f t="shared" si="296"/>
        <v>-25.654925999999996</v>
      </c>
      <c r="Q182" s="76">
        <f t="shared" si="296"/>
        <v>-30.072140000000001</v>
      </c>
      <c r="R182" s="76">
        <f t="shared" si="296"/>
        <v>-28.624600000000019</v>
      </c>
      <c r="S182" s="76">
        <f t="shared" si="296"/>
        <v>-27.194000000000052</v>
      </c>
      <c r="T182" s="76">
        <f t="shared" ref="T182:AB182" si="297">+T183-T180-T178-T179-T181</f>
        <v>-24.360000000000042</v>
      </c>
      <c r="U182" s="76">
        <f t="shared" si="297"/>
        <v>-27.000000000000021</v>
      </c>
      <c r="V182" s="76">
        <f t="shared" si="297"/>
        <v>-33.399999999999935</v>
      </c>
      <c r="W182" s="76">
        <f t="shared" si="297"/>
        <v>-33.79999999999994</v>
      </c>
      <c r="X182" s="76">
        <f t="shared" si="297"/>
        <v>-40.200000000000003</v>
      </c>
      <c r="Y182" s="76">
        <f t="shared" si="297"/>
        <v>-47.40000000000007</v>
      </c>
      <c r="Z182" s="76">
        <f t="shared" si="297"/>
        <v>-52.799999999999912</v>
      </c>
      <c r="AA182" s="76">
        <f t="shared" si="297"/>
        <v>-61.999999999999844</v>
      </c>
      <c r="AB182" s="76">
        <f t="shared" si="297"/>
        <v>-58.399999999999977</v>
      </c>
      <c r="AC182" s="70">
        <f ca="1">-AC162*AC188/1000000</f>
        <v>-72.917937768387574</v>
      </c>
      <c r="AD182" s="70">
        <f t="shared" ref="AD182:AM182" ca="1" si="298">-AD162*AD188/1000000</f>
        <v>-76.212396339703645</v>
      </c>
      <c r="AE182" s="70">
        <f t="shared" ca="1" si="298"/>
        <v>-80.17829502249144</v>
      </c>
      <c r="AF182" s="70">
        <f t="shared" ca="1" si="298"/>
        <v>-84.254946466444167</v>
      </c>
      <c r="AG182" s="70">
        <f t="shared" ca="1" si="298"/>
        <v>-91.090217018662145</v>
      </c>
      <c r="AH182" s="70">
        <f t="shared" ca="1" si="298"/>
        <v>-98.362311931239063</v>
      </c>
      <c r="AI182" s="70">
        <f t="shared" ca="1" si="298"/>
        <v>-106.0778416990175</v>
      </c>
      <c r="AJ182" s="70">
        <f t="shared" ca="1" si="298"/>
        <v>-114.26180486161813</v>
      </c>
      <c r="AK182" s="70">
        <f t="shared" ca="1" si="298"/>
        <v>-122.91063677635232</v>
      </c>
      <c r="AL182" s="70">
        <f t="shared" ca="1" si="298"/>
        <v>-132.04709578720795</v>
      </c>
      <c r="AM182" s="70">
        <f t="shared" ca="1" si="298"/>
        <v>-142.34886705890167</v>
      </c>
      <c r="AN182" s="7"/>
    </row>
    <row r="183" spans="4:44">
      <c r="D183" s="235" t="s">
        <v>276</v>
      </c>
      <c r="E183" s="235"/>
      <c r="F183" s="235"/>
      <c r="G183" s="236"/>
      <c r="H183" s="236"/>
      <c r="I183" s="236"/>
      <c r="J183" s="236"/>
      <c r="K183" s="236"/>
      <c r="L183" s="192">
        <v>82.656000000000006</v>
      </c>
      <c r="M183" s="192">
        <v>104.327</v>
      </c>
      <c r="N183" s="192">
        <v>132.625</v>
      </c>
      <c r="O183" s="192">
        <v>85.9</v>
      </c>
      <c r="P183" s="192">
        <v>15.3</v>
      </c>
      <c r="Q183" s="192">
        <v>175.2</v>
      </c>
      <c r="R183" s="192">
        <v>220</v>
      </c>
      <c r="S183" s="192">
        <v>262.2</v>
      </c>
      <c r="T183" s="192">
        <v>299.3</v>
      </c>
      <c r="U183" s="192">
        <v>336.2</v>
      </c>
      <c r="V183" s="192">
        <v>367.3</v>
      </c>
      <c r="W183" s="192">
        <v>392</v>
      </c>
      <c r="X183" s="192">
        <v>369</v>
      </c>
      <c r="Y183" s="192">
        <v>421.2</v>
      </c>
      <c r="Z183" s="192">
        <v>438.7</v>
      </c>
      <c r="AA183" s="192">
        <v>456</v>
      </c>
      <c r="AB183" s="192">
        <v>562.79999999999995</v>
      </c>
      <c r="AC183" s="188">
        <f ca="1">+AC180+AC178+SUM(AC181:AC182)</f>
        <v>544.13858493018336</v>
      </c>
      <c r="AD183" s="188">
        <f t="shared" ref="AD183:AM183" ca="1" si="299">+AD180+AD178+SUM(AD181:AD182)</f>
        <v>579.72394188481508</v>
      </c>
      <c r="AE183" s="188">
        <f t="shared" ca="1" si="299"/>
        <v>617.6775993287531</v>
      </c>
      <c r="AF183" s="188">
        <f t="shared" ca="1" si="299"/>
        <v>669.1637153482003</v>
      </c>
      <c r="AG183" s="188">
        <f t="shared" ca="1" si="299"/>
        <v>723.33929981323718</v>
      </c>
      <c r="AH183" s="188">
        <f t="shared" ca="1" si="299"/>
        <v>782.60186040502981</v>
      </c>
      <c r="AI183" s="188">
        <f t="shared" ca="1" si="299"/>
        <v>847.17139525171046</v>
      </c>
      <c r="AJ183" s="188">
        <f t="shared" ca="1" si="299"/>
        <v>916.51886628552893</v>
      </c>
      <c r="AK183" s="188">
        <f t="shared" ca="1" si="299"/>
        <v>990.78191305798953</v>
      </c>
      <c r="AL183" s="188">
        <f t="shared" ca="1" si="299"/>
        <v>1070.4209722924934</v>
      </c>
      <c r="AM183" s="188">
        <f t="shared" ca="1" si="299"/>
        <v>1155.3260308481974</v>
      </c>
      <c r="AN183" s="7"/>
      <c r="AO183" s="314">
        <f t="shared" ref="AO183" ca="1" si="300">(AL183/AB183)^(1/10)-1</f>
        <v>6.63997929122917E-2</v>
      </c>
      <c r="AP183" s="314">
        <f t="shared" ref="AP183" si="301">(AB183/L183)^(1/16)-1</f>
        <v>0.12737261590505566</v>
      </c>
      <c r="AQ183" s="314">
        <f t="shared" ref="AQ183" si="302">(AA183/Q183)^(1/10)-1</f>
        <v>0.10038097758585329</v>
      </c>
      <c r="AR183" s="314">
        <f t="shared" ref="AR183" ca="1" si="303">(AL183/AA183)^(1/11)-1</f>
        <v>8.0662244933271676E-2</v>
      </c>
    </row>
    <row r="184" spans="4:44">
      <c r="D184" s="299" t="s">
        <v>523</v>
      </c>
      <c r="E184" s="299"/>
      <c r="F184" s="299"/>
      <c r="G184" s="300"/>
      <c r="H184" s="300"/>
      <c r="I184" s="300"/>
      <c r="J184" s="300"/>
      <c r="K184" s="300"/>
      <c r="L184" s="76"/>
      <c r="M184" s="76"/>
      <c r="N184" s="76"/>
      <c r="O184" s="76"/>
      <c r="P184" s="76"/>
      <c r="Q184" s="76">
        <f t="shared" ref="Q184:AA184" si="304">+Q183/(Q150/AVERAGE(M160:Q160))</f>
        <v>727.52376953796238</v>
      </c>
      <c r="R184" s="76">
        <f t="shared" si="304"/>
        <v>902.78609696823207</v>
      </c>
      <c r="S184" s="76">
        <f t="shared" si="304"/>
        <v>1000.295250949888</v>
      </c>
      <c r="T184" s="76">
        <f t="shared" si="304"/>
        <v>1008.0289379673693</v>
      </c>
      <c r="U184" s="76">
        <f t="shared" si="304"/>
        <v>929.89623661018152</v>
      </c>
      <c r="V184" s="76">
        <f t="shared" si="304"/>
        <v>881.06326224939698</v>
      </c>
      <c r="W184" s="76">
        <f t="shared" si="304"/>
        <v>826.72315749829863</v>
      </c>
      <c r="X184" s="76">
        <f t="shared" si="304"/>
        <v>699.15733000510875</v>
      </c>
      <c r="Y184" s="76">
        <f t="shared" si="304"/>
        <v>723.10793864965513</v>
      </c>
      <c r="Z184" s="76">
        <f t="shared" si="304"/>
        <v>697.9202423131976</v>
      </c>
      <c r="AA184" s="76">
        <f t="shared" si="304"/>
        <v>676.84329084693081</v>
      </c>
      <c r="AB184" s="76">
        <f>+AB183/(AB150/AVERAGE(X160:AB160))</f>
        <v>817.6848208178958</v>
      </c>
      <c r="AC184" s="300"/>
      <c r="AD184" s="300"/>
      <c r="AE184" s="300"/>
      <c r="AF184" s="300"/>
      <c r="AG184" s="300"/>
      <c r="AH184" s="300"/>
      <c r="AI184" s="300"/>
      <c r="AJ184" s="300"/>
      <c r="AK184" s="300"/>
      <c r="AL184" s="300"/>
      <c r="AM184" s="300"/>
      <c r="AN184" s="7"/>
    </row>
    <row r="185" spans="4:44">
      <c r="D185" s="299"/>
      <c r="E185" s="299"/>
      <c r="F185" s="299"/>
      <c r="G185" s="300"/>
      <c r="H185" s="300"/>
      <c r="I185" s="300"/>
      <c r="J185" s="300"/>
      <c r="K185" s="300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300"/>
      <c r="AD185" s="300"/>
      <c r="AE185" s="300"/>
      <c r="AF185" s="300"/>
      <c r="AG185" s="300"/>
      <c r="AH185" s="300"/>
      <c r="AI185" s="300"/>
      <c r="AJ185" s="300"/>
      <c r="AK185" s="300"/>
      <c r="AL185" s="300"/>
      <c r="AM185" s="300"/>
      <c r="AN185" s="7"/>
    </row>
    <row r="186" spans="4:44">
      <c r="D186" t="s">
        <v>533</v>
      </c>
      <c r="E186" s="299"/>
      <c r="F186" s="299"/>
      <c r="G186" s="300"/>
      <c r="H186" s="300"/>
      <c r="I186" s="300"/>
      <c r="J186" s="300"/>
      <c r="K186" s="300"/>
      <c r="L186" s="76"/>
      <c r="M186" s="76"/>
      <c r="N186" s="76"/>
      <c r="O186" s="76"/>
      <c r="P186" s="76"/>
      <c r="Q186" s="76">
        <f t="shared" ref="Q186:U186" si="305">-Q181/(Q162/1000000)</f>
        <v>135.99798220673213</v>
      </c>
      <c r="R186" s="76">
        <f t="shared" si="305"/>
        <v>137.08594393549839</v>
      </c>
      <c r="S186" s="76">
        <f t="shared" si="305"/>
        <v>120.06453813259179</v>
      </c>
      <c r="T186" s="76">
        <f t="shared" si="305"/>
        <v>113.29898342849188</v>
      </c>
      <c r="U186" s="76">
        <f t="shared" si="305"/>
        <v>103.33507082567465</v>
      </c>
      <c r="V186" s="76">
        <f t="shared" ref="V186:AB186" si="306">-V181/(V162/1000000)</f>
        <v>104.00223625361747</v>
      </c>
      <c r="W186" s="76">
        <f t="shared" si="306"/>
        <v>106.24430161325567</v>
      </c>
      <c r="X186" s="76">
        <f t="shared" si="306"/>
        <v>103.68869153624223</v>
      </c>
      <c r="Y186" s="76">
        <f t="shared" si="306"/>
        <v>113.92197310282906</v>
      </c>
      <c r="Z186" s="76">
        <f t="shared" si="306"/>
        <v>118.25951634019218</v>
      </c>
      <c r="AA186" s="76">
        <f t="shared" si="306"/>
        <v>119.60843083918178</v>
      </c>
      <c r="AB186" s="76">
        <f t="shared" si="306"/>
        <v>144.04439072354123</v>
      </c>
      <c r="AC186" s="70">
        <f t="shared" ref="AC186" si="307">+AB186*(1+AC187)</f>
        <v>122.43773211501004</v>
      </c>
      <c r="AD186" s="70">
        <f t="shared" ref="AD186" si="308">+AC186*(1+AD187)</f>
        <v>122.43773211501004</v>
      </c>
      <c r="AE186" s="70">
        <f t="shared" ref="AE186" si="309">+AD186*(1+AE187)</f>
        <v>121.21335479385993</v>
      </c>
      <c r="AF186" s="70">
        <f t="shared" ref="AF186" si="310">+AE186*(1+AF187)</f>
        <v>120.00122124592133</v>
      </c>
      <c r="AG186" s="70">
        <f t="shared" ref="AG186" si="311">+AF186*(1+AG187)</f>
        <v>118.80120903346211</v>
      </c>
      <c r="AH186" s="70">
        <f t="shared" ref="AH186" si="312">+AG186*(1+AH187)</f>
        <v>117.61319694312749</v>
      </c>
      <c r="AI186" s="70">
        <f t="shared" ref="AI186" si="313">+AH186*(1+AI187)</f>
        <v>116.43706497369621</v>
      </c>
      <c r="AJ186" s="70">
        <f t="shared" ref="AJ186" si="314">+AI186*(1+AJ187)</f>
        <v>116.43706497369621</v>
      </c>
      <c r="AK186" s="70">
        <f t="shared" ref="AK186" si="315">+AJ186*(1+AK187)</f>
        <v>117.60143562343318</v>
      </c>
      <c r="AL186" s="70">
        <f t="shared" ref="AL186" si="316">+AK186*(1+AL187)</f>
        <v>119.36545715778466</v>
      </c>
      <c r="AM186" s="70">
        <f t="shared" ref="AM186" si="317">+AL186*(1+AM187)</f>
        <v>121.15593901515142</v>
      </c>
      <c r="AN186" s="7"/>
    </row>
    <row r="187" spans="4:44">
      <c r="D187" s="71" t="s">
        <v>367</v>
      </c>
      <c r="G187" s="76"/>
      <c r="H187" s="76"/>
      <c r="I187" s="76"/>
      <c r="J187" s="76"/>
      <c r="K187" s="76"/>
      <c r="L187" s="76"/>
      <c r="M187" s="76"/>
      <c r="N187" s="76"/>
      <c r="O187" s="76"/>
      <c r="P187" s="41"/>
      <c r="Q187" s="41"/>
      <c r="R187" s="41">
        <f t="shared" ref="R187" si="318">+R186/Q186-1</f>
        <v>7.9998372851770583E-3</v>
      </c>
      <c r="S187" s="41">
        <f t="shared" ref="S187" si="319">+S186/R186-1</f>
        <v>-0.1241659452038022</v>
      </c>
      <c r="T187" s="41">
        <f t="shared" ref="T187" si="320">+T186/S186-1</f>
        <v>-5.6349316870135779E-2</v>
      </c>
      <c r="U187" s="41">
        <f t="shared" ref="U187" si="321">+U186/T186-1</f>
        <v>-8.794353048282999E-2</v>
      </c>
      <c r="V187" s="41">
        <f t="shared" ref="V187" si="322">+V186/U186-1</f>
        <v>6.4563310656486905E-3</v>
      </c>
      <c r="W187" s="41">
        <f t="shared" ref="W187" si="323">+W186/V186-1</f>
        <v>2.1557857219250076E-2</v>
      </c>
      <c r="X187" s="41">
        <f t="shared" ref="X187" si="324">+X186/W186-1</f>
        <v>-2.4054090790828653E-2</v>
      </c>
      <c r="Y187" s="41">
        <f t="shared" ref="Y187" si="325">+Y186/X186-1</f>
        <v>9.8692358973495153E-2</v>
      </c>
      <c r="Z187" s="41">
        <f t="shared" ref="Z187" si="326">+Z186/Y186-1</f>
        <v>3.8074684972739581E-2</v>
      </c>
      <c r="AA187" s="41">
        <f>+AA186/Z186-1</f>
        <v>1.1406392827696399E-2</v>
      </c>
      <c r="AB187" s="41">
        <f>+AB186/AA186-1</f>
        <v>0.20429964437218096</v>
      </c>
      <c r="AC187" s="52">
        <v>-0.15</v>
      </c>
      <c r="AD187" s="52">
        <v>0</v>
      </c>
      <c r="AE187" s="52">
        <v>-0.01</v>
      </c>
      <c r="AF187" s="52">
        <v>-0.01</v>
      </c>
      <c r="AG187" s="52">
        <v>-0.01</v>
      </c>
      <c r="AH187" s="52">
        <v>-0.01</v>
      </c>
      <c r="AI187" s="52">
        <v>-0.01</v>
      </c>
      <c r="AJ187" s="52">
        <v>0</v>
      </c>
      <c r="AK187" s="52">
        <v>0.01</v>
      </c>
      <c r="AL187" s="52">
        <v>1.4999999999999999E-2</v>
      </c>
      <c r="AM187" s="52">
        <v>1.4999999999999999E-2</v>
      </c>
      <c r="AN187" s="7"/>
    </row>
    <row r="188" spans="4:44">
      <c r="D188" t="s">
        <v>534</v>
      </c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>
        <f t="shared" ref="Q188:U188" si="327">-Q182/(Q162/1000000)</f>
        <v>275.8152801981106</v>
      </c>
      <c r="R188" s="76">
        <f t="shared" si="327"/>
        <v>238.17511628100496</v>
      </c>
      <c r="S188" s="76">
        <f t="shared" si="327"/>
        <v>178.35873757116283</v>
      </c>
      <c r="T188" s="76">
        <f t="shared" si="327"/>
        <v>135.69140788191083</v>
      </c>
      <c r="U188" s="76">
        <f t="shared" si="327"/>
        <v>123.45340319881494</v>
      </c>
      <c r="V188" s="76">
        <f t="shared" ref="V188:AB188" si="328">-V182/(V162/1000000)</f>
        <v>137.29939489607972</v>
      </c>
      <c r="W188" s="76">
        <f t="shared" si="328"/>
        <v>127.34246079886651</v>
      </c>
      <c r="X188" s="76">
        <f t="shared" si="328"/>
        <v>135.33394155054992</v>
      </c>
      <c r="Y188" s="76">
        <f t="shared" si="328"/>
        <v>152.5395911037883</v>
      </c>
      <c r="Z188" s="76">
        <f t="shared" si="328"/>
        <v>163.03139589457277</v>
      </c>
      <c r="AA188" s="76">
        <f t="shared" si="328"/>
        <v>175.31259366499415</v>
      </c>
      <c r="AB188" s="76">
        <f t="shared" si="328"/>
        <v>182.87374822293054</v>
      </c>
      <c r="AC188" s="277">
        <f t="shared" ref="AC188:AM188" si="329">+AB188*(1+AC189)</f>
        <v>184.70248570515986</v>
      </c>
      <c r="AD188" s="277">
        <f>+AC188*(1+AD189)</f>
        <v>182.85546084810827</v>
      </c>
      <c r="AE188" s="277">
        <f t="shared" si="329"/>
        <v>179.1983516311461</v>
      </c>
      <c r="AF188" s="277">
        <f t="shared" si="329"/>
        <v>175.61438459852317</v>
      </c>
      <c r="AG188" s="277">
        <f t="shared" si="329"/>
        <v>177.37052844450841</v>
      </c>
      <c r="AH188" s="277">
        <f t="shared" si="329"/>
        <v>179.14423372895348</v>
      </c>
      <c r="AI188" s="277">
        <f t="shared" si="329"/>
        <v>180.93567606624302</v>
      </c>
      <c r="AJ188" s="277">
        <f t="shared" si="329"/>
        <v>182.74503282690546</v>
      </c>
      <c r="AK188" s="277">
        <f t="shared" si="329"/>
        <v>184.57248315517452</v>
      </c>
      <c r="AL188" s="277">
        <f t="shared" si="329"/>
        <v>186.41820798672626</v>
      </c>
      <c r="AM188" s="277">
        <f t="shared" si="329"/>
        <v>188.28239006659354</v>
      </c>
      <c r="AN188" s="7"/>
    </row>
    <row r="189" spans="4:44">
      <c r="D189" s="71" t="s">
        <v>367</v>
      </c>
      <c r="G189" s="76"/>
      <c r="H189" s="76"/>
      <c r="I189" s="76"/>
      <c r="J189" s="76"/>
      <c r="K189" s="76"/>
      <c r="L189" s="76"/>
      <c r="M189" s="76"/>
      <c r="N189" s="76"/>
      <c r="O189" s="76"/>
      <c r="P189" s="41"/>
      <c r="Q189" s="41"/>
      <c r="R189" s="41">
        <f t="shared" ref="R189" si="330">+R188/Q188-1</f>
        <v>-0.13646874056458991</v>
      </c>
      <c r="S189" s="41">
        <f t="shared" ref="S189" si="331">+S188/R188-1</f>
        <v>-0.25114453450825347</v>
      </c>
      <c r="T189" s="41">
        <f t="shared" ref="T189" si="332">+T188/S188-1</f>
        <v>-0.23922197628377073</v>
      </c>
      <c r="U189" s="41">
        <f t="shared" ref="U189" si="333">+U188/T188-1</f>
        <v>-9.0189974989030697E-2</v>
      </c>
      <c r="V189" s="41">
        <f t="shared" ref="V189:Z189" si="334">+V188/U188-1</f>
        <v>0.11215560963488835</v>
      </c>
      <c r="W189" s="41">
        <f t="shared" si="334"/>
        <v>-7.2519868749235883E-2</v>
      </c>
      <c r="X189" s="41">
        <f t="shared" si="334"/>
        <v>6.2755821597524353E-2</v>
      </c>
      <c r="Y189" s="41">
        <f t="shared" si="334"/>
        <v>0.12713477015528829</v>
      </c>
      <c r="Z189" s="41">
        <f t="shared" si="334"/>
        <v>6.8780863478556276E-2</v>
      </c>
      <c r="AA189" s="41">
        <f>+AA188/Z188-1</f>
        <v>7.5330262021207517E-2</v>
      </c>
      <c r="AB189" s="41">
        <f>+AB188/AA188-1</f>
        <v>4.3129557323103862E-2</v>
      </c>
      <c r="AC189" s="52">
        <v>0.01</v>
      </c>
      <c r="AD189" s="52">
        <v>-0.01</v>
      </c>
      <c r="AE189" s="52">
        <v>-0.02</v>
      </c>
      <c r="AF189" s="52">
        <v>-0.02</v>
      </c>
      <c r="AG189" s="52">
        <v>0.01</v>
      </c>
      <c r="AH189" s="52">
        <v>0.01</v>
      </c>
      <c r="AI189" s="52">
        <v>0.01</v>
      </c>
      <c r="AJ189" s="52">
        <v>0.01</v>
      </c>
      <c r="AK189" s="52">
        <v>0.01</v>
      </c>
      <c r="AL189" s="52">
        <v>0.01</v>
      </c>
      <c r="AM189" s="52">
        <v>0.01</v>
      </c>
      <c r="AN189" s="7"/>
    </row>
    <row r="190" spans="4:44">
      <c r="D190" t="s">
        <v>530</v>
      </c>
      <c r="G190" s="76"/>
      <c r="H190" s="76"/>
      <c r="I190" s="76"/>
      <c r="J190" s="76"/>
      <c r="K190" s="76"/>
      <c r="L190" s="76"/>
      <c r="M190" s="76"/>
      <c r="N190" s="76"/>
      <c r="O190" s="76"/>
      <c r="P190" s="41"/>
      <c r="Q190" s="41"/>
      <c r="R190" s="41">
        <f>-(R182+R181)/R178</f>
        <v>0.15807921486154933</v>
      </c>
      <c r="S190" s="41">
        <f t="shared" ref="S190:AM190" si="335">-(S182+S181)/S178</f>
        <v>0.13280793928779935</v>
      </c>
      <c r="T190" s="41">
        <f t="shared" si="335"/>
        <v>0.11169415292353833</v>
      </c>
      <c r="U190" s="41">
        <f t="shared" si="335"/>
        <v>0.1082969432314411</v>
      </c>
      <c r="V190" s="41">
        <f t="shared" si="335"/>
        <v>0.115482982490655</v>
      </c>
      <c r="W190" s="41">
        <f t="shared" si="335"/>
        <v>0.11167146974063391</v>
      </c>
      <c r="X190" s="41">
        <f t="shared" si="335"/>
        <v>0.12021672875042329</v>
      </c>
      <c r="Y190" s="41">
        <f t="shared" si="335"/>
        <v>0.12905236907730683</v>
      </c>
      <c r="Z190" s="41">
        <f t="shared" si="335"/>
        <v>0.13326506729081322</v>
      </c>
      <c r="AA190" s="41">
        <f t="shared" si="335"/>
        <v>0.13981233243967808</v>
      </c>
      <c r="AB190" s="41">
        <f t="shared" si="335"/>
        <v>0.12610218625437852</v>
      </c>
      <c r="AC190" s="41">
        <f t="shared" ca="1" si="335"/>
        <v>0.14514677227417033</v>
      </c>
      <c r="AD190" s="41">
        <f t="shared" ca="1" si="335"/>
        <v>0.14105596008388208</v>
      </c>
      <c r="AE190" s="41">
        <f t="shared" ca="1" si="335"/>
        <v>0.13824271816054506</v>
      </c>
      <c r="AF190" s="41">
        <f t="shared" ca="1" si="335"/>
        <v>0.13513566770687166</v>
      </c>
      <c r="AG190" s="41">
        <f t="shared" ca="1" si="335"/>
        <v>0.13413644116810627</v>
      </c>
      <c r="AH190" s="41">
        <f t="shared" ca="1" si="335"/>
        <v>0.13293469640961805</v>
      </c>
      <c r="AI190" s="41">
        <f t="shared" ca="1" si="335"/>
        <v>0.13156254930334718</v>
      </c>
      <c r="AJ190" s="41">
        <f t="shared" ca="1" si="335"/>
        <v>0.13057678803938499</v>
      </c>
      <c r="AK190" s="41">
        <f t="shared" ca="1" si="335"/>
        <v>0.12995971359921923</v>
      </c>
      <c r="AL190" s="41">
        <f t="shared" ca="1" si="335"/>
        <v>0.12948528406713519</v>
      </c>
      <c r="AM190" s="41">
        <f t="shared" ca="1" si="335"/>
        <v>0.1294505798890889</v>
      </c>
      <c r="AN190" s="7"/>
    </row>
    <row r="191" spans="4:44"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7"/>
    </row>
    <row r="192" spans="4:44">
      <c r="D192" t="s">
        <v>524</v>
      </c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41">
        <f>+R176/R150</f>
        <v>9.9080356509610168E-2</v>
      </c>
      <c r="S192" s="41">
        <f t="shared" ref="S192:AB192" si="336">+S176/S150</f>
        <v>9.6237989018531228E-2</v>
      </c>
      <c r="T192" s="41">
        <f t="shared" si="336"/>
        <v>9.1969176492433385E-2</v>
      </c>
      <c r="U192" s="41">
        <f t="shared" si="336"/>
        <v>8.2660834150388413E-2</v>
      </c>
      <c r="V192" s="41">
        <f t="shared" si="336"/>
        <v>7.696026667005941E-2</v>
      </c>
      <c r="W192" s="41">
        <f t="shared" si="336"/>
        <v>7.5102552540993517E-2</v>
      </c>
      <c r="X192" s="41">
        <f t="shared" si="336"/>
        <v>7.5012551312719652E-2</v>
      </c>
      <c r="Y192" s="41">
        <f t="shared" si="336"/>
        <v>7.6408463267563426E-2</v>
      </c>
      <c r="Z192" s="41">
        <f t="shared" si="336"/>
        <v>8.0072756004016393E-2</v>
      </c>
      <c r="AA192" s="41">
        <f t="shared" si="336"/>
        <v>8.4249643268651128E-2</v>
      </c>
      <c r="AB192" s="41">
        <f t="shared" si="336"/>
        <v>8.4823185994518435E-2</v>
      </c>
      <c r="AC192" s="70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7"/>
    </row>
    <row r="193" spans="1:46">
      <c r="D193" t="s">
        <v>525</v>
      </c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41">
        <f>+R177/R150</f>
        <v>-3.1631953474077407E-2</v>
      </c>
      <c r="S193" s="41">
        <f t="shared" ref="S193:AB193" si="337">+S177/S150</f>
        <v>-2.2756520247083047E-2</v>
      </c>
      <c r="T193" s="41">
        <f t="shared" si="337"/>
        <v>-1.7658527527620461E-2</v>
      </c>
      <c r="U193" s="41">
        <f t="shared" si="337"/>
        <v>-1.3575684440757222E-2</v>
      </c>
      <c r="V193" s="41">
        <f t="shared" si="337"/>
        <v>-1.229023270016158E-2</v>
      </c>
      <c r="W193" s="41">
        <f t="shared" si="337"/>
        <v>-1.4043924380560659E-2</v>
      </c>
      <c r="X193" s="41">
        <f t="shared" si="337"/>
        <v>-1.6872901961942452E-2</v>
      </c>
      <c r="Y193" s="41">
        <f t="shared" si="337"/>
        <v>-1.9177935562136511E-2</v>
      </c>
      <c r="Z193" s="41">
        <f t="shared" si="337"/>
        <v>-2.38103076492568E-2</v>
      </c>
      <c r="AA193" s="41">
        <f t="shared" si="337"/>
        <v>-2.7325239792141992E-2</v>
      </c>
      <c r="AB193" s="41">
        <f t="shared" si="337"/>
        <v>-2.3330089948229635E-2</v>
      </c>
      <c r="AC193" s="70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7"/>
    </row>
    <row r="194" spans="1:46">
      <c r="D194" s="286" t="s">
        <v>250</v>
      </c>
      <c r="E194" s="286"/>
      <c r="F194" s="286"/>
      <c r="G194" s="289"/>
      <c r="H194" s="289"/>
      <c r="I194" s="289"/>
      <c r="J194" s="289"/>
      <c r="K194" s="289"/>
      <c r="L194" s="301"/>
      <c r="M194" s="301"/>
      <c r="N194" s="301"/>
      <c r="O194" s="301"/>
      <c r="P194" s="301"/>
      <c r="Q194" s="301"/>
      <c r="R194" s="301">
        <f>+R178/R150</f>
        <v>6.7448403035532761E-2</v>
      </c>
      <c r="S194" s="301">
        <f t="shared" ref="S194:Z194" si="338">+S178/S150</f>
        <v>7.3481468771448191E-2</v>
      </c>
      <c r="T194" s="301">
        <f t="shared" si="338"/>
        <v>7.4310648964812931E-2</v>
      </c>
      <c r="U194" s="301">
        <f t="shared" si="338"/>
        <v>6.9085149709631199E-2</v>
      </c>
      <c r="V194" s="301">
        <f t="shared" si="338"/>
        <v>6.467003396989783E-2</v>
      </c>
      <c r="W194" s="301">
        <f t="shared" si="338"/>
        <v>6.1058628160432858E-2</v>
      </c>
      <c r="X194" s="301">
        <f t="shared" si="338"/>
        <v>5.8139649350777201E-2</v>
      </c>
      <c r="Y194" s="301">
        <f t="shared" si="338"/>
        <v>5.7230527705426915E-2</v>
      </c>
      <c r="Z194" s="301">
        <f t="shared" si="338"/>
        <v>5.6262448354759582E-2</v>
      </c>
      <c r="AA194" s="301">
        <f>+AA178/AA150</f>
        <v>5.6924403476509136E-2</v>
      </c>
      <c r="AB194" s="301">
        <f>+AB178/AB150</f>
        <v>6.1493096046288803E-2</v>
      </c>
      <c r="AC194" s="302">
        <v>5.8000000000000003E-2</v>
      </c>
      <c r="AD194" s="302">
        <f>+AC194*1.0025</f>
        <v>5.8145000000000002E-2</v>
      </c>
      <c r="AE194" s="302">
        <f t="shared" ref="AE194:AM194" si="339">+AD194*1.0025</f>
        <v>5.8290362499999998E-2</v>
      </c>
      <c r="AF194" s="302">
        <f t="shared" si="339"/>
        <v>5.8436088406249996E-2</v>
      </c>
      <c r="AG194" s="302">
        <f t="shared" si="339"/>
        <v>5.858217862726562E-2</v>
      </c>
      <c r="AH194" s="302">
        <f t="shared" si="339"/>
        <v>5.8728634073833781E-2</v>
      </c>
      <c r="AI194" s="302">
        <f t="shared" si="339"/>
        <v>5.8875455659018361E-2</v>
      </c>
      <c r="AJ194" s="302">
        <f t="shared" si="339"/>
        <v>5.9022644298165901E-2</v>
      </c>
      <c r="AK194" s="302">
        <f t="shared" si="339"/>
        <v>5.9170200908911313E-2</v>
      </c>
      <c r="AL194" s="302">
        <f t="shared" si="339"/>
        <v>5.9318126411183586E-2</v>
      </c>
      <c r="AM194" s="302">
        <f t="shared" si="339"/>
        <v>5.9466421727211539E-2</v>
      </c>
      <c r="AN194" s="7"/>
    </row>
    <row r="195" spans="1:46">
      <c r="G195" s="7"/>
      <c r="H195" s="7"/>
      <c r="I195" s="7"/>
      <c r="J195" s="7"/>
      <c r="K195" s="7"/>
      <c r="L195" s="7"/>
      <c r="M195" s="7"/>
      <c r="N195" s="7"/>
      <c r="O195" s="7"/>
      <c r="P195" s="103"/>
      <c r="Q195" s="7"/>
      <c r="R195" s="7"/>
      <c r="S195" s="7"/>
      <c r="T195" s="66"/>
      <c r="U195" s="66"/>
      <c r="V195" s="66"/>
      <c r="W195" s="75"/>
      <c r="X195" s="75"/>
      <c r="Y195" s="75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7"/>
    </row>
    <row r="196" spans="1:46">
      <c r="D196" t="s">
        <v>271</v>
      </c>
      <c r="G196" s="7"/>
      <c r="H196" s="7"/>
      <c r="I196" s="7"/>
      <c r="J196" s="7"/>
      <c r="K196" s="7"/>
      <c r="L196" s="76">
        <f t="shared" ref="L196:AA196" si="340">+L293</f>
        <v>0</v>
      </c>
      <c r="M196" s="76">
        <f t="shared" si="340"/>
        <v>0</v>
      </c>
      <c r="N196" s="76">
        <f t="shared" si="340"/>
        <v>0</v>
      </c>
      <c r="O196" s="76">
        <f t="shared" si="340"/>
        <v>0</v>
      </c>
      <c r="P196" s="76">
        <f t="shared" si="340"/>
        <v>0</v>
      </c>
      <c r="Q196" s="76">
        <f t="shared" si="340"/>
        <v>0</v>
      </c>
      <c r="R196" s="76">
        <f t="shared" si="340"/>
        <v>132.51900000000001</v>
      </c>
      <c r="S196" s="76">
        <f t="shared" si="340"/>
        <v>174.33699999999999</v>
      </c>
      <c r="T196" s="76">
        <f t="shared" si="340"/>
        <v>182.91499999999999</v>
      </c>
      <c r="U196" s="76">
        <f t="shared" si="340"/>
        <v>223.93799999999999</v>
      </c>
      <c r="V196" s="76">
        <f t="shared" si="340"/>
        <v>258.16300000000001</v>
      </c>
      <c r="W196" s="76">
        <f t="shared" si="340"/>
        <v>300.75</v>
      </c>
      <c r="X196" s="76">
        <f t="shared" si="340"/>
        <v>333.71300000000002</v>
      </c>
      <c r="Y196" s="76">
        <f t="shared" si="340"/>
        <v>355.43299999999999</v>
      </c>
      <c r="Z196" s="76">
        <f t="shared" si="340"/>
        <v>385.04399999999998</v>
      </c>
      <c r="AA196" s="76">
        <f t="shared" si="340"/>
        <v>424.16500000000002</v>
      </c>
      <c r="AB196" s="76">
        <f>+AB293</f>
        <v>442.65199999999999</v>
      </c>
      <c r="AC196" s="70">
        <f ca="1">(AC$198/AB$198)*AB196</f>
        <v>481.9331024270291</v>
      </c>
      <c r="AD196" s="70">
        <f t="shared" ref="AD196:AM196" ca="1" si="341">(AD$198/AC$198)*AC196</f>
        <v>517.67956362405948</v>
      </c>
      <c r="AE196" s="70">
        <f t="shared" ca="1" si="341"/>
        <v>557.05545745143979</v>
      </c>
      <c r="AF196" s="70">
        <f t="shared" ca="1" si="341"/>
        <v>600.1548988433957</v>
      </c>
      <c r="AG196" s="70">
        <f t="shared" ca="1" si="341"/>
        <v>647.00562121343285</v>
      </c>
      <c r="AH196" s="70">
        <f t="shared" ca="1" si="341"/>
        <v>697.73960533474519</v>
      </c>
      <c r="AI196" s="70">
        <f t="shared" ca="1" si="341"/>
        <v>752.48685428598469</v>
      </c>
      <c r="AJ196" s="70">
        <f t="shared" ca="1" si="341"/>
        <v>811.40681051822207</v>
      </c>
      <c r="AK196" s="70">
        <f t="shared" ca="1" si="341"/>
        <v>874.6354805103025</v>
      </c>
      <c r="AL196" s="70">
        <f t="shared" ca="1" si="341"/>
        <v>942.33441057121934</v>
      </c>
      <c r="AM196" s="70">
        <f t="shared" ca="1" si="341"/>
        <v>1015.8039515810788</v>
      </c>
      <c r="AN196" s="7"/>
    </row>
    <row r="197" spans="1:46">
      <c r="D197" t="s">
        <v>273</v>
      </c>
      <c r="G197" s="7"/>
      <c r="H197" s="7"/>
      <c r="I197" s="7"/>
      <c r="J197" s="7"/>
      <c r="K197" s="7"/>
      <c r="L197" s="76">
        <f t="shared" ref="L197:AA197" si="342">+L301</f>
        <v>0</v>
      </c>
      <c r="M197" s="76">
        <f t="shared" si="342"/>
        <v>0</v>
      </c>
      <c r="N197" s="76">
        <f t="shared" si="342"/>
        <v>0</v>
      </c>
      <c r="O197" s="76">
        <f t="shared" si="342"/>
        <v>0</v>
      </c>
      <c r="P197" s="76">
        <f t="shared" si="342"/>
        <v>0</v>
      </c>
      <c r="Q197" s="76">
        <f t="shared" si="342"/>
        <v>0</v>
      </c>
      <c r="R197" s="76">
        <f t="shared" si="342"/>
        <v>3881.1419999999998</v>
      </c>
      <c r="S197" s="76">
        <f t="shared" si="342"/>
        <v>4509.7520000000004</v>
      </c>
      <c r="T197" s="76">
        <f t="shared" si="342"/>
        <v>5672.1750000000002</v>
      </c>
      <c r="U197" s="76">
        <f t="shared" si="342"/>
        <v>7024.5060000000003</v>
      </c>
      <c r="V197" s="76">
        <f t="shared" si="342"/>
        <v>8212.4660000000003</v>
      </c>
      <c r="W197" s="76">
        <f t="shared" si="342"/>
        <v>9206.4249999999993</v>
      </c>
      <c r="X197" s="76">
        <f t="shared" si="342"/>
        <v>10387.231</v>
      </c>
      <c r="Y197" s="76">
        <f t="shared" si="342"/>
        <v>11266.964</v>
      </c>
      <c r="Z197" s="76">
        <f t="shared" si="342"/>
        <v>12127.29</v>
      </c>
      <c r="AA197" s="76">
        <f t="shared" si="342"/>
        <v>13165.384</v>
      </c>
      <c r="AB197" s="76">
        <f>+AB301</f>
        <v>13297.504000000001</v>
      </c>
      <c r="AC197" s="70">
        <f ca="1">(AC$198/AB$198)*AB197</f>
        <v>14477.529430016875</v>
      </c>
      <c r="AD197" s="70">
        <f t="shared" ref="AD197:AM197" ca="1" si="343">(AD$198/AC$198)*AC197</f>
        <v>15551.372337658444</v>
      </c>
      <c r="AE197" s="70">
        <f t="shared" ca="1" si="343"/>
        <v>16734.24535229108</v>
      </c>
      <c r="AF197" s="70">
        <f t="shared" ca="1" si="343"/>
        <v>18028.975737124536</v>
      </c>
      <c r="AG197" s="70">
        <f t="shared" ca="1" si="343"/>
        <v>19436.396618806892</v>
      </c>
      <c r="AH197" s="70">
        <f t="shared" ca="1" si="343"/>
        <v>20960.472770702938</v>
      </c>
      <c r="AI197" s="70">
        <f t="shared" ca="1" si="343"/>
        <v>22605.109555170427</v>
      </c>
      <c r="AJ197" s="70">
        <f t="shared" ca="1" si="343"/>
        <v>24375.096709137881</v>
      </c>
      <c r="AK197" s="70">
        <f t="shared" ca="1" si="343"/>
        <v>26274.519940331615</v>
      </c>
      <c r="AL197" s="70">
        <f t="shared" ca="1" si="343"/>
        <v>28308.232186702942</v>
      </c>
      <c r="AM197" s="70">
        <f t="shared" ca="1" si="343"/>
        <v>30515.296687612841</v>
      </c>
      <c r="AN197" s="7"/>
    </row>
    <row r="198" spans="1:46" s="3" customFormat="1">
      <c r="A198" s="125"/>
      <c r="B198" s="163"/>
      <c r="D198" s="2" t="s">
        <v>404</v>
      </c>
      <c r="E198" s="2"/>
      <c r="F198" s="2"/>
      <c r="G198" s="8"/>
      <c r="H198" s="8"/>
      <c r="I198" s="8"/>
      <c r="J198" s="8"/>
      <c r="K198" s="8"/>
      <c r="L198" s="8">
        <f t="shared" ref="L198:Q198" si="344">SUM(L196:L197)</f>
        <v>0</v>
      </c>
      <c r="M198" s="8">
        <f t="shared" si="344"/>
        <v>0</v>
      </c>
      <c r="N198" s="8">
        <f t="shared" si="344"/>
        <v>0</v>
      </c>
      <c r="O198" s="8">
        <f t="shared" si="344"/>
        <v>0</v>
      </c>
      <c r="P198" s="8">
        <f t="shared" si="344"/>
        <v>0</v>
      </c>
      <c r="Q198" s="8">
        <f t="shared" si="344"/>
        <v>0</v>
      </c>
      <c r="R198" s="8">
        <f t="shared" ref="R198:AA198" si="345">SUM(R196:R197)</f>
        <v>4013.6610000000001</v>
      </c>
      <c r="S198" s="8">
        <f t="shared" si="345"/>
        <v>4684.0889999999999</v>
      </c>
      <c r="T198" s="8">
        <f t="shared" si="345"/>
        <v>5855.09</v>
      </c>
      <c r="U198" s="8">
        <f t="shared" si="345"/>
        <v>7248.4440000000004</v>
      </c>
      <c r="V198" s="8">
        <f t="shared" si="345"/>
        <v>8470.6290000000008</v>
      </c>
      <c r="W198" s="8">
        <f t="shared" si="345"/>
        <v>9507.1749999999993</v>
      </c>
      <c r="X198" s="8">
        <f t="shared" si="345"/>
        <v>10720.944</v>
      </c>
      <c r="Y198" s="8">
        <f t="shared" si="345"/>
        <v>11622.397000000001</v>
      </c>
      <c r="Z198" s="8">
        <f t="shared" si="345"/>
        <v>12512.334000000001</v>
      </c>
      <c r="AA198" s="8">
        <f t="shared" si="345"/>
        <v>13589.549000000001</v>
      </c>
      <c r="AB198" s="8">
        <f>SUM(AB196:AB197)</f>
        <v>13740.156000000001</v>
      </c>
      <c r="AC198" s="106">
        <f ca="1">+AC199*AC149</f>
        <v>14959.462532443902</v>
      </c>
      <c r="AD198" s="106">
        <f t="shared" ref="AD198:AM198" ca="1" si="346">+AD199*AD149</f>
        <v>16069.051901282503</v>
      </c>
      <c r="AE198" s="106">
        <f t="shared" ca="1" si="346"/>
        <v>17291.300809742519</v>
      </c>
      <c r="AF198" s="106">
        <f t="shared" ca="1" si="346"/>
        <v>18629.130636032831</v>
      </c>
      <c r="AG198" s="106">
        <f t="shared" ca="1" si="346"/>
        <v>20083.402240194831</v>
      </c>
      <c r="AH198" s="106">
        <f t="shared" ca="1" si="346"/>
        <v>21658.212376340129</v>
      </c>
      <c r="AI198" s="106">
        <f t="shared" ca="1" si="346"/>
        <v>23357.596409878217</v>
      </c>
      <c r="AJ198" s="106">
        <f t="shared" ca="1" si="346"/>
        <v>25186.503520166549</v>
      </c>
      <c r="AK198" s="106">
        <f t="shared" ca="1" si="346"/>
        <v>27149.155421396437</v>
      </c>
      <c r="AL198" s="106">
        <f t="shared" ca="1" si="346"/>
        <v>29250.566597824429</v>
      </c>
      <c r="AM198" s="106">
        <f t="shared" ca="1" si="346"/>
        <v>31531.100639739954</v>
      </c>
      <c r="AN198" s="65"/>
      <c r="AO198" s="77"/>
      <c r="AP198" s="77"/>
    </row>
    <row r="199" spans="1:46">
      <c r="G199" s="7"/>
      <c r="H199" s="7"/>
      <c r="I199" s="7"/>
      <c r="J199" s="7"/>
      <c r="K199" s="7"/>
      <c r="L199" s="83" t="str">
        <f>IFERROR(L198/L149,"na")</f>
        <v>na</v>
      </c>
      <c r="M199" s="83" t="str">
        <f t="shared" ref="M199:AB199" si="347">IFERROR(M198/M149,"na")</f>
        <v>na</v>
      </c>
      <c r="N199" s="83" t="str">
        <f t="shared" si="347"/>
        <v>na</v>
      </c>
      <c r="O199" s="83">
        <f t="shared" si="347"/>
        <v>0</v>
      </c>
      <c r="P199" s="83">
        <f t="shared" si="347"/>
        <v>0</v>
      </c>
      <c r="Q199" s="83">
        <f t="shared" si="347"/>
        <v>0</v>
      </c>
      <c r="R199" s="83">
        <f t="shared" si="347"/>
        <v>0.92595879665943792</v>
      </c>
      <c r="S199" s="83">
        <f t="shared" si="347"/>
        <v>0.94024027459954229</v>
      </c>
      <c r="T199" s="83">
        <f t="shared" si="347"/>
        <v>0.98681846527227679</v>
      </c>
      <c r="U199" s="83">
        <f t="shared" si="347"/>
        <v>1.0089143143477535</v>
      </c>
      <c r="V199" s="83">
        <f t="shared" si="347"/>
        <v>1.0014102639885563</v>
      </c>
      <c r="W199" s="83">
        <f t="shared" si="347"/>
        <v>0.99099139009339543</v>
      </c>
      <c r="X199" s="83">
        <f t="shared" si="347"/>
        <v>1.0037115332403359</v>
      </c>
      <c r="Y199" s="83">
        <f t="shared" si="347"/>
        <v>1.00030097513534</v>
      </c>
      <c r="Z199" s="83">
        <f t="shared" si="347"/>
        <v>1.0001705808060624</v>
      </c>
      <c r="AA199" s="83">
        <f t="shared" si="347"/>
        <v>0.99792543582663873</v>
      </c>
      <c r="AB199" s="83">
        <f t="shared" si="347"/>
        <v>0.99226962851695655</v>
      </c>
      <c r="AC199" s="84">
        <v>1</v>
      </c>
      <c r="AD199" s="84">
        <v>1</v>
      </c>
      <c r="AE199" s="84">
        <v>1</v>
      </c>
      <c r="AF199" s="84">
        <v>1</v>
      </c>
      <c r="AG199" s="84">
        <v>1</v>
      </c>
      <c r="AH199" s="84">
        <v>1</v>
      </c>
      <c r="AI199" s="84">
        <v>1</v>
      </c>
      <c r="AJ199" s="84">
        <v>1</v>
      </c>
      <c r="AK199" s="84">
        <v>1</v>
      </c>
      <c r="AL199" s="84">
        <v>1</v>
      </c>
      <c r="AM199" s="84">
        <v>1</v>
      </c>
      <c r="AN199" s="7"/>
    </row>
    <row r="200" spans="1:46">
      <c r="G200" s="7"/>
      <c r="H200" s="7"/>
      <c r="I200" s="7"/>
      <c r="J200" s="7"/>
      <c r="K200" s="7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7"/>
    </row>
    <row r="201" spans="1:46">
      <c r="G201" s="7"/>
      <c r="H201" s="7"/>
      <c r="I201" s="7"/>
      <c r="J201" s="7"/>
      <c r="K201" s="7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7"/>
    </row>
    <row r="202" spans="1:46">
      <c r="B202" s="161" t="s">
        <v>192</v>
      </c>
      <c r="C202" s="53" t="s">
        <v>192</v>
      </c>
      <c r="D202" s="54"/>
      <c r="E202" s="54"/>
      <c r="F202" s="54"/>
      <c r="G202" s="54"/>
      <c r="H202" s="54"/>
      <c r="I202" s="54"/>
      <c r="J202" s="54"/>
      <c r="K202" s="54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</row>
    <row r="203" spans="1:46">
      <c r="C203" s="119"/>
      <c r="D203" s="120" t="s">
        <v>104</v>
      </c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  <c r="AA203" s="119"/>
      <c r="AB203" s="119"/>
      <c r="AC203" s="119"/>
      <c r="AD203" s="119"/>
      <c r="AE203" s="119"/>
      <c r="AF203" s="119"/>
      <c r="AG203" s="119"/>
      <c r="AH203" s="119"/>
      <c r="AI203" s="119"/>
      <c r="AJ203" s="119"/>
      <c r="AK203" s="119"/>
      <c r="AL203" s="119"/>
      <c r="AM203" s="119"/>
    </row>
    <row r="204" spans="1:46">
      <c r="B204" s="162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7"/>
      <c r="AO204" s="1"/>
    </row>
    <row r="205" spans="1:46">
      <c r="A205" s="125" t="s">
        <v>193</v>
      </c>
      <c r="D205" s="68" t="s">
        <v>217</v>
      </c>
      <c r="I205" s="80"/>
      <c r="J205" s="80"/>
      <c r="K205" s="189"/>
      <c r="L205" s="80">
        <f t="shared" ref="L205:AM205" si="348">+L7</f>
        <v>5260.2999999999993</v>
      </c>
      <c r="M205" s="80">
        <f t="shared" si="348"/>
        <v>6260</v>
      </c>
      <c r="N205" s="80">
        <f t="shared" si="348"/>
        <v>7465.5999999999995</v>
      </c>
      <c r="O205" s="80">
        <f t="shared" si="348"/>
        <v>8199.4</v>
      </c>
      <c r="P205" s="80">
        <f t="shared" si="348"/>
        <v>6974.1</v>
      </c>
      <c r="Q205" s="80">
        <f t="shared" si="348"/>
        <v>7470.2</v>
      </c>
      <c r="R205" s="80">
        <f t="shared" si="348"/>
        <v>8975.5</v>
      </c>
      <c r="S205" s="80">
        <f t="shared" si="348"/>
        <v>10003.500000000002</v>
      </c>
      <c r="T205" s="80">
        <f t="shared" si="348"/>
        <v>10962.9</v>
      </c>
      <c r="U205" s="80">
        <f t="shared" si="348"/>
        <v>12574.3</v>
      </c>
      <c r="V205" s="80">
        <f t="shared" si="348"/>
        <v>14268.7</v>
      </c>
      <c r="W205" s="80">
        <f t="shared" si="348"/>
        <v>15149.7</v>
      </c>
      <c r="X205" s="80">
        <f t="shared" si="348"/>
        <v>15875.2</v>
      </c>
      <c r="Y205" s="80">
        <f t="shared" si="348"/>
        <v>17120.3</v>
      </c>
      <c r="Z205" s="80">
        <f t="shared" si="348"/>
        <v>18173.099999999999</v>
      </c>
      <c r="AA205" s="80">
        <f t="shared" si="348"/>
        <v>20320.000000000004</v>
      </c>
      <c r="AB205" s="80">
        <f t="shared" si="348"/>
        <v>18949.599999999999</v>
      </c>
      <c r="AC205" s="80">
        <f t="shared" ca="1" si="348"/>
        <v>23576.853044347881</v>
      </c>
      <c r="AD205" s="80">
        <f t="shared" ca="1" si="348"/>
        <v>25364.700219572529</v>
      </c>
      <c r="AE205" s="80">
        <f t="shared" ca="1" si="348"/>
        <v>27470.385186803585</v>
      </c>
      <c r="AF205" s="80">
        <f t="shared" ca="1" si="348"/>
        <v>29789.279900286627</v>
      </c>
      <c r="AG205" s="80">
        <f t="shared" ca="1" si="348"/>
        <v>32253.039491977197</v>
      </c>
      <c r="AH205" s="80">
        <f t="shared" ca="1" si="348"/>
        <v>34884.583899089164</v>
      </c>
      <c r="AI205" s="80">
        <f t="shared" ca="1" si="348"/>
        <v>37688.385414200267</v>
      </c>
      <c r="AJ205" s="80">
        <f t="shared" ca="1" si="348"/>
        <v>40675.645737376915</v>
      </c>
      <c r="AK205" s="80">
        <f t="shared" ca="1" si="348"/>
        <v>43847.710089524044</v>
      </c>
      <c r="AL205" s="80">
        <f t="shared" ca="1" si="348"/>
        <v>47215.515978298856</v>
      </c>
      <c r="AM205" s="80">
        <f t="shared" ca="1" si="348"/>
        <v>51024.243461876133</v>
      </c>
      <c r="AN205" s="7"/>
      <c r="AO205" s="314">
        <f t="shared" ref="AO205" ca="1" si="349">(AL205/AB205)^(1/10)-1</f>
        <v>9.5591033616915011E-2</v>
      </c>
      <c r="AP205" s="314">
        <f t="shared" ref="AP205" si="350">(AB205/L205)^(1/16)-1</f>
        <v>8.3395047242525555E-2</v>
      </c>
      <c r="AQ205" s="314">
        <f t="shared" ref="AQ205" si="351">(AA205/Q205)^(1/10)-1</f>
        <v>0.10524649779104256</v>
      </c>
      <c r="AR205" s="314">
        <f t="shared" ref="AR205" ca="1" si="352">(AL205/AA205)^(1/11)-1</f>
        <v>7.9660883347912881E-2</v>
      </c>
      <c r="AS205" s="314"/>
      <c r="AT205" s="314"/>
    </row>
    <row r="206" spans="1:46">
      <c r="D206" s="71" t="s">
        <v>194</v>
      </c>
      <c r="I206" s="80"/>
      <c r="J206" s="80"/>
      <c r="K206" s="189"/>
      <c r="L206" s="80">
        <f t="shared" ref="L206:AM206" si="353">+L8</f>
        <v>-4610.1039999999994</v>
      </c>
      <c r="M206" s="80">
        <f t="shared" si="353"/>
        <v>-5469.2860000000001</v>
      </c>
      <c r="N206" s="80">
        <f t="shared" si="353"/>
        <v>-6494.5379999999996</v>
      </c>
      <c r="O206" s="80">
        <f t="shared" si="353"/>
        <v>-7126.9</v>
      </c>
      <c r="P206" s="80">
        <f t="shared" si="353"/>
        <v>-6006</v>
      </c>
      <c r="Q206" s="80">
        <f t="shared" si="353"/>
        <v>-6371.2999999999993</v>
      </c>
      <c r="R206" s="80">
        <f t="shared" si="353"/>
        <v>-7674.3</v>
      </c>
      <c r="S206" s="80">
        <f t="shared" si="353"/>
        <v>-8624.7000000000007</v>
      </c>
      <c r="T206" s="80">
        <f t="shared" si="353"/>
        <v>-9498.5</v>
      </c>
      <c r="U206" s="80">
        <f t="shared" si="353"/>
        <v>-10925.599999999999</v>
      </c>
      <c r="V206" s="80">
        <f t="shared" si="353"/>
        <v>-12381.2</v>
      </c>
      <c r="W206" s="80">
        <f t="shared" si="353"/>
        <v>-13130.900000000001</v>
      </c>
      <c r="X206" s="80">
        <f t="shared" si="353"/>
        <v>-13691.900000000001</v>
      </c>
      <c r="Y206" s="80">
        <f t="shared" si="353"/>
        <v>-14791.4</v>
      </c>
      <c r="Z206" s="80">
        <f t="shared" si="353"/>
        <v>-15692.499999999998</v>
      </c>
      <c r="AA206" s="80">
        <f t="shared" si="353"/>
        <v>-17597.700000000004</v>
      </c>
      <c r="AB206" s="80">
        <f t="shared" si="353"/>
        <v>-16570.5</v>
      </c>
      <c r="AC206" s="80">
        <f t="shared" ca="1" si="353"/>
        <v>-20474.769344034714</v>
      </c>
      <c r="AD206" s="80">
        <f t="shared" ca="1" si="353"/>
        <v>-22013.666010385274</v>
      </c>
      <c r="AE206" s="80">
        <f t="shared" ca="1" si="353"/>
        <v>-23860.71191934701</v>
      </c>
      <c r="AF206" s="80">
        <f t="shared" ca="1" si="353"/>
        <v>-25892.996126376529</v>
      </c>
      <c r="AG206" s="80">
        <f t="shared" ca="1" si="353"/>
        <v>-28053.820185155768</v>
      </c>
      <c r="AH206" s="80">
        <f t="shared" ca="1" si="353"/>
        <v>-30363.294430569476</v>
      </c>
      <c r="AI206" s="80">
        <f t="shared" ca="1" si="353"/>
        <v>-32827.391942172748</v>
      </c>
      <c r="AJ206" s="80">
        <f t="shared" ca="1" si="353"/>
        <v>-35454.182231149432</v>
      </c>
      <c r="AK206" s="80">
        <f t="shared" ca="1" si="353"/>
        <v>-38245.0018137636</v>
      </c>
      <c r="AL206" s="80">
        <f t="shared" ca="1" si="353"/>
        <v>-41209.543432093255</v>
      </c>
      <c r="AM206" s="80">
        <f t="shared" ca="1" si="353"/>
        <v>-44562.159608283931</v>
      </c>
      <c r="AN206" s="7"/>
      <c r="AO206" s="77"/>
      <c r="AP206" s="77"/>
    </row>
    <row r="207" spans="1:46" s="3" customFormat="1">
      <c r="A207" s="125" t="s">
        <v>171</v>
      </c>
      <c r="B207" s="163"/>
      <c r="D207" s="2" t="s">
        <v>171</v>
      </c>
      <c r="E207" s="2"/>
      <c r="F207" s="2"/>
      <c r="G207" s="8"/>
      <c r="H207" s="8"/>
      <c r="I207" s="8"/>
      <c r="J207" s="8"/>
      <c r="K207" s="8"/>
      <c r="L207" s="8">
        <f t="shared" ref="L207:X207" si="354">SUM(L205:L206)</f>
        <v>650.19599999999991</v>
      </c>
      <c r="M207" s="8">
        <f t="shared" si="354"/>
        <v>790.71399999999994</v>
      </c>
      <c r="N207" s="8">
        <f t="shared" si="354"/>
        <v>971.0619999999999</v>
      </c>
      <c r="O207" s="8">
        <f t="shared" si="354"/>
        <v>1072.5</v>
      </c>
      <c r="P207" s="8">
        <f t="shared" si="354"/>
        <v>968.10000000000036</v>
      </c>
      <c r="Q207" s="8">
        <f t="shared" si="354"/>
        <v>1098.9000000000005</v>
      </c>
      <c r="R207" s="8">
        <f t="shared" si="354"/>
        <v>1301.1999999999998</v>
      </c>
      <c r="S207" s="8">
        <f t="shared" si="354"/>
        <v>1378.8000000000011</v>
      </c>
      <c r="T207" s="8">
        <f t="shared" si="354"/>
        <v>1464.3999999999996</v>
      </c>
      <c r="U207" s="8">
        <f t="shared" si="354"/>
        <v>1648.7000000000007</v>
      </c>
      <c r="V207" s="8">
        <f t="shared" si="354"/>
        <v>1887.5</v>
      </c>
      <c r="W207" s="8">
        <f t="shared" si="354"/>
        <v>2018.7999999999993</v>
      </c>
      <c r="X207" s="8">
        <f t="shared" si="354"/>
        <v>2183.2999999999993</v>
      </c>
      <c r="Y207" s="8">
        <f>SUM(Y205:Y206)</f>
        <v>2328.8999999999996</v>
      </c>
      <c r="Z207" s="8">
        <f>SUM(Z205:Z206)</f>
        <v>2480.6000000000004</v>
      </c>
      <c r="AA207" s="8">
        <f>SUM(AA205:AA206)</f>
        <v>2722.2999999999993</v>
      </c>
      <c r="AB207" s="8">
        <f>SUM(AB205:AB206)</f>
        <v>2379.0999999999985</v>
      </c>
      <c r="AC207" s="8">
        <f t="shared" ref="AC207:AL207" ca="1" si="355">SUM(AC205:AC206)</f>
        <v>3102.0837003131674</v>
      </c>
      <c r="AD207" s="8">
        <f t="shared" ca="1" si="355"/>
        <v>3351.0342091872553</v>
      </c>
      <c r="AE207" s="8">
        <f t="shared" ca="1" si="355"/>
        <v>3609.6732674565756</v>
      </c>
      <c r="AF207" s="8">
        <f t="shared" ca="1" si="355"/>
        <v>3896.2837739100978</v>
      </c>
      <c r="AG207" s="8">
        <f t="shared" ca="1" si="355"/>
        <v>4199.2193068214292</v>
      </c>
      <c r="AH207" s="8">
        <f t="shared" ca="1" si="355"/>
        <v>4521.2894685196879</v>
      </c>
      <c r="AI207" s="8">
        <f t="shared" ca="1" si="355"/>
        <v>4860.9934720275196</v>
      </c>
      <c r="AJ207" s="8">
        <f t="shared" ca="1" si="355"/>
        <v>5221.4635062274829</v>
      </c>
      <c r="AK207" s="8">
        <f t="shared" ca="1" si="355"/>
        <v>5602.7082757604439</v>
      </c>
      <c r="AL207" s="8">
        <f t="shared" ca="1" si="355"/>
        <v>6005.9725462056012</v>
      </c>
      <c r="AM207" s="8">
        <f ca="1">SUM(AM205:AM206)</f>
        <v>6462.0838535922012</v>
      </c>
      <c r="AN207" s="65"/>
      <c r="AO207" s="314">
        <f t="shared" ref="AO207" ca="1" si="356">(AL207/AB207)^(1/10)-1</f>
        <v>9.7026363492391132E-2</v>
      </c>
      <c r="AP207" s="314">
        <f t="shared" ref="AP207" si="357">(AB207/L207)^(1/16)-1</f>
        <v>8.4452477399472592E-2</v>
      </c>
      <c r="AQ207" s="314">
        <f t="shared" ref="AQ207" si="358">(AA207/Q207)^(1/10)-1</f>
        <v>9.4958806774055882E-2</v>
      </c>
      <c r="AR207" s="314">
        <f t="shared" ref="AR207" ca="1" si="359">(AL207/AA207)^(1/11)-1</f>
        <v>7.4584740281923079E-2</v>
      </c>
      <c r="AS207" s="314"/>
      <c r="AT207" s="314"/>
    </row>
    <row r="208" spans="1:46">
      <c r="D208" s="71" t="s">
        <v>246</v>
      </c>
      <c r="I208" s="80"/>
      <c r="J208" s="80"/>
      <c r="K208" s="189"/>
      <c r="L208" s="80">
        <f t="shared" ref="L208:AM208" si="360">+L10</f>
        <v>82.656000000000006</v>
      </c>
      <c r="M208" s="80">
        <f t="shared" si="360"/>
        <v>104.327</v>
      </c>
      <c r="N208" s="80">
        <f t="shared" si="360"/>
        <v>132.625</v>
      </c>
      <c r="O208" s="80">
        <f t="shared" si="360"/>
        <v>85.9</v>
      </c>
      <c r="P208" s="80">
        <f t="shared" si="360"/>
        <v>15.3</v>
      </c>
      <c r="Q208" s="80">
        <f t="shared" si="360"/>
        <v>175.2</v>
      </c>
      <c r="R208" s="80">
        <f t="shared" si="360"/>
        <v>220</v>
      </c>
      <c r="S208" s="80">
        <f t="shared" si="360"/>
        <v>262.2</v>
      </c>
      <c r="T208" s="80">
        <f t="shared" si="360"/>
        <v>299.3</v>
      </c>
      <c r="U208" s="80">
        <f t="shared" si="360"/>
        <v>336.2</v>
      </c>
      <c r="V208" s="80">
        <f t="shared" si="360"/>
        <v>367.3</v>
      </c>
      <c r="W208" s="80">
        <f t="shared" si="360"/>
        <v>392</v>
      </c>
      <c r="X208" s="80">
        <f t="shared" si="360"/>
        <v>369</v>
      </c>
      <c r="Y208" s="80">
        <f t="shared" si="360"/>
        <v>421.2</v>
      </c>
      <c r="Z208" s="80">
        <f t="shared" si="360"/>
        <v>438.7</v>
      </c>
      <c r="AA208" s="80">
        <f t="shared" si="360"/>
        <v>456</v>
      </c>
      <c r="AB208" s="80">
        <f t="shared" si="360"/>
        <v>562.79999999999995</v>
      </c>
      <c r="AC208" s="80">
        <f t="shared" ca="1" si="360"/>
        <v>544.13858493018336</v>
      </c>
      <c r="AD208" s="80">
        <f t="shared" ca="1" si="360"/>
        <v>579.72394188481508</v>
      </c>
      <c r="AE208" s="80">
        <f t="shared" ca="1" si="360"/>
        <v>617.6775993287531</v>
      </c>
      <c r="AF208" s="80">
        <f t="shared" ca="1" si="360"/>
        <v>669.1637153489105</v>
      </c>
      <c r="AG208" s="80">
        <f t="shared" ca="1" si="360"/>
        <v>723.33929981142069</v>
      </c>
      <c r="AH208" s="80">
        <f t="shared" ca="1" si="360"/>
        <v>782.60186039831694</v>
      </c>
      <c r="AI208" s="80">
        <f t="shared" ca="1" si="360"/>
        <v>847.17139523895594</v>
      </c>
      <c r="AJ208" s="80">
        <f t="shared" ca="1" si="360"/>
        <v>916.51886626690202</v>
      </c>
      <c r="AK208" s="80">
        <f t="shared" ca="1" si="360"/>
        <v>990.78191303477479</v>
      </c>
      <c r="AL208" s="80">
        <f t="shared" ca="1" si="360"/>
        <v>1070.4209722667169</v>
      </c>
      <c r="AM208" s="80">
        <f t="shared" ca="1" si="360"/>
        <v>1155.326030822572</v>
      </c>
      <c r="AN208" s="7"/>
    </row>
    <row r="209" spans="1:47">
      <c r="D209" s="71" t="s">
        <v>195</v>
      </c>
      <c r="I209" s="80"/>
      <c r="J209" s="80"/>
      <c r="K209" s="189"/>
      <c r="L209" s="189">
        <v>0</v>
      </c>
      <c r="M209" s="189">
        <v>0</v>
      </c>
      <c r="N209" s="189">
        <v>0</v>
      </c>
      <c r="O209" s="189">
        <v>0</v>
      </c>
      <c r="P209" s="189">
        <v>0</v>
      </c>
      <c r="Q209" s="189">
        <v>0</v>
      </c>
      <c r="R209" s="189">
        <v>0</v>
      </c>
      <c r="S209" s="189">
        <v>0</v>
      </c>
      <c r="T209" s="189">
        <v>0</v>
      </c>
      <c r="U209" s="189">
        <v>0</v>
      </c>
      <c r="V209" s="189">
        <v>0</v>
      </c>
      <c r="W209" s="189">
        <v>0</v>
      </c>
      <c r="X209" s="189">
        <v>0</v>
      </c>
      <c r="Y209" s="189">
        <v>0</v>
      </c>
      <c r="Z209" s="189">
        <v>0</v>
      </c>
      <c r="AA209" s="189">
        <v>0</v>
      </c>
      <c r="AB209" s="189">
        <v>0</v>
      </c>
      <c r="AC209" s="189">
        <v>0</v>
      </c>
      <c r="AD209" s="189">
        <v>0</v>
      </c>
      <c r="AE209" s="189">
        <v>0</v>
      </c>
      <c r="AF209" s="189">
        <v>0</v>
      </c>
      <c r="AG209" s="189">
        <v>0</v>
      </c>
      <c r="AH209" s="189">
        <v>0</v>
      </c>
      <c r="AI209" s="189">
        <v>0</v>
      </c>
      <c r="AJ209" s="189">
        <v>0</v>
      </c>
      <c r="AK209" s="189">
        <v>0</v>
      </c>
      <c r="AL209" s="189">
        <v>0</v>
      </c>
      <c r="AM209" s="189">
        <v>0</v>
      </c>
      <c r="AN209" s="7"/>
    </row>
    <row r="210" spans="1:47">
      <c r="D210" s="71" t="s">
        <v>105</v>
      </c>
      <c r="I210" s="80"/>
      <c r="J210" s="80"/>
      <c r="K210" s="189"/>
      <c r="L210" s="80">
        <f t="shared" ref="L210:AM210" si="361">+L11</f>
        <v>-526.43200000000002</v>
      </c>
      <c r="M210" s="80">
        <f t="shared" si="361"/>
        <v>-647.678</v>
      </c>
      <c r="N210" s="80">
        <f t="shared" si="361"/>
        <v>-741.61699999999996</v>
      </c>
      <c r="O210" s="80">
        <f t="shared" si="361"/>
        <v>-811.75699999999995</v>
      </c>
      <c r="P210" s="80">
        <f t="shared" si="361"/>
        <v>-827.61699999999996</v>
      </c>
      <c r="Q210" s="80">
        <f t="shared" si="361"/>
        <v>-716.97200000000009</v>
      </c>
      <c r="R210" s="80">
        <f t="shared" si="361"/>
        <v>-802.47899999999993</v>
      </c>
      <c r="S210" s="80">
        <f t="shared" si="361"/>
        <v>-857.98800000000006</v>
      </c>
      <c r="T210" s="80">
        <f t="shared" si="361"/>
        <v>-935.71699999999998</v>
      </c>
      <c r="U210" s="80">
        <f t="shared" si="361"/>
        <v>-1053.289</v>
      </c>
      <c r="V210" s="80">
        <f t="shared" si="361"/>
        <v>-1142.527</v>
      </c>
      <c r="W210" s="80">
        <f t="shared" si="361"/>
        <v>-1214.54</v>
      </c>
      <c r="X210" s="80">
        <f t="shared" si="361"/>
        <v>-1319.625</v>
      </c>
      <c r="Y210" s="80">
        <f t="shared" si="361"/>
        <v>-1437.1579999999999</v>
      </c>
      <c r="Z210" s="80">
        <f t="shared" si="361"/>
        <v>-1548.0530000000001</v>
      </c>
      <c r="AA210" s="80">
        <f t="shared" si="361"/>
        <v>-1724.289</v>
      </c>
      <c r="AB210" s="80">
        <f t="shared" si="361"/>
        <v>-1656.644</v>
      </c>
      <c r="AC210" s="80">
        <f t="shared" ca="1" si="361"/>
        <v>-2116.3690905817448</v>
      </c>
      <c r="AD210" s="80">
        <f t="shared" ca="1" si="361"/>
        <v>-2218.3926835647976</v>
      </c>
      <c r="AE210" s="80">
        <f t="shared" ca="1" si="361"/>
        <v>-2363.5553519261989</v>
      </c>
      <c r="AF210" s="80">
        <f t="shared" ca="1" si="361"/>
        <v>-2508.6992252995869</v>
      </c>
      <c r="AG210" s="80">
        <f t="shared" ca="1" si="361"/>
        <v>-2658.9204001214566</v>
      </c>
      <c r="AH210" s="80">
        <f t="shared" ca="1" si="361"/>
        <v>-2833.4644932613187</v>
      </c>
      <c r="AI210" s="80">
        <f t="shared" ca="1" si="361"/>
        <v>-3025.0263811605414</v>
      </c>
      <c r="AJ210" s="80">
        <f t="shared" ca="1" si="361"/>
        <v>-3207.0022311483217</v>
      </c>
      <c r="AK210" s="80">
        <f t="shared" ca="1" si="361"/>
        <v>-3396.331852304626</v>
      </c>
      <c r="AL210" s="80">
        <f t="shared" ca="1" si="361"/>
        <v>-3602.4336789656986</v>
      </c>
      <c r="AM210" s="80">
        <f t="shared" ca="1" si="361"/>
        <v>-3837.2069485457159</v>
      </c>
      <c r="AN210" s="7"/>
    </row>
    <row r="211" spans="1:47">
      <c r="D211" s="71" t="s">
        <v>130</v>
      </c>
      <c r="I211" s="80"/>
      <c r="J211" s="80"/>
      <c r="K211" s="189"/>
      <c r="L211" s="80">
        <f t="shared" ref="L211:AM211" si="362">+L12</f>
        <v>0.42099999999999999</v>
      </c>
      <c r="M211" s="80">
        <f t="shared" si="362"/>
        <v>1.0229999999999999</v>
      </c>
      <c r="N211" s="80">
        <f t="shared" si="362"/>
        <v>1.2030000000000001</v>
      </c>
      <c r="O211" s="80">
        <f t="shared" si="362"/>
        <v>2.1059999999999999</v>
      </c>
      <c r="P211" s="80">
        <f t="shared" si="362"/>
        <v>1.786</v>
      </c>
      <c r="Q211" s="80">
        <f t="shared" si="362"/>
        <v>0.56000000000000005</v>
      </c>
      <c r="R211" s="80">
        <f t="shared" si="362"/>
        <v>0.48</v>
      </c>
      <c r="S211" s="80">
        <f t="shared" si="362"/>
        <v>0.46400000000000002</v>
      </c>
      <c r="T211" s="80">
        <f t="shared" si="362"/>
        <v>1.113</v>
      </c>
      <c r="U211" s="80">
        <f t="shared" si="362"/>
        <v>-1.4970000000000001</v>
      </c>
      <c r="V211" s="80">
        <f t="shared" si="362"/>
        <v>-3.2919999999999998</v>
      </c>
      <c r="W211" s="80">
        <f t="shared" si="362"/>
        <v>-12.558999999999999</v>
      </c>
      <c r="X211" s="80">
        <f t="shared" si="362"/>
        <v>-0.95299999999999996</v>
      </c>
      <c r="Y211" s="80">
        <f t="shared" si="362"/>
        <v>1.363</v>
      </c>
      <c r="Z211" s="80">
        <f t="shared" si="362"/>
        <v>-0.40799999999999997</v>
      </c>
      <c r="AA211" s="80">
        <f t="shared" si="362"/>
        <v>5.69</v>
      </c>
      <c r="AB211" s="80">
        <f t="shared" si="362"/>
        <v>8.2750000000000004</v>
      </c>
      <c r="AC211" s="80">
        <f t="shared" si="362"/>
        <v>13.125</v>
      </c>
      <c r="AD211" s="80">
        <f t="shared" si="362"/>
        <v>17.5</v>
      </c>
      <c r="AE211" s="80">
        <f t="shared" si="362"/>
        <v>19.25</v>
      </c>
      <c r="AF211" s="80">
        <f t="shared" si="362"/>
        <v>21.175000000000001</v>
      </c>
      <c r="AG211" s="80">
        <f t="shared" si="362"/>
        <v>23.292500000000004</v>
      </c>
      <c r="AH211" s="80">
        <f t="shared" si="362"/>
        <v>25.621750000000006</v>
      </c>
      <c r="AI211" s="80">
        <f t="shared" si="362"/>
        <v>28.183925000000009</v>
      </c>
      <c r="AJ211" s="80">
        <f t="shared" si="362"/>
        <v>31.002317500000014</v>
      </c>
      <c r="AK211" s="80">
        <f t="shared" si="362"/>
        <v>34.102549250000017</v>
      </c>
      <c r="AL211" s="80">
        <f t="shared" si="362"/>
        <v>37.512804175000021</v>
      </c>
      <c r="AM211" s="80">
        <f t="shared" si="362"/>
        <v>41.264084592500026</v>
      </c>
      <c r="AN211" s="7"/>
    </row>
    <row r="212" spans="1:47" s="3" customFormat="1">
      <c r="A212" s="125" t="s">
        <v>102</v>
      </c>
      <c r="B212" s="163"/>
      <c r="D212" s="2" t="s">
        <v>102</v>
      </c>
      <c r="E212" s="2"/>
      <c r="F212" s="2"/>
      <c r="G212" s="8"/>
      <c r="H212" s="8"/>
      <c r="I212" s="8"/>
      <c r="J212" s="8"/>
      <c r="K212" s="8"/>
      <c r="L212" s="8">
        <f t="shared" ref="L212:X212" si="363">SUM(L207:L211)</f>
        <v>206.84099999999984</v>
      </c>
      <c r="M212" s="8">
        <f t="shared" si="363"/>
        <v>248.38599999999994</v>
      </c>
      <c r="N212" s="8">
        <f t="shared" si="363"/>
        <v>363.27299999999991</v>
      </c>
      <c r="O212" s="8">
        <f t="shared" si="363"/>
        <v>348.74900000000014</v>
      </c>
      <c r="P212" s="8">
        <f t="shared" si="363"/>
        <v>157.56900000000036</v>
      </c>
      <c r="Q212" s="8">
        <f t="shared" si="363"/>
        <v>557.68800000000044</v>
      </c>
      <c r="R212" s="8">
        <f t="shared" si="363"/>
        <v>719.20099999999991</v>
      </c>
      <c r="S212" s="8">
        <f t="shared" si="363"/>
        <v>783.47600000000114</v>
      </c>
      <c r="T212" s="8">
        <f t="shared" si="363"/>
        <v>829.09599999999966</v>
      </c>
      <c r="U212" s="8">
        <f t="shared" si="363"/>
        <v>930.11400000000083</v>
      </c>
      <c r="V212" s="8">
        <f t="shared" si="363"/>
        <v>1108.9810000000002</v>
      </c>
      <c r="W212" s="8">
        <f t="shared" si="363"/>
        <v>1183.7009999999993</v>
      </c>
      <c r="X212" s="8">
        <f t="shared" si="363"/>
        <v>1231.7219999999993</v>
      </c>
      <c r="Y212" s="8">
        <f>SUM(Y207:Y211)</f>
        <v>1314.3049999999996</v>
      </c>
      <c r="Z212" s="8">
        <f>SUM(Z207:Z211)</f>
        <v>1370.8390000000002</v>
      </c>
      <c r="AA212" s="8">
        <f>SUM(AA207:AA211)</f>
        <v>1459.7009999999993</v>
      </c>
      <c r="AB212" s="8">
        <f>SUM(AB207:AB211)</f>
        <v>1293.5309999999988</v>
      </c>
      <c r="AC212" s="8">
        <f t="shared" ref="AC212:AL212" ca="1" si="364">SUM(AC207:AC211)</f>
        <v>1542.9781946616058</v>
      </c>
      <c r="AD212" s="8">
        <f t="shared" ca="1" si="364"/>
        <v>1729.8654675072726</v>
      </c>
      <c r="AE212" s="8">
        <f t="shared" ca="1" si="364"/>
        <v>1883.0455148591295</v>
      </c>
      <c r="AF212" s="8">
        <f t="shared" ca="1" si="364"/>
        <v>2077.9232639594211</v>
      </c>
      <c r="AG212" s="8">
        <f t="shared" ca="1" si="364"/>
        <v>2286.9307065113931</v>
      </c>
      <c r="AH212" s="8">
        <f t="shared" ca="1" si="364"/>
        <v>2496.0485856566856</v>
      </c>
      <c r="AI212" s="8">
        <f t="shared" ca="1" si="364"/>
        <v>2711.3224111059344</v>
      </c>
      <c r="AJ212" s="8">
        <f t="shared" ca="1" si="364"/>
        <v>2961.9824588460638</v>
      </c>
      <c r="AK212" s="8">
        <f t="shared" ca="1" si="364"/>
        <v>3231.2608857405921</v>
      </c>
      <c r="AL212" s="8">
        <f t="shared" ca="1" si="364"/>
        <v>3511.472643681619</v>
      </c>
      <c r="AM212" s="8">
        <f ca="1">SUM(AM207:AM211)</f>
        <v>3821.4670204615572</v>
      </c>
      <c r="AN212" s="65"/>
      <c r="AO212" s="314">
        <f t="shared" ref="AO212" ca="1" si="365">(AL212/AB212)^(1/10)-1</f>
        <v>0.10502281495563448</v>
      </c>
      <c r="AP212" s="314">
        <f t="shared" ref="AP212" si="366">(AB212/L212)^(1/16)-1</f>
        <v>0.12139538193239896</v>
      </c>
      <c r="AQ212" s="314">
        <f t="shared" ref="AQ212" si="367">(AA212/Q212)^(1/10)-1</f>
        <v>0.10099985197977768</v>
      </c>
      <c r="AR212" s="314">
        <f t="shared" ref="AR212" ca="1" si="368">(AL212/AA212)^(1/11)-1</f>
        <v>8.307081453189169E-2</v>
      </c>
      <c r="AS212" s="314"/>
      <c r="AT212" s="314"/>
    </row>
    <row r="213" spans="1:47">
      <c r="A213" s="125" t="s">
        <v>7</v>
      </c>
      <c r="D213" s="71" t="s">
        <v>7</v>
      </c>
      <c r="I213" s="80"/>
      <c r="J213" s="80"/>
      <c r="K213" s="80"/>
      <c r="L213" s="80">
        <f t="shared" ref="L213:AM213" si="369">+L14</f>
        <v>-20.145</v>
      </c>
      <c r="M213" s="80">
        <f t="shared" si="369"/>
        <v>-26.692</v>
      </c>
      <c r="N213" s="80">
        <f t="shared" si="369"/>
        <v>-34.551000000000002</v>
      </c>
      <c r="O213" s="80">
        <f t="shared" si="369"/>
        <v>-46.615000000000002</v>
      </c>
      <c r="P213" s="80">
        <f t="shared" si="369"/>
        <v>-54.741</v>
      </c>
      <c r="Q213" s="80">
        <f t="shared" si="369"/>
        <v>-75.227999999999994</v>
      </c>
      <c r="R213" s="80">
        <f t="shared" si="369"/>
        <v>-76.320999999999998</v>
      </c>
      <c r="S213" s="80">
        <f t="shared" si="369"/>
        <v>-82.811999999999998</v>
      </c>
      <c r="T213" s="80">
        <f t="shared" si="369"/>
        <v>-95.283000000000001</v>
      </c>
      <c r="U213" s="80">
        <f t="shared" si="369"/>
        <v>-101.911</v>
      </c>
      <c r="V213" s="80">
        <f t="shared" si="369"/>
        <v>-115.173</v>
      </c>
      <c r="W213" s="80">
        <f t="shared" si="369"/>
        <v>-137.36000000000001</v>
      </c>
      <c r="X213" s="80">
        <f t="shared" si="369"/>
        <v>-168.875</v>
      </c>
      <c r="Y213" s="80">
        <f t="shared" si="369"/>
        <v>-179.94200000000001</v>
      </c>
      <c r="Z213" s="80">
        <f t="shared" si="369"/>
        <v>-182.24700000000001</v>
      </c>
      <c r="AA213" s="80">
        <f t="shared" si="369"/>
        <v>-215.81100000000001</v>
      </c>
      <c r="AB213" s="80">
        <f t="shared" si="369"/>
        <v>-242.15600000000001</v>
      </c>
      <c r="AC213" s="80">
        <f t="shared" si="369"/>
        <v>-219.85162308998301</v>
      </c>
      <c r="AD213" s="80">
        <f t="shared" ca="1" si="369"/>
        <v>-236.47594385832471</v>
      </c>
      <c r="AE213" s="80">
        <f t="shared" ca="1" si="369"/>
        <v>-253.44956688226421</v>
      </c>
      <c r="AF213" s="80">
        <f t="shared" ca="1" si="369"/>
        <v>-273.22241927775059</v>
      </c>
      <c r="AG213" s="80">
        <f t="shared" ca="1" si="369"/>
        <v>-293.89271648578779</v>
      </c>
      <c r="AH213" s="80">
        <f t="shared" ca="1" si="369"/>
        <v>-315.2216583899293</v>
      </c>
      <c r="AI213" s="80">
        <f t="shared" ca="1" si="369"/>
        <v>-337.41191332773639</v>
      </c>
      <c r="AJ213" s="80">
        <f t="shared" ca="1" si="369"/>
        <v>-360.41867344504408</v>
      </c>
      <c r="AK213" s="80">
        <f t="shared" ca="1" si="369"/>
        <v>-384.2763648189694</v>
      </c>
      <c r="AL213" s="80">
        <f t="shared" ca="1" si="369"/>
        <v>-408.89659452839879</v>
      </c>
      <c r="AM213" s="80">
        <f t="shared" ca="1" si="369"/>
        <v>-434.30259240128078</v>
      </c>
      <c r="AN213" s="7"/>
    </row>
    <row r="214" spans="1:47">
      <c r="D214" s="71" t="s">
        <v>106</v>
      </c>
      <c r="I214" s="80"/>
      <c r="J214" s="80"/>
      <c r="K214" s="80"/>
      <c r="L214" s="189">
        <v>0</v>
      </c>
      <c r="M214" s="189">
        <v>0</v>
      </c>
      <c r="N214" s="189">
        <v>0</v>
      </c>
      <c r="O214" s="189">
        <v>0</v>
      </c>
      <c r="P214" s="189">
        <v>0</v>
      </c>
      <c r="Q214" s="189">
        <v>0</v>
      </c>
      <c r="R214" s="189">
        <v>0</v>
      </c>
      <c r="S214" s="189">
        <v>0</v>
      </c>
      <c r="T214" s="189">
        <v>0</v>
      </c>
      <c r="U214" s="189">
        <v>0</v>
      </c>
      <c r="V214" s="189">
        <v>0</v>
      </c>
      <c r="W214" s="189">
        <v>0</v>
      </c>
      <c r="X214" s="189">
        <v>0</v>
      </c>
      <c r="Y214" s="189">
        <v>0</v>
      </c>
      <c r="Z214" s="189">
        <v>0</v>
      </c>
      <c r="AA214" s="189">
        <v>0</v>
      </c>
      <c r="AB214" s="189">
        <v>0</v>
      </c>
      <c r="AC214" s="189">
        <v>0</v>
      </c>
      <c r="AD214" s="189">
        <v>0</v>
      </c>
      <c r="AE214" s="189">
        <v>0</v>
      </c>
      <c r="AF214" s="189">
        <v>0</v>
      </c>
      <c r="AG214" s="189">
        <v>0</v>
      </c>
      <c r="AH214" s="189">
        <v>0</v>
      </c>
      <c r="AI214" s="189">
        <v>0</v>
      </c>
      <c r="AJ214" s="189">
        <v>0</v>
      </c>
      <c r="AK214" s="189">
        <v>0</v>
      </c>
      <c r="AL214" s="189">
        <v>0</v>
      </c>
      <c r="AM214" s="189">
        <v>0</v>
      </c>
      <c r="AN214" s="7"/>
    </row>
    <row r="215" spans="1:47">
      <c r="D215" s="71" t="s">
        <v>226</v>
      </c>
      <c r="I215" s="80"/>
      <c r="J215" s="80"/>
      <c r="K215" s="80"/>
      <c r="L215" s="189">
        <v>0</v>
      </c>
      <c r="M215" s="189">
        <v>0</v>
      </c>
      <c r="N215" s="189">
        <v>0</v>
      </c>
      <c r="O215" s="189">
        <v>0</v>
      </c>
      <c r="P215" s="189">
        <v>0</v>
      </c>
      <c r="Q215" s="189">
        <v>0</v>
      </c>
      <c r="R215" s="189">
        <v>0</v>
      </c>
      <c r="S215" s="189">
        <v>0</v>
      </c>
      <c r="T215" s="189">
        <v>0</v>
      </c>
      <c r="U215" s="189">
        <v>0</v>
      </c>
      <c r="V215" s="189">
        <v>0</v>
      </c>
      <c r="W215" s="189">
        <v>0</v>
      </c>
      <c r="X215" s="189">
        <v>0</v>
      </c>
      <c r="Y215" s="189">
        <v>0</v>
      </c>
      <c r="Z215" s="189">
        <v>0</v>
      </c>
      <c r="AA215" s="189">
        <v>0</v>
      </c>
      <c r="AB215" s="189">
        <v>0</v>
      </c>
      <c r="AC215" s="189">
        <v>0</v>
      </c>
      <c r="AD215" s="189">
        <v>0</v>
      </c>
      <c r="AE215" s="189">
        <v>0</v>
      </c>
      <c r="AF215" s="189">
        <v>0</v>
      </c>
      <c r="AG215" s="189">
        <v>0</v>
      </c>
      <c r="AH215" s="189">
        <v>0</v>
      </c>
      <c r="AI215" s="189">
        <v>0</v>
      </c>
      <c r="AJ215" s="189">
        <v>0</v>
      </c>
      <c r="AK215" s="189">
        <v>0</v>
      </c>
      <c r="AL215" s="189">
        <v>0</v>
      </c>
      <c r="AM215" s="189">
        <v>0</v>
      </c>
      <c r="AN215" s="7"/>
    </row>
    <row r="216" spans="1:47">
      <c r="D216" s="71" t="s">
        <v>107</v>
      </c>
      <c r="I216" s="80"/>
      <c r="J216" s="80"/>
      <c r="K216" s="80"/>
      <c r="L216" s="189">
        <v>0</v>
      </c>
      <c r="M216" s="189">
        <v>0</v>
      </c>
      <c r="N216" s="189">
        <v>0</v>
      </c>
      <c r="O216" s="189">
        <v>0</v>
      </c>
      <c r="P216" s="189">
        <v>0</v>
      </c>
      <c r="Q216" s="189">
        <v>0</v>
      </c>
      <c r="R216" s="189">
        <v>0</v>
      </c>
      <c r="S216" s="189">
        <v>0</v>
      </c>
      <c r="T216" s="189">
        <v>0</v>
      </c>
      <c r="U216" s="189">
        <v>0</v>
      </c>
      <c r="V216" s="189">
        <v>0</v>
      </c>
      <c r="W216" s="189">
        <v>0</v>
      </c>
      <c r="X216" s="189">
        <v>0</v>
      </c>
      <c r="Y216" s="189">
        <v>0</v>
      </c>
      <c r="Z216" s="189">
        <v>0</v>
      </c>
      <c r="AA216" s="189">
        <v>0</v>
      </c>
      <c r="AB216" s="189">
        <v>0</v>
      </c>
      <c r="AC216" s="189">
        <v>0</v>
      </c>
      <c r="AD216" s="189">
        <v>0</v>
      </c>
      <c r="AE216" s="189">
        <v>0</v>
      </c>
      <c r="AF216" s="189">
        <v>0</v>
      </c>
      <c r="AG216" s="189">
        <v>0</v>
      </c>
      <c r="AH216" s="189">
        <v>0</v>
      </c>
      <c r="AI216" s="189">
        <v>0</v>
      </c>
      <c r="AJ216" s="189">
        <v>0</v>
      </c>
      <c r="AK216" s="189">
        <v>0</v>
      </c>
      <c r="AL216" s="189">
        <v>0</v>
      </c>
      <c r="AM216" s="189">
        <v>0</v>
      </c>
      <c r="AN216" s="7"/>
    </row>
    <row r="217" spans="1:47">
      <c r="D217" s="71" t="s">
        <v>130</v>
      </c>
      <c r="I217" s="80"/>
      <c r="J217" s="80"/>
      <c r="K217" s="80"/>
      <c r="L217" s="189">
        <v>0</v>
      </c>
      <c r="M217" s="189">
        <v>0</v>
      </c>
      <c r="N217" s="189">
        <v>0</v>
      </c>
      <c r="O217" s="189">
        <v>0</v>
      </c>
      <c r="P217" s="189">
        <v>0</v>
      </c>
      <c r="Q217" s="189">
        <v>0</v>
      </c>
      <c r="R217" s="189">
        <v>0</v>
      </c>
      <c r="S217" s="189">
        <v>0</v>
      </c>
      <c r="T217" s="189">
        <v>0</v>
      </c>
      <c r="U217" s="189">
        <v>0</v>
      </c>
      <c r="V217" s="189">
        <v>0</v>
      </c>
      <c r="W217" s="189">
        <v>0</v>
      </c>
      <c r="X217" s="189">
        <v>0</v>
      </c>
      <c r="Y217" s="189">
        <v>0</v>
      </c>
      <c r="Z217" s="189">
        <v>0</v>
      </c>
      <c r="AA217" s="189">
        <v>0</v>
      </c>
      <c r="AB217" s="189">
        <v>0</v>
      </c>
      <c r="AC217" s="189">
        <v>0</v>
      </c>
      <c r="AD217" s="189">
        <v>0</v>
      </c>
      <c r="AE217" s="189">
        <v>0</v>
      </c>
      <c r="AF217" s="189">
        <v>0</v>
      </c>
      <c r="AG217" s="189">
        <v>0</v>
      </c>
      <c r="AH217" s="189">
        <v>0</v>
      </c>
      <c r="AI217" s="189">
        <v>0</v>
      </c>
      <c r="AJ217" s="189">
        <v>0</v>
      </c>
      <c r="AK217" s="189">
        <v>0</v>
      </c>
      <c r="AL217" s="189">
        <v>0</v>
      </c>
      <c r="AM217" s="189">
        <v>0</v>
      </c>
      <c r="AN217" s="7"/>
    </row>
    <row r="218" spans="1:47" s="3" customFormat="1">
      <c r="A218" s="125" t="s">
        <v>4</v>
      </c>
      <c r="B218" s="163"/>
      <c r="D218" s="2" t="s">
        <v>4</v>
      </c>
      <c r="E218" s="2"/>
      <c r="F218" s="2"/>
      <c r="G218" s="8"/>
      <c r="H218" s="8"/>
      <c r="I218" s="8"/>
      <c r="J218" s="8"/>
      <c r="K218" s="8"/>
      <c r="L218" s="8">
        <f t="shared" ref="L218:AB218" si="370">SUM(L212:L217)</f>
        <v>186.69599999999983</v>
      </c>
      <c r="M218" s="8">
        <f t="shared" si="370"/>
        <v>221.69399999999993</v>
      </c>
      <c r="N218" s="8">
        <f t="shared" si="370"/>
        <v>328.72199999999992</v>
      </c>
      <c r="O218" s="8">
        <f t="shared" si="370"/>
        <v>302.13400000000013</v>
      </c>
      <c r="P218" s="8">
        <f t="shared" si="370"/>
        <v>102.82800000000036</v>
      </c>
      <c r="Q218" s="8">
        <f t="shared" si="370"/>
        <v>482.46000000000043</v>
      </c>
      <c r="R218" s="8">
        <f t="shared" si="370"/>
        <v>642.87999999999988</v>
      </c>
      <c r="S218" s="8">
        <f t="shared" si="370"/>
        <v>700.66400000000112</v>
      </c>
      <c r="T218" s="8">
        <f t="shared" si="370"/>
        <v>733.81299999999965</v>
      </c>
      <c r="U218" s="8">
        <f t="shared" si="370"/>
        <v>828.20300000000088</v>
      </c>
      <c r="V218" s="8">
        <f t="shared" si="370"/>
        <v>993.80800000000022</v>
      </c>
      <c r="W218" s="8">
        <f t="shared" si="370"/>
        <v>1046.3409999999994</v>
      </c>
      <c r="X218" s="8">
        <f t="shared" si="370"/>
        <v>1062.8469999999993</v>
      </c>
      <c r="Y218" s="8">
        <f t="shared" si="370"/>
        <v>1134.3629999999996</v>
      </c>
      <c r="Z218" s="8">
        <f t="shared" si="370"/>
        <v>1188.5920000000001</v>
      </c>
      <c r="AA218" s="8">
        <f t="shared" si="370"/>
        <v>1243.8899999999994</v>
      </c>
      <c r="AB218" s="8">
        <f t="shared" si="370"/>
        <v>1051.3749999999989</v>
      </c>
      <c r="AC218" s="8">
        <f t="shared" ref="AC218:AL218" ca="1" si="371">SUM(AC212:AC217)</f>
        <v>1323.1265715716229</v>
      </c>
      <c r="AD218" s="8">
        <f t="shared" ca="1" si="371"/>
        <v>1493.3895236489479</v>
      </c>
      <c r="AE218" s="8">
        <f t="shared" ca="1" si="371"/>
        <v>1629.5959479768653</v>
      </c>
      <c r="AF218" s="8">
        <f t="shared" ca="1" si="371"/>
        <v>1804.7008446816706</v>
      </c>
      <c r="AG218" s="8">
        <f t="shared" ca="1" si="371"/>
        <v>1993.0379900256053</v>
      </c>
      <c r="AH218" s="8">
        <f t="shared" ca="1" si="371"/>
        <v>2180.8269272667562</v>
      </c>
      <c r="AI218" s="8">
        <f t="shared" ca="1" si="371"/>
        <v>2373.9104977781981</v>
      </c>
      <c r="AJ218" s="8">
        <f t="shared" ca="1" si="371"/>
        <v>2601.5637854010197</v>
      </c>
      <c r="AK218" s="8">
        <f t="shared" ca="1" si="371"/>
        <v>2846.9845209216228</v>
      </c>
      <c r="AL218" s="8">
        <f t="shared" ca="1" si="371"/>
        <v>3102.5760491532201</v>
      </c>
      <c r="AM218" s="8">
        <f ca="1">SUM(AM212:AM217)</f>
        <v>3387.1644280602764</v>
      </c>
      <c r="AN218" s="65"/>
      <c r="AO218" s="314">
        <f t="shared" ref="AO218" ca="1" si="372">(AL218/AB218)^(1/10)-1</f>
        <v>0.11428549948603761</v>
      </c>
      <c r="AP218" s="314">
        <f t="shared" ref="AP218" si="373">(AB218/L218)^(1/16)-1</f>
        <v>0.11407368104782312</v>
      </c>
      <c r="AQ218" s="314">
        <f t="shared" ref="AQ218" si="374">(AA218/Q218)^(1/10)-1</f>
        <v>9.9340091447625012E-2</v>
      </c>
      <c r="AR218" s="314">
        <f t="shared" ref="AR218" ca="1" si="375">(AL218/AA218)^(1/11)-1</f>
        <v>8.6639521107001016E-2</v>
      </c>
      <c r="AS218" s="314"/>
      <c r="AT218" s="314"/>
    </row>
    <row r="219" spans="1:47">
      <c r="D219" s="71" t="s">
        <v>108</v>
      </c>
      <c r="I219" s="80"/>
      <c r="J219" s="80"/>
      <c r="K219" s="80"/>
      <c r="L219" s="189">
        <v>0</v>
      </c>
      <c r="M219" s="189">
        <v>0</v>
      </c>
      <c r="N219" s="189">
        <v>0</v>
      </c>
      <c r="O219" s="189">
        <v>0</v>
      </c>
      <c r="P219" s="189">
        <v>0</v>
      </c>
      <c r="Q219" s="189">
        <v>0</v>
      </c>
      <c r="R219" s="189">
        <v>0</v>
      </c>
      <c r="S219" s="189">
        <v>0</v>
      </c>
      <c r="T219" s="189">
        <v>0</v>
      </c>
      <c r="U219" s="189">
        <v>0</v>
      </c>
      <c r="V219" s="189">
        <v>0</v>
      </c>
      <c r="W219" s="189">
        <v>0</v>
      </c>
      <c r="X219" s="189">
        <v>0</v>
      </c>
      <c r="Y219" s="189">
        <v>0</v>
      </c>
      <c r="Z219" s="189">
        <v>0</v>
      </c>
      <c r="AA219" s="189">
        <v>0</v>
      </c>
      <c r="AB219" s="189">
        <v>0</v>
      </c>
      <c r="AC219" s="189">
        <v>0</v>
      </c>
      <c r="AD219" s="189">
        <v>0</v>
      </c>
      <c r="AE219" s="189">
        <v>0</v>
      </c>
      <c r="AF219" s="189">
        <v>0</v>
      </c>
      <c r="AG219" s="189">
        <v>0</v>
      </c>
      <c r="AH219" s="189">
        <v>0</v>
      </c>
      <c r="AI219" s="189">
        <v>0</v>
      </c>
      <c r="AJ219" s="189">
        <v>0</v>
      </c>
      <c r="AK219" s="189">
        <v>0</v>
      </c>
      <c r="AL219" s="189">
        <v>0</v>
      </c>
      <c r="AM219" s="189">
        <v>0</v>
      </c>
      <c r="AN219" s="7"/>
    </row>
    <row r="220" spans="1:47">
      <c r="D220" s="71" t="s">
        <v>109</v>
      </c>
      <c r="I220" s="80"/>
      <c r="J220" s="80"/>
      <c r="K220" s="80"/>
      <c r="L220" s="80">
        <f t="shared" ref="L220:AM220" si="376">+L16</f>
        <v>-2.806</v>
      </c>
      <c r="M220" s="80">
        <f t="shared" si="376"/>
        <v>-4.093</v>
      </c>
      <c r="N220" s="80">
        <f t="shared" si="376"/>
        <v>-5.3730000000000002</v>
      </c>
      <c r="O220" s="80">
        <f t="shared" si="376"/>
        <v>-4.9550000000000001</v>
      </c>
      <c r="P220" s="80">
        <f t="shared" si="376"/>
        <v>-6.0860000000000003</v>
      </c>
      <c r="Q220" s="80">
        <f t="shared" si="376"/>
        <v>-35.994</v>
      </c>
      <c r="R220" s="80">
        <f t="shared" si="376"/>
        <v>-34.68</v>
      </c>
      <c r="S220" s="80">
        <f t="shared" si="376"/>
        <v>-33.713999999999999</v>
      </c>
      <c r="T220" s="80">
        <f t="shared" si="376"/>
        <v>-32.356999999999999</v>
      </c>
      <c r="U220" s="80">
        <f t="shared" si="376"/>
        <v>-30.834</v>
      </c>
      <c r="V220" s="80">
        <f t="shared" si="376"/>
        <v>-24.472999999999999</v>
      </c>
      <c r="W220" s="80">
        <f t="shared" si="376"/>
        <v>-36.357999999999997</v>
      </c>
      <c r="X220" s="80">
        <f t="shared" si="376"/>
        <v>-56.415999999999997</v>
      </c>
      <c r="Y220" s="80">
        <f t="shared" si="376"/>
        <v>-70.745000000000005</v>
      </c>
      <c r="Z220" s="80">
        <f t="shared" si="376"/>
        <v>-75.792000000000002</v>
      </c>
      <c r="AA220" s="80">
        <f t="shared" si="376"/>
        <v>-83.007000000000005</v>
      </c>
      <c r="AB220" s="80">
        <f t="shared" si="376"/>
        <v>-86.177999999999997</v>
      </c>
      <c r="AC220" s="80">
        <f t="shared" ca="1" si="376"/>
        <v>-84.729804748847172</v>
      </c>
      <c r="AD220" s="80">
        <f t="shared" ca="1" si="376"/>
        <v>-98.812426872233019</v>
      </c>
      <c r="AE220" s="80">
        <f t="shared" ca="1" si="376"/>
        <v>-110.63614956044958</v>
      </c>
      <c r="AF220" s="80">
        <f t="shared" ca="1" si="376"/>
        <v>-123.22096989104338</v>
      </c>
      <c r="AG220" s="80">
        <f t="shared" ca="1" si="376"/>
        <v>-137.86120708779467</v>
      </c>
      <c r="AH220" s="80">
        <f t="shared" ca="1" si="376"/>
        <v>-153.43071044336858</v>
      </c>
      <c r="AI220" s="80">
        <f t="shared" ca="1" si="376"/>
        <v>-170.20069308520706</v>
      </c>
      <c r="AJ220" s="80">
        <f t="shared" ca="1" si="376"/>
        <v>-190.12155985911974</v>
      </c>
      <c r="AK220" s="80">
        <f t="shared" ca="1" si="376"/>
        <v>-212.81795638022194</v>
      </c>
      <c r="AL220" s="80">
        <f t="shared" ca="1" si="376"/>
        <v>-237.81028058005185</v>
      </c>
      <c r="AM220" s="80">
        <f t="shared" ca="1" si="376"/>
        <v>-261.63272757212081</v>
      </c>
      <c r="AN220" s="7"/>
    </row>
    <row r="221" spans="1:47" s="3" customFormat="1">
      <c r="A221" s="125" t="s">
        <v>110</v>
      </c>
      <c r="B221" s="163"/>
      <c r="D221" s="2" t="s">
        <v>110</v>
      </c>
      <c r="E221" s="2"/>
      <c r="F221" s="2"/>
      <c r="G221" s="8"/>
      <c r="H221" s="8"/>
      <c r="I221" s="8"/>
      <c r="J221" s="8"/>
      <c r="K221" s="8"/>
      <c r="L221" s="8">
        <f t="shared" ref="L221:AB221" si="377">SUM(L218:L220)</f>
        <v>183.88999999999982</v>
      </c>
      <c r="M221" s="8">
        <f t="shared" si="377"/>
        <v>217.60099999999994</v>
      </c>
      <c r="N221" s="8">
        <f t="shared" si="377"/>
        <v>323.34899999999993</v>
      </c>
      <c r="O221" s="8">
        <f t="shared" si="377"/>
        <v>297.17900000000014</v>
      </c>
      <c r="P221" s="8">
        <f t="shared" si="377"/>
        <v>96.74200000000036</v>
      </c>
      <c r="Q221" s="8">
        <f t="shared" si="377"/>
        <v>446.46600000000046</v>
      </c>
      <c r="R221" s="8">
        <f t="shared" si="377"/>
        <v>608.19999999999993</v>
      </c>
      <c r="S221" s="8">
        <f t="shared" si="377"/>
        <v>666.95000000000118</v>
      </c>
      <c r="T221" s="8">
        <f t="shared" si="377"/>
        <v>701.45599999999968</v>
      </c>
      <c r="U221" s="8">
        <f t="shared" si="377"/>
        <v>797.36900000000094</v>
      </c>
      <c r="V221" s="8">
        <f t="shared" si="377"/>
        <v>969.33500000000026</v>
      </c>
      <c r="W221" s="8">
        <f t="shared" si="377"/>
        <v>1009.9829999999995</v>
      </c>
      <c r="X221" s="8">
        <f t="shared" si="377"/>
        <v>1006.4309999999994</v>
      </c>
      <c r="Y221" s="8">
        <f t="shared" si="377"/>
        <v>1063.6179999999995</v>
      </c>
      <c r="Z221" s="8">
        <f t="shared" si="377"/>
        <v>1112.8000000000002</v>
      </c>
      <c r="AA221" s="8">
        <f t="shared" si="377"/>
        <v>1160.8829999999994</v>
      </c>
      <c r="AB221" s="8">
        <f t="shared" si="377"/>
        <v>965.19699999999887</v>
      </c>
      <c r="AC221" s="8">
        <f t="shared" ref="AC221:AL221" ca="1" si="378">SUM(AC218:AC220)</f>
        <v>1238.3967668227758</v>
      </c>
      <c r="AD221" s="8">
        <f t="shared" ca="1" si="378"/>
        <v>1394.5770967767148</v>
      </c>
      <c r="AE221" s="8">
        <f t="shared" ca="1" si="378"/>
        <v>1518.9597984164157</v>
      </c>
      <c r="AF221" s="8">
        <f t="shared" ca="1" si="378"/>
        <v>1681.4798747906273</v>
      </c>
      <c r="AG221" s="8">
        <f t="shared" ca="1" si="378"/>
        <v>1855.1767829378107</v>
      </c>
      <c r="AH221" s="8">
        <f t="shared" ca="1" si="378"/>
        <v>2027.3962168233877</v>
      </c>
      <c r="AI221" s="8">
        <f t="shared" ca="1" si="378"/>
        <v>2203.7098046929909</v>
      </c>
      <c r="AJ221" s="8">
        <f t="shared" ca="1" si="378"/>
        <v>2411.4422255418999</v>
      </c>
      <c r="AK221" s="8">
        <f t="shared" ca="1" si="378"/>
        <v>2634.1665645414009</v>
      </c>
      <c r="AL221" s="8">
        <f t="shared" ca="1" si="378"/>
        <v>2864.7657685731683</v>
      </c>
      <c r="AM221" s="8">
        <f ca="1">SUM(AM218:AM220)</f>
        <v>3125.5317004881554</v>
      </c>
      <c r="AN221" s="65"/>
      <c r="AO221" s="77">
        <f ca="1">(AK221/AA221)^(1/10)-1</f>
        <v>8.5389155687595641E-2</v>
      </c>
      <c r="AP221" s="77">
        <f>(AA221/L221)^(1/15)-1</f>
        <v>0.13070337697531453</v>
      </c>
      <c r="AQ221" s="314">
        <f t="shared" ref="AQ221" si="379">(AA221/Q221)^(1/10)-1</f>
        <v>0.10027186050507808</v>
      </c>
      <c r="AR221" s="314">
        <f t="shared" ref="AR221" ca="1" si="380">(AL221/AA221)^(1/11)-1</f>
        <v>8.5584657944082432E-2</v>
      </c>
      <c r="AS221" s="314"/>
      <c r="AT221" s="314"/>
      <c r="AU221" s="66"/>
    </row>
    <row r="222" spans="1:47">
      <c r="D222" s="71" t="s">
        <v>111</v>
      </c>
      <c r="G222" s="81"/>
      <c r="H222" s="81"/>
      <c r="I222" s="76"/>
      <c r="J222" s="76"/>
      <c r="K222" s="76"/>
      <c r="L222" s="81">
        <v>-72.778999999999996</v>
      </c>
      <c r="M222" s="81">
        <v>-102.46899999999999</v>
      </c>
      <c r="N222" s="81">
        <v>-138.92099999999999</v>
      </c>
      <c r="O222" s="81">
        <v>-139.44900000000001</v>
      </c>
      <c r="P222" s="81">
        <v>-79.087000000000003</v>
      </c>
      <c r="Q222" s="81">
        <v>-141.06700000000001</v>
      </c>
      <c r="R222" s="81">
        <v>-213.21899999999999</v>
      </c>
      <c r="S222" s="81">
        <v>-253.98699999999999</v>
      </c>
      <c r="T222" s="81">
        <v>-263.209</v>
      </c>
      <c r="U222" s="81">
        <v>-321.92099999999999</v>
      </c>
      <c r="V222" s="81">
        <v>-376.27199999999999</v>
      </c>
      <c r="W222" s="81">
        <v>-369.279</v>
      </c>
      <c r="X222" s="81">
        <v>-377.11099999999999</v>
      </c>
      <c r="Y222" s="81">
        <v>-318.48899999999998</v>
      </c>
      <c r="Z222" s="81">
        <v>-268.096</v>
      </c>
      <c r="AA222" s="81">
        <v>-273.65499999999997</v>
      </c>
      <c r="AB222" s="81">
        <v>-254.125</v>
      </c>
      <c r="AC222" s="70">
        <f t="shared" ref="AC222:AL222" ca="1" si="381">+AC221*AC223</f>
        <v>-297.21522403746616</v>
      </c>
      <c r="AD222" s="70">
        <f t="shared" ca="1" si="381"/>
        <v>-334.69850322641156</v>
      </c>
      <c r="AE222" s="70">
        <f t="shared" ca="1" si="381"/>
        <v>-364.55035161993976</v>
      </c>
      <c r="AF222" s="70">
        <f t="shared" ca="1" si="381"/>
        <v>-403.55516994975051</v>
      </c>
      <c r="AG222" s="70">
        <f t="shared" ca="1" si="381"/>
        <v>-445.24242790507452</v>
      </c>
      <c r="AH222" s="70">
        <f t="shared" ca="1" si="381"/>
        <v>-486.57509203761305</v>
      </c>
      <c r="AI222" s="70">
        <f t="shared" ca="1" si="381"/>
        <v>-528.89035312631779</v>
      </c>
      <c r="AJ222" s="70">
        <f t="shared" ca="1" si="381"/>
        <v>-578.74613413005591</v>
      </c>
      <c r="AK222" s="70">
        <f t="shared" ca="1" si="381"/>
        <v>-632.19997548993615</v>
      </c>
      <c r="AL222" s="70">
        <f t="shared" ca="1" si="381"/>
        <v>-687.54378445756038</v>
      </c>
      <c r="AM222" s="70">
        <f ca="1">+AM221*AM223</f>
        <v>-750.12760811715725</v>
      </c>
      <c r="AN222" s="7"/>
    </row>
    <row r="223" spans="1:47">
      <c r="A223" s="125" t="s">
        <v>112</v>
      </c>
      <c r="D223" s="82" t="s">
        <v>112</v>
      </c>
      <c r="G223" s="83"/>
      <c r="H223" s="83"/>
      <c r="I223" s="83"/>
      <c r="J223" s="83"/>
      <c r="K223" s="83"/>
      <c r="L223" s="83">
        <f>+L222/L$221</f>
        <v>-0.3957746478873243</v>
      </c>
      <c r="M223" s="83">
        <f t="shared" ref="M223:W223" si="382">+M222/M$221</f>
        <v>-0.4709031668052997</v>
      </c>
      <c r="N223" s="83">
        <f t="shared" si="382"/>
        <v>-0.42963176011059262</v>
      </c>
      <c r="O223" s="83">
        <f t="shared" si="382"/>
        <v>-0.46924244310667962</v>
      </c>
      <c r="P223" s="83">
        <f t="shared" si="382"/>
        <v>-0.81750428976039058</v>
      </c>
      <c r="Q223" s="83">
        <f t="shared" si="382"/>
        <v>-0.31596358961264659</v>
      </c>
      <c r="R223" s="83">
        <f t="shared" si="382"/>
        <v>-0.35057382439986851</v>
      </c>
      <c r="S223" s="83">
        <f t="shared" si="382"/>
        <v>-0.38081865207286836</v>
      </c>
      <c r="T223" s="83">
        <f t="shared" si="382"/>
        <v>-0.37523237380534219</v>
      </c>
      <c r="U223" s="83">
        <f t="shared" si="382"/>
        <v>-0.40372901379411491</v>
      </c>
      <c r="V223" s="83">
        <f t="shared" si="382"/>
        <v>-0.38817539859800781</v>
      </c>
      <c r="W223" s="83">
        <f t="shared" si="382"/>
        <v>-0.36562892642747469</v>
      </c>
      <c r="X223" s="83">
        <f>+X222/X$221</f>
        <v>-0.37470129596564516</v>
      </c>
      <c r="Y223" s="83">
        <f>+Y222/Y$221</f>
        <v>-0.29943927237034362</v>
      </c>
      <c r="Z223" s="83">
        <f>+Z222/Z$221</f>
        <v>-0.24092020129403302</v>
      </c>
      <c r="AA223" s="83">
        <f>+AA222/AA$221</f>
        <v>-0.23573004342384213</v>
      </c>
      <c r="AB223" s="83">
        <f>+AB222/AB$221</f>
        <v>-0.26328821991779949</v>
      </c>
      <c r="AC223" s="84">
        <v>-0.24</v>
      </c>
      <c r="AD223" s="84">
        <v>-0.24</v>
      </c>
      <c r="AE223" s="84">
        <v>-0.24</v>
      </c>
      <c r="AF223" s="84">
        <v>-0.24</v>
      </c>
      <c r="AG223" s="84">
        <v>-0.24</v>
      </c>
      <c r="AH223" s="84">
        <v>-0.24</v>
      </c>
      <c r="AI223" s="84">
        <v>-0.24</v>
      </c>
      <c r="AJ223" s="84">
        <v>-0.24</v>
      </c>
      <c r="AK223" s="84">
        <v>-0.24</v>
      </c>
      <c r="AL223" s="84">
        <v>-0.24</v>
      </c>
      <c r="AM223" s="84">
        <v>-0.24</v>
      </c>
      <c r="AN223" s="7"/>
    </row>
    <row r="224" spans="1:47" s="71" customFormat="1">
      <c r="A224" s="126"/>
      <c r="B224" s="164"/>
      <c r="D224" s="71" t="s">
        <v>113</v>
      </c>
      <c r="G224" s="81"/>
      <c r="H224" s="81"/>
      <c r="I224" s="76"/>
      <c r="J224" s="76"/>
      <c r="K224" s="76"/>
      <c r="L224" s="81">
        <v>1.1839999999999999</v>
      </c>
      <c r="M224" s="81">
        <v>19.088000000000001</v>
      </c>
      <c r="N224" s="81">
        <v>14.169</v>
      </c>
      <c r="O224" s="81">
        <v>24.405000000000001</v>
      </c>
      <c r="P224" s="81">
        <v>41.502000000000002</v>
      </c>
      <c r="Q224" s="81">
        <v>-27.541</v>
      </c>
      <c r="R224" s="81">
        <v>-17.492999999999999</v>
      </c>
      <c r="S224" s="81">
        <v>0.872</v>
      </c>
      <c r="T224" s="81">
        <v>-3.8580000000000001</v>
      </c>
      <c r="U224" s="81">
        <v>17.184999999999999</v>
      </c>
      <c r="V224" s="81">
        <v>4.2990000000000004</v>
      </c>
      <c r="W224" s="81">
        <v>-17.236999999999998</v>
      </c>
      <c r="X224" s="81">
        <v>-2.3239999999999998</v>
      </c>
      <c r="Y224" s="81">
        <v>-81.007000000000005</v>
      </c>
      <c r="Z224" s="81">
        <v>-2.2999999999999998</v>
      </c>
      <c r="AA224" s="81">
        <v>1.1020000000000001</v>
      </c>
      <c r="AB224" s="81">
        <v>35.786999999999999</v>
      </c>
      <c r="AC224" s="70">
        <f t="shared" ref="AC224:AL224" ca="1" si="383">+AC221*AC225</f>
        <v>0</v>
      </c>
      <c r="AD224" s="70">
        <f t="shared" ca="1" si="383"/>
        <v>0</v>
      </c>
      <c r="AE224" s="70">
        <f t="shared" ca="1" si="383"/>
        <v>0</v>
      </c>
      <c r="AF224" s="70">
        <f t="shared" ca="1" si="383"/>
        <v>0</v>
      </c>
      <c r="AG224" s="70">
        <f t="shared" ca="1" si="383"/>
        <v>0</v>
      </c>
      <c r="AH224" s="70">
        <f t="shared" ca="1" si="383"/>
        <v>0</v>
      </c>
      <c r="AI224" s="70">
        <f t="shared" ca="1" si="383"/>
        <v>0</v>
      </c>
      <c r="AJ224" s="70">
        <f t="shared" ca="1" si="383"/>
        <v>0</v>
      </c>
      <c r="AK224" s="70">
        <f t="shared" ca="1" si="383"/>
        <v>0</v>
      </c>
      <c r="AL224" s="70">
        <f t="shared" ca="1" si="383"/>
        <v>0</v>
      </c>
      <c r="AM224" s="70">
        <f ca="1">+AM221*AM225</f>
        <v>0</v>
      </c>
      <c r="AN224" s="85"/>
    </row>
    <row r="225" spans="1:46" s="71" customFormat="1">
      <c r="A225" s="125" t="s">
        <v>114</v>
      </c>
      <c r="B225" s="164"/>
      <c r="D225" s="82" t="s">
        <v>114</v>
      </c>
      <c r="G225" s="83"/>
      <c r="H225" s="83"/>
      <c r="I225" s="83"/>
      <c r="J225" s="83"/>
      <c r="K225" s="83"/>
      <c r="L225" s="83">
        <f>+L224/L$221</f>
        <v>6.4386317907444727E-3</v>
      </c>
      <c r="M225" s="83">
        <f t="shared" ref="M225:W225" si="384">+M224/M$221</f>
        <v>8.772018510944346E-2</v>
      </c>
      <c r="N225" s="83">
        <f t="shared" si="384"/>
        <v>4.3819526270376601E-2</v>
      </c>
      <c r="O225" s="83">
        <f t="shared" si="384"/>
        <v>8.2122222633496944E-2</v>
      </c>
      <c r="P225" s="83">
        <f t="shared" si="384"/>
        <v>0.42899671290649199</v>
      </c>
      <c r="Q225" s="83">
        <f t="shared" si="384"/>
        <v>-6.1686668189738912E-2</v>
      </c>
      <c r="R225" s="83">
        <f t="shared" si="384"/>
        <v>-2.8761920420914175E-2</v>
      </c>
      <c r="S225" s="83">
        <f t="shared" si="384"/>
        <v>1.3074443361571308E-3</v>
      </c>
      <c r="T225" s="83">
        <f t="shared" si="384"/>
        <v>-5.4999885951506605E-3</v>
      </c>
      <c r="U225" s="83">
        <f t="shared" si="384"/>
        <v>2.1552129566110519E-2</v>
      </c>
      <c r="V225" s="83">
        <f t="shared" si="384"/>
        <v>4.4349992520645587E-3</v>
      </c>
      <c r="W225" s="83">
        <f t="shared" si="384"/>
        <v>-1.7066623893669506E-2</v>
      </c>
      <c r="X225" s="83">
        <f>+X224/X$221</f>
        <v>-2.3091498572679115E-3</v>
      </c>
      <c r="Y225" s="83">
        <f>+Y224/Y$221</f>
        <v>-7.6161742279653069E-2</v>
      </c>
      <c r="Z225" s="83">
        <f>+Z224/Z$221</f>
        <v>-2.0668583752695897E-3</v>
      </c>
      <c r="AA225" s="83">
        <f>+AA224/AA$221</f>
        <v>9.4927740349372042E-4</v>
      </c>
      <c r="AB225" s="83">
        <f>+AB224/AB$221</f>
        <v>3.7077404923554512E-2</v>
      </c>
      <c r="AC225" s="84">
        <v>0</v>
      </c>
      <c r="AD225" s="84">
        <v>0</v>
      </c>
      <c r="AE225" s="84">
        <v>0</v>
      </c>
      <c r="AF225" s="84">
        <v>0</v>
      </c>
      <c r="AG225" s="84">
        <v>0</v>
      </c>
      <c r="AH225" s="84">
        <v>0</v>
      </c>
      <c r="AI225" s="84">
        <v>0</v>
      </c>
      <c r="AJ225" s="84">
        <v>0</v>
      </c>
      <c r="AK225" s="84">
        <v>0</v>
      </c>
      <c r="AL225" s="84">
        <v>0</v>
      </c>
      <c r="AM225" s="84">
        <v>0</v>
      </c>
      <c r="AN225" s="85"/>
    </row>
    <row r="226" spans="1:46" s="3" customFormat="1">
      <c r="A226" s="125" t="s">
        <v>115</v>
      </c>
      <c r="B226" s="163"/>
      <c r="D226" s="2" t="s">
        <v>115</v>
      </c>
      <c r="E226" s="2"/>
      <c r="F226" s="2"/>
      <c r="G226" s="8"/>
      <c r="H226" s="8"/>
      <c r="I226" s="8"/>
      <c r="J226" s="8"/>
      <c r="K226" s="8"/>
      <c r="L226" s="8">
        <f>+L221+L222+L224</f>
        <v>112.29499999999982</v>
      </c>
      <c r="M226" s="8">
        <f t="shared" ref="M226:Z226" si="385">+M221+M222+M224</f>
        <v>134.21999999999994</v>
      </c>
      <c r="N226" s="8">
        <f t="shared" si="385"/>
        <v>198.59699999999995</v>
      </c>
      <c r="O226" s="8">
        <f t="shared" si="385"/>
        <v>182.13500000000013</v>
      </c>
      <c r="P226" s="8">
        <f t="shared" si="385"/>
        <v>59.157000000000359</v>
      </c>
      <c r="Q226" s="8">
        <f t="shared" si="385"/>
        <v>277.85800000000046</v>
      </c>
      <c r="R226" s="8">
        <f t="shared" si="385"/>
        <v>377.48799999999994</v>
      </c>
      <c r="S226" s="8">
        <f t="shared" si="385"/>
        <v>413.83500000000123</v>
      </c>
      <c r="T226" s="8">
        <f t="shared" si="385"/>
        <v>434.38899999999967</v>
      </c>
      <c r="U226" s="8">
        <f t="shared" si="385"/>
        <v>492.63300000000095</v>
      </c>
      <c r="V226" s="8">
        <f t="shared" si="385"/>
        <v>597.36200000000031</v>
      </c>
      <c r="W226" s="8">
        <f t="shared" si="385"/>
        <v>623.46699999999953</v>
      </c>
      <c r="X226" s="8">
        <f>+X221+X222+X224</f>
        <v>626.99599999999941</v>
      </c>
      <c r="Y226" s="8">
        <f t="shared" si="385"/>
        <v>664.12199999999939</v>
      </c>
      <c r="Z226" s="8">
        <f t="shared" si="385"/>
        <v>842.40400000000022</v>
      </c>
      <c r="AA226" s="8">
        <f>+AA221+AA222+AA224</f>
        <v>888.32999999999936</v>
      </c>
      <c r="AB226" s="8">
        <f>+AB221+AB222+AB224</f>
        <v>746.8589999999989</v>
      </c>
      <c r="AC226" s="8">
        <f ca="1">+AC221+AC222+AC224</f>
        <v>941.1815427853096</v>
      </c>
      <c r="AD226" s="8">
        <f t="shared" ref="AD226:AK226" ca="1" si="386">+AD221+AD222+AD224</f>
        <v>1059.8785935503033</v>
      </c>
      <c r="AE226" s="8">
        <f t="shared" ca="1" si="386"/>
        <v>1154.409446796476</v>
      </c>
      <c r="AF226" s="8">
        <f t="shared" ca="1" si="386"/>
        <v>1277.9247048408768</v>
      </c>
      <c r="AG226" s="8">
        <f t="shared" ca="1" si="386"/>
        <v>1409.9343550327362</v>
      </c>
      <c r="AH226" s="8">
        <f t="shared" ca="1" si="386"/>
        <v>1540.8211247857746</v>
      </c>
      <c r="AI226" s="8">
        <f t="shared" ca="1" si="386"/>
        <v>1674.8194515666733</v>
      </c>
      <c r="AJ226" s="8">
        <f t="shared" ca="1" si="386"/>
        <v>1832.696091411844</v>
      </c>
      <c r="AK226" s="8">
        <f t="shared" ca="1" si="386"/>
        <v>2001.9665890514648</v>
      </c>
      <c r="AL226" s="8">
        <f ca="1">+AL221+AL222+AL224</f>
        <v>2177.2219841156079</v>
      </c>
      <c r="AM226" s="8">
        <f ca="1">+AM221+AM222+AM224</f>
        <v>2375.4040923709981</v>
      </c>
      <c r="AN226" s="65"/>
      <c r="AO226" s="314">
        <f t="shared" ref="AO226" ca="1" si="387">(AL226/AB226)^(1/10)-1</f>
        <v>0.11292630945241555</v>
      </c>
      <c r="AP226" s="314">
        <f t="shared" ref="AP226" si="388">(AB226/L226)^(1/16)-1</f>
        <v>0.12571871808996549</v>
      </c>
      <c r="AQ226" s="314">
        <f t="shared" ref="AQ226" si="389">(AA226/Q226)^(1/10)-1</f>
        <v>0.12324667676565171</v>
      </c>
      <c r="AR226" s="314">
        <f t="shared" ref="AR226" ca="1" si="390">(AL226/AA226)^(1/11)-1</f>
        <v>8.4909442916645261E-2</v>
      </c>
      <c r="AS226" s="314"/>
      <c r="AT226" s="314"/>
    </row>
    <row r="227" spans="1:46">
      <c r="D227" s="71" t="s">
        <v>116</v>
      </c>
      <c r="G227" s="7"/>
      <c r="H227" s="7"/>
      <c r="I227" s="76"/>
      <c r="J227" s="76"/>
      <c r="K227" s="76"/>
      <c r="L227" s="81">
        <v>0</v>
      </c>
      <c r="M227" s="81">
        <v>0</v>
      </c>
      <c r="N227" s="81">
        <v>0</v>
      </c>
      <c r="O227" s="81">
        <v>0</v>
      </c>
      <c r="P227" s="81">
        <v>0</v>
      </c>
      <c r="Q227" s="81">
        <v>0</v>
      </c>
      <c r="R227" s="81">
        <v>0</v>
      </c>
      <c r="S227" s="81">
        <v>0</v>
      </c>
      <c r="T227" s="81">
        <v>0</v>
      </c>
      <c r="U227" s="81">
        <v>0</v>
      </c>
      <c r="V227" s="81">
        <v>0</v>
      </c>
      <c r="W227" s="81">
        <v>0</v>
      </c>
      <c r="X227" s="81">
        <v>0</v>
      </c>
      <c r="Y227" s="81">
        <v>0</v>
      </c>
      <c r="Z227" s="81">
        <v>0</v>
      </c>
      <c r="AA227" s="81">
        <v>0</v>
      </c>
      <c r="AB227" s="81">
        <v>0</v>
      </c>
      <c r="AC227" s="81">
        <v>0</v>
      </c>
      <c r="AD227" s="81">
        <v>0</v>
      </c>
      <c r="AE227" s="81">
        <v>0</v>
      </c>
      <c r="AF227" s="81">
        <v>0</v>
      </c>
      <c r="AG227" s="81">
        <v>0</v>
      </c>
      <c r="AH227" s="81">
        <v>0</v>
      </c>
      <c r="AI227" s="81">
        <v>0</v>
      </c>
      <c r="AJ227" s="81">
        <v>0</v>
      </c>
      <c r="AK227" s="81">
        <v>0</v>
      </c>
      <c r="AL227" s="81">
        <v>0</v>
      </c>
      <c r="AM227" s="81">
        <v>0</v>
      </c>
      <c r="AN227" s="7"/>
    </row>
    <row r="228" spans="1:46">
      <c r="D228" s="71" t="s">
        <v>117</v>
      </c>
      <c r="G228" s="7"/>
      <c r="H228" s="7"/>
      <c r="I228" s="76"/>
      <c r="J228" s="76"/>
      <c r="K228" s="76"/>
      <c r="L228" s="81">
        <v>0</v>
      </c>
      <c r="M228" s="81">
        <v>0</v>
      </c>
      <c r="N228" s="81">
        <v>0</v>
      </c>
      <c r="O228" s="81">
        <v>0</v>
      </c>
      <c r="P228" s="81">
        <v>0</v>
      </c>
      <c r="Q228" s="81">
        <v>0</v>
      </c>
      <c r="R228" s="81">
        <v>0</v>
      </c>
      <c r="S228" s="81">
        <v>0</v>
      </c>
      <c r="T228" s="81">
        <v>0</v>
      </c>
      <c r="U228" s="81">
        <v>0</v>
      </c>
      <c r="V228" s="81">
        <v>0</v>
      </c>
      <c r="W228" s="81">
        <v>0</v>
      </c>
      <c r="X228" s="81">
        <v>0</v>
      </c>
      <c r="Y228" s="81">
        <v>0</v>
      </c>
      <c r="Z228" s="81">
        <v>0</v>
      </c>
      <c r="AA228" s="81">
        <v>0</v>
      </c>
      <c r="AB228" s="81">
        <v>0</v>
      </c>
      <c r="AC228" s="81">
        <v>0</v>
      </c>
      <c r="AD228" s="81">
        <v>0</v>
      </c>
      <c r="AE228" s="81">
        <v>0</v>
      </c>
      <c r="AF228" s="81">
        <v>0</v>
      </c>
      <c r="AG228" s="81">
        <v>0</v>
      </c>
      <c r="AH228" s="81">
        <v>0</v>
      </c>
      <c r="AI228" s="81">
        <v>0</v>
      </c>
      <c r="AJ228" s="81">
        <v>0</v>
      </c>
      <c r="AK228" s="81">
        <v>0</v>
      </c>
      <c r="AL228" s="81">
        <v>0</v>
      </c>
      <c r="AM228" s="81">
        <v>0</v>
      </c>
      <c r="AN228" s="7"/>
    </row>
    <row r="229" spans="1:46">
      <c r="D229" s="71" t="s">
        <v>118</v>
      </c>
      <c r="G229" s="7"/>
      <c r="H229" s="7"/>
      <c r="I229" s="76"/>
      <c r="J229" s="76"/>
      <c r="K229" s="76"/>
      <c r="L229" s="81">
        <v>0</v>
      </c>
      <c r="M229" s="81">
        <v>0</v>
      </c>
      <c r="N229" s="81">
        <v>0</v>
      </c>
      <c r="O229" s="81">
        <v>0</v>
      </c>
      <c r="P229" s="81">
        <v>0</v>
      </c>
      <c r="Q229" s="81">
        <v>0</v>
      </c>
      <c r="R229" s="81">
        <v>0</v>
      </c>
      <c r="S229" s="81">
        <v>0</v>
      </c>
      <c r="T229" s="81">
        <v>0</v>
      </c>
      <c r="U229" s="81">
        <v>0</v>
      </c>
      <c r="V229" s="81">
        <v>0</v>
      </c>
      <c r="W229" s="81">
        <v>0</v>
      </c>
      <c r="X229" s="81">
        <v>0</v>
      </c>
      <c r="Y229" s="81">
        <v>0</v>
      </c>
      <c r="Z229" s="81">
        <v>0</v>
      </c>
      <c r="AA229" s="81">
        <v>0</v>
      </c>
      <c r="AB229" s="81">
        <v>0</v>
      </c>
      <c r="AC229" s="81">
        <v>0</v>
      </c>
      <c r="AD229" s="81">
        <v>0</v>
      </c>
      <c r="AE229" s="81">
        <v>0</v>
      </c>
      <c r="AF229" s="81">
        <v>0</v>
      </c>
      <c r="AG229" s="81">
        <v>0</v>
      </c>
      <c r="AH229" s="81">
        <v>0</v>
      </c>
      <c r="AI229" s="81">
        <v>0</v>
      </c>
      <c r="AJ229" s="81">
        <v>0</v>
      </c>
      <c r="AK229" s="81">
        <v>0</v>
      </c>
      <c r="AL229" s="81">
        <v>0</v>
      </c>
      <c r="AM229" s="81">
        <v>0</v>
      </c>
      <c r="AN229" s="7"/>
    </row>
    <row r="230" spans="1:46" s="3" customFormat="1">
      <c r="A230" s="125" t="s">
        <v>119</v>
      </c>
      <c r="B230" s="163"/>
      <c r="D230" s="2" t="s">
        <v>119</v>
      </c>
      <c r="E230" s="2"/>
      <c r="F230" s="2"/>
      <c r="G230" s="8"/>
      <c r="H230" s="8"/>
      <c r="I230" s="8"/>
      <c r="J230" s="8"/>
      <c r="K230" s="8"/>
      <c r="L230" s="8">
        <f>SUM(L226:L229)</f>
        <v>112.29499999999982</v>
      </c>
      <c r="M230" s="8">
        <f t="shared" ref="M230:Z230" si="391">SUM(M226:M229)</f>
        <v>134.21999999999994</v>
      </c>
      <c r="N230" s="8">
        <f t="shared" si="391"/>
        <v>198.59699999999995</v>
      </c>
      <c r="O230" s="8">
        <f t="shared" si="391"/>
        <v>182.13500000000013</v>
      </c>
      <c r="P230" s="8">
        <f t="shared" si="391"/>
        <v>59.157000000000359</v>
      </c>
      <c r="Q230" s="8">
        <f t="shared" si="391"/>
        <v>277.85800000000046</v>
      </c>
      <c r="R230" s="8">
        <f t="shared" si="391"/>
        <v>377.48799999999994</v>
      </c>
      <c r="S230" s="8">
        <f t="shared" si="391"/>
        <v>413.83500000000123</v>
      </c>
      <c r="T230" s="8">
        <f t="shared" si="391"/>
        <v>434.38899999999967</v>
      </c>
      <c r="U230" s="8">
        <f t="shared" si="391"/>
        <v>492.63300000000095</v>
      </c>
      <c r="V230" s="8">
        <f>SUM(V226:V229)</f>
        <v>597.36200000000031</v>
      </c>
      <c r="W230" s="8">
        <f>SUM(W226:W229)</f>
        <v>623.46699999999953</v>
      </c>
      <c r="X230" s="8">
        <f>SUM(X226:X229)</f>
        <v>626.99599999999941</v>
      </c>
      <c r="Y230" s="8">
        <f t="shared" si="391"/>
        <v>664.12199999999939</v>
      </c>
      <c r="Z230" s="8">
        <f t="shared" si="391"/>
        <v>842.40400000000022</v>
      </c>
      <c r="AA230" s="8">
        <f>SUM(AA226:AA229)</f>
        <v>888.32999999999936</v>
      </c>
      <c r="AB230" s="8">
        <f>SUM(AB226:AB229)</f>
        <v>746.8589999999989</v>
      </c>
      <c r="AC230" s="8">
        <f t="shared" ref="AC230:AL230" ca="1" si="392">SUM(AC226:AC229)</f>
        <v>941.1815427853096</v>
      </c>
      <c r="AD230" s="8">
        <f t="shared" ca="1" si="392"/>
        <v>1059.8785935503033</v>
      </c>
      <c r="AE230" s="8">
        <f t="shared" ca="1" si="392"/>
        <v>1154.409446796476</v>
      </c>
      <c r="AF230" s="8">
        <f t="shared" ca="1" si="392"/>
        <v>1277.9247048408768</v>
      </c>
      <c r="AG230" s="8">
        <f t="shared" ca="1" si="392"/>
        <v>1409.9343550327362</v>
      </c>
      <c r="AH230" s="8">
        <f t="shared" ca="1" si="392"/>
        <v>1540.8211247857746</v>
      </c>
      <c r="AI230" s="8">
        <f t="shared" ca="1" si="392"/>
        <v>1674.8194515666733</v>
      </c>
      <c r="AJ230" s="8">
        <f t="shared" ca="1" si="392"/>
        <v>1832.696091411844</v>
      </c>
      <c r="AK230" s="8">
        <f t="shared" ca="1" si="392"/>
        <v>2001.9665890514648</v>
      </c>
      <c r="AL230" s="8">
        <f t="shared" ca="1" si="392"/>
        <v>2177.2219841156079</v>
      </c>
      <c r="AM230" s="8">
        <f ca="1">SUM(AM226:AM229)</f>
        <v>2375.4040923709981</v>
      </c>
      <c r="AN230" s="65"/>
      <c r="AO230" s="314">
        <f t="shared" ref="AO230" ca="1" si="393">(AL230/AB230)^(1/10)-1</f>
        <v>0.11292630945241555</v>
      </c>
      <c r="AP230" s="314">
        <f t="shared" ref="AP230" si="394">(AB230/L230)^(1/16)-1</f>
        <v>0.12571871808996549</v>
      </c>
      <c r="AQ230" s="314">
        <f t="shared" ref="AQ230" si="395">(AA230/Q230)^(1/10)-1</f>
        <v>0.12324667676565171</v>
      </c>
      <c r="AR230" s="314">
        <f t="shared" ref="AR230" ca="1" si="396">(AL230/AA230)^(1/11)-1</f>
        <v>8.4909442916645261E-2</v>
      </c>
      <c r="AS230" s="314"/>
      <c r="AT230" s="314"/>
    </row>
    <row r="231" spans="1:46">
      <c r="G231" s="7"/>
      <c r="H231" s="7"/>
      <c r="I231" s="7"/>
      <c r="J231" s="7"/>
      <c r="K231" s="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7"/>
    </row>
    <row r="232" spans="1:46">
      <c r="A232" s="125" t="s">
        <v>196</v>
      </c>
      <c r="D232" t="s">
        <v>121</v>
      </c>
      <c r="G232" s="7"/>
      <c r="H232" s="7"/>
      <c r="I232" s="88"/>
      <c r="J232" s="88"/>
      <c r="K232" s="88"/>
      <c r="L232" s="76">
        <f>+L329</f>
        <v>212.8</v>
      </c>
      <c r="M232" s="76">
        <f>+M329</f>
        <v>212.846</v>
      </c>
      <c r="N232" s="76">
        <f t="shared" ref="N232:X232" si="397">+N329</f>
        <v>216.6</v>
      </c>
      <c r="O232" s="76">
        <f t="shared" si="397"/>
        <v>220</v>
      </c>
      <c r="P232" s="76">
        <f t="shared" si="397"/>
        <v>219.4</v>
      </c>
      <c r="Q232" s="76">
        <f t="shared" si="397"/>
        <v>222.2</v>
      </c>
      <c r="R232" s="76">
        <f t="shared" si="397"/>
        <v>227.6</v>
      </c>
      <c r="S232" s="76">
        <f t="shared" si="397"/>
        <v>230.721</v>
      </c>
      <c r="T232" s="76">
        <f t="shared" si="397"/>
        <v>231.82300000000001</v>
      </c>
      <c r="U232" s="76">
        <f t="shared" si="397"/>
        <v>227.584</v>
      </c>
      <c r="V232" s="76">
        <f t="shared" si="397"/>
        <v>218.691</v>
      </c>
      <c r="W232" s="76">
        <f t="shared" si="397"/>
        <v>205.54</v>
      </c>
      <c r="X232" s="76">
        <f t="shared" si="397"/>
        <v>192.215</v>
      </c>
      <c r="Y232" s="76">
        <f>+Y329</f>
        <v>184.47</v>
      </c>
      <c r="Z232" s="76">
        <f>+Z329</f>
        <v>175.88399999999999</v>
      </c>
      <c r="AA232" s="76">
        <f>+AA329</f>
        <v>166.82</v>
      </c>
      <c r="AB232" s="76">
        <f t="shared" ref="AB232:AK232" si="398">+AB329</f>
        <v>165.13300000000001</v>
      </c>
      <c r="AC232" s="76">
        <f t="shared" ca="1" si="398"/>
        <v>163.53797393683854</v>
      </c>
      <c r="AD232" s="76">
        <f t="shared" ca="1" si="398"/>
        <v>157.84953965098822</v>
      </c>
      <c r="AE232" s="76">
        <f t="shared" ca="1" si="398"/>
        <v>152.22674340208692</v>
      </c>
      <c r="AF232" s="76">
        <f t="shared" ca="1" si="398"/>
        <v>146.76188903910398</v>
      </c>
      <c r="AG232" s="76">
        <f t="shared" ca="1" si="398"/>
        <v>141.53010054877316</v>
      </c>
      <c r="AH232" s="76">
        <f t="shared" ca="1" si="398"/>
        <v>136.47108984348387</v>
      </c>
      <c r="AI232" s="76">
        <f t="shared" ca="1" si="398"/>
        <v>131.55219070003074</v>
      </c>
      <c r="AJ232" s="76">
        <f t="shared" ca="1" si="398"/>
        <v>126.80184808552052</v>
      </c>
      <c r="AK232" s="76">
        <f t="shared" ca="1" si="398"/>
        <v>122.20556444610283</v>
      </c>
      <c r="AL232" s="76">
        <f ca="1">+AL329</f>
        <v>117.73822604394888</v>
      </c>
      <c r="AM232" s="76">
        <f ca="1">+AM329</f>
        <v>113.41041757475166</v>
      </c>
      <c r="AN232" s="7"/>
      <c r="AO232" s="77"/>
      <c r="AP232" s="196"/>
    </row>
    <row r="233" spans="1:46">
      <c r="A233" s="125" t="s">
        <v>25</v>
      </c>
      <c r="D233" s="3" t="s">
        <v>122</v>
      </c>
      <c r="G233" s="89"/>
      <c r="H233" s="89"/>
      <c r="I233" s="90"/>
      <c r="J233" s="90"/>
      <c r="K233" s="90"/>
      <c r="L233" s="90">
        <f t="shared" ref="L233:AA233" si="399">+L230/L232</f>
        <v>0.52770206766917205</v>
      </c>
      <c r="M233" s="90">
        <f t="shared" si="399"/>
        <v>0.63059676949531562</v>
      </c>
      <c r="N233" s="90">
        <f t="shared" si="399"/>
        <v>0.91688365650969506</v>
      </c>
      <c r="O233" s="90">
        <f t="shared" si="399"/>
        <v>0.82788636363636425</v>
      </c>
      <c r="P233" s="90">
        <f t="shared" si="399"/>
        <v>0.26963081130355676</v>
      </c>
      <c r="Q233" s="90">
        <f t="shared" si="399"/>
        <v>1.2504860486048626</v>
      </c>
      <c r="R233" s="90">
        <f t="shared" si="399"/>
        <v>1.6585588752196834</v>
      </c>
      <c r="S233" s="90">
        <f t="shared" si="399"/>
        <v>1.7936598749138624</v>
      </c>
      <c r="T233" s="90">
        <f t="shared" si="399"/>
        <v>1.8737959563977675</v>
      </c>
      <c r="U233" s="90">
        <f t="shared" si="399"/>
        <v>2.16462053571429</v>
      </c>
      <c r="V233" s="90">
        <f t="shared" si="399"/>
        <v>2.7315344481483019</v>
      </c>
      <c r="W233" s="90">
        <f t="shared" si="399"/>
        <v>3.0333122506568042</v>
      </c>
      <c r="X233" s="90">
        <f t="shared" si="399"/>
        <v>3.2619514606040081</v>
      </c>
      <c r="Y233" s="90">
        <f t="shared" si="399"/>
        <v>3.6001626280696017</v>
      </c>
      <c r="Z233" s="90">
        <f t="shared" si="399"/>
        <v>4.7895431079575195</v>
      </c>
      <c r="AA233" s="90">
        <f t="shared" si="399"/>
        <v>5.3250809255484919</v>
      </c>
      <c r="AB233" s="90">
        <f t="shared" ref="AB233:AL233" si="400">+AB230/AB232</f>
        <v>4.5227725530330032</v>
      </c>
      <c r="AC233" s="90">
        <f t="shared" ca="1" si="400"/>
        <v>5.7551253701407097</v>
      </c>
      <c r="AD233" s="90">
        <f t="shared" ca="1" si="400"/>
        <v>6.7144864400221769</v>
      </c>
      <c r="AE233" s="90">
        <f t="shared" ca="1" si="400"/>
        <v>7.5834864557750885</v>
      </c>
      <c r="AF233" s="90">
        <f t="shared" ca="1" si="400"/>
        <v>8.707469719883342</v>
      </c>
      <c r="AG233" s="90">
        <f t="shared" ca="1" si="400"/>
        <v>9.9620812079254755</v>
      </c>
      <c r="AH233" s="90">
        <f t="shared" ca="1" si="400"/>
        <v>11.290458122324027</v>
      </c>
      <c r="AI233" s="90">
        <f t="shared" ca="1" si="400"/>
        <v>12.731216733483723</v>
      </c>
      <c r="AJ233" s="90">
        <f t="shared" ca="1" si="400"/>
        <v>14.453228553702123</v>
      </c>
      <c r="AK233" s="90">
        <f t="shared" ca="1" si="400"/>
        <v>16.381959349603971</v>
      </c>
      <c r="AL233" s="90">
        <f t="shared" ca="1" si="400"/>
        <v>18.492056974791709</v>
      </c>
      <c r="AM233" s="90">
        <f ca="1">+AM230/AM232</f>
        <v>20.945201888577031</v>
      </c>
      <c r="AN233" s="57"/>
      <c r="AO233" s="314">
        <f t="shared" ref="AO233" ca="1" si="401">(AL233/AB233)^(1/10)-1</f>
        <v>0.15121926189907797</v>
      </c>
      <c r="AP233" s="314">
        <f t="shared" ref="AP233" si="402">(AB233/L233)^(1/16)-1</f>
        <v>0.14370362338410225</v>
      </c>
      <c r="AQ233" s="349">
        <f t="shared" ref="AQ233" si="403">(AA233/Q233)^(1/10)-1</f>
        <v>0.15591190363108454</v>
      </c>
      <c r="AR233" s="349">
        <f t="shared" ref="AR233" ca="1" si="404">(AL233/AA233)^(1/11)-1</f>
        <v>0.11982670257510408</v>
      </c>
      <c r="AS233" s="314"/>
      <c r="AT233" s="314"/>
    </row>
    <row r="234" spans="1:46">
      <c r="A234" s="125" t="s">
        <v>197</v>
      </c>
      <c r="D234" t="s">
        <v>123</v>
      </c>
      <c r="G234" s="89"/>
      <c r="H234" s="89"/>
      <c r="I234" s="91"/>
      <c r="J234" s="91"/>
      <c r="K234" s="91"/>
      <c r="L234" s="91" t="str">
        <f t="shared" ref="L234:AM234" si="405">IFERROR(L233/K233-1,"na")</f>
        <v>na</v>
      </c>
      <c r="M234" s="91">
        <f t="shared" si="405"/>
        <v>0.19498635334256553</v>
      </c>
      <c r="N234" s="91">
        <f t="shared" si="405"/>
        <v>0.45399358332187911</v>
      </c>
      <c r="O234" s="91">
        <f t="shared" si="405"/>
        <v>-9.7064979009569452E-2</v>
      </c>
      <c r="P234" s="91">
        <f t="shared" si="405"/>
        <v>-0.67431422578426747</v>
      </c>
      <c r="Q234" s="91">
        <f t="shared" si="405"/>
        <v>3.6377713383691734</v>
      </c>
      <c r="R234" s="91">
        <f t="shared" si="405"/>
        <v>0.32633137096579201</v>
      </c>
      <c r="S234" s="91">
        <f t="shared" si="405"/>
        <v>8.1456860960865463E-2</v>
      </c>
      <c r="T234" s="91">
        <f t="shared" si="405"/>
        <v>4.4677412147469564E-2</v>
      </c>
      <c r="U234" s="91">
        <f t="shared" si="405"/>
        <v>0.15520610892746878</v>
      </c>
      <c r="V234" s="91">
        <f t="shared" si="405"/>
        <v>0.26189990489346404</v>
      </c>
      <c r="W234" s="91">
        <f t="shared" si="405"/>
        <v>0.11047922266295296</v>
      </c>
      <c r="X234" s="91">
        <f t="shared" si="405"/>
        <v>7.5376087607761599E-2</v>
      </c>
      <c r="Y234" s="91">
        <f t="shared" si="405"/>
        <v>0.10368369105129727</v>
      </c>
      <c r="Z234" s="91">
        <f t="shared" si="405"/>
        <v>0.33036854241377989</v>
      </c>
      <c r="AA234" s="91">
        <f t="shared" si="405"/>
        <v>0.11181396753715633</v>
      </c>
      <c r="AB234" s="91">
        <f t="shared" si="405"/>
        <v>-0.15066594925650822</v>
      </c>
      <c r="AC234" s="91">
        <f t="shared" ca="1" si="405"/>
        <v>0.27247729189505265</v>
      </c>
      <c r="AD234" s="91">
        <f t="shared" ca="1" si="405"/>
        <v>0.16669681513089452</v>
      </c>
      <c r="AE234" s="91">
        <f t="shared" ca="1" si="405"/>
        <v>0.12942166515865972</v>
      </c>
      <c r="AF234" s="91">
        <f t="shared" ca="1" si="405"/>
        <v>0.14821458054458603</v>
      </c>
      <c r="AG234" s="91">
        <f t="shared" ca="1" si="405"/>
        <v>0.14408450771608794</v>
      </c>
      <c r="AH234" s="91">
        <f t="shared" ca="1" si="405"/>
        <v>0.13334331317654224</v>
      </c>
      <c r="AI234" s="91">
        <f t="shared" ca="1" si="405"/>
        <v>0.12760851646143223</v>
      </c>
      <c r="AJ234" s="91">
        <f t="shared" ca="1" si="405"/>
        <v>0.13525901382932437</v>
      </c>
      <c r="AK234" s="91">
        <f t="shared" ca="1" si="405"/>
        <v>0.13344636381660302</v>
      </c>
      <c r="AL234" s="91">
        <f t="shared" ca="1" si="405"/>
        <v>0.12880618124832233</v>
      </c>
      <c r="AM234" s="91">
        <f t="shared" ca="1" si="405"/>
        <v>0.13265938543935052</v>
      </c>
      <c r="AN234" s="57"/>
      <c r="AO234" s="58"/>
    </row>
    <row r="235" spans="1:46">
      <c r="A235" s="125" t="s">
        <v>124</v>
      </c>
      <c r="D235" t="s">
        <v>124</v>
      </c>
      <c r="G235" s="61"/>
      <c r="H235" s="61"/>
      <c r="I235" s="89"/>
      <c r="J235" s="89"/>
      <c r="K235" s="89"/>
      <c r="L235" s="89">
        <f t="shared" ref="L235:Z235" si="406">+L332</f>
        <v>0</v>
      </c>
      <c r="M235" s="89">
        <f t="shared" si="406"/>
        <v>0</v>
      </c>
      <c r="N235" s="89">
        <f t="shared" si="406"/>
        <v>0</v>
      </c>
      <c r="O235" s="89">
        <f t="shared" si="406"/>
        <v>0</v>
      </c>
      <c r="P235" s="89">
        <f t="shared" si="406"/>
        <v>0</v>
      </c>
      <c r="Q235" s="89">
        <f t="shared" si="406"/>
        <v>0</v>
      </c>
      <c r="R235" s="89">
        <f t="shared" si="406"/>
        <v>0</v>
      </c>
      <c r="S235" s="89">
        <f t="shared" si="406"/>
        <v>0</v>
      </c>
      <c r="T235" s="89">
        <f t="shared" si="406"/>
        <v>0</v>
      </c>
      <c r="U235" s="89">
        <f t="shared" si="406"/>
        <v>0</v>
      </c>
      <c r="V235" s="89">
        <f t="shared" si="406"/>
        <v>0</v>
      </c>
      <c r="W235" s="89">
        <f t="shared" si="406"/>
        <v>0</v>
      </c>
      <c r="X235" s="89">
        <f t="shared" si="406"/>
        <v>0</v>
      </c>
      <c r="Y235" s="89">
        <f t="shared" si="406"/>
        <v>0</v>
      </c>
      <c r="Z235" s="89">
        <f t="shared" si="406"/>
        <v>0</v>
      </c>
      <c r="AA235" s="89">
        <f>+AA332</f>
        <v>0</v>
      </c>
      <c r="AB235" s="89">
        <f t="shared" ref="AB235:AK235" si="407">+AB332</f>
        <v>0</v>
      </c>
      <c r="AC235" s="89">
        <f t="shared" si="407"/>
        <v>0</v>
      </c>
      <c r="AD235" s="89">
        <f t="shared" si="407"/>
        <v>0</v>
      </c>
      <c r="AE235" s="89">
        <f t="shared" si="407"/>
        <v>0</v>
      </c>
      <c r="AF235" s="89">
        <f t="shared" si="407"/>
        <v>0</v>
      </c>
      <c r="AG235" s="89">
        <f t="shared" si="407"/>
        <v>0</v>
      </c>
      <c r="AH235" s="89">
        <f t="shared" si="407"/>
        <v>0</v>
      </c>
      <c r="AI235" s="89">
        <f t="shared" ca="1" si="407"/>
        <v>1.9096825099820978</v>
      </c>
      <c r="AJ235" s="89">
        <f t="shared" ca="1" si="407"/>
        <v>2.1679842830193552</v>
      </c>
      <c r="AK235" s="89">
        <f t="shared" ca="1" si="407"/>
        <v>2.4572939024154561</v>
      </c>
      <c r="AL235" s="89">
        <f ca="1">+AL332</f>
        <v>2.7738085462086413</v>
      </c>
      <c r="AM235" s="89">
        <f ca="1">+AM332</f>
        <v>3.1417802832790858</v>
      </c>
      <c r="AN235" s="7"/>
      <c r="AO235" s="58"/>
    </row>
    <row r="236" spans="1:46">
      <c r="A236" s="125" t="s">
        <v>198</v>
      </c>
      <c r="D236" t="s">
        <v>125</v>
      </c>
      <c r="G236" s="91"/>
      <c r="H236" s="91"/>
      <c r="I236" s="91"/>
      <c r="J236" s="91"/>
      <c r="K236" s="91"/>
      <c r="L236" s="91" t="str">
        <f t="shared" ref="L236:AM236" si="408">IFERROR(L235/K235-1,"na")</f>
        <v>na</v>
      </c>
      <c r="M236" s="91" t="str">
        <f t="shared" si="408"/>
        <v>na</v>
      </c>
      <c r="N236" s="91" t="str">
        <f t="shared" si="408"/>
        <v>na</v>
      </c>
      <c r="O236" s="91" t="str">
        <f t="shared" si="408"/>
        <v>na</v>
      </c>
      <c r="P236" s="91" t="str">
        <f t="shared" si="408"/>
        <v>na</v>
      </c>
      <c r="Q236" s="91" t="str">
        <f t="shared" si="408"/>
        <v>na</v>
      </c>
      <c r="R236" s="91" t="str">
        <f t="shared" si="408"/>
        <v>na</v>
      </c>
      <c r="S236" s="91" t="str">
        <f t="shared" si="408"/>
        <v>na</v>
      </c>
      <c r="T236" s="91" t="str">
        <f t="shared" si="408"/>
        <v>na</v>
      </c>
      <c r="U236" s="91" t="str">
        <f t="shared" si="408"/>
        <v>na</v>
      </c>
      <c r="V236" s="91" t="str">
        <f t="shared" si="408"/>
        <v>na</v>
      </c>
      <c r="W236" s="91" t="str">
        <f t="shared" si="408"/>
        <v>na</v>
      </c>
      <c r="X236" s="91" t="str">
        <f t="shared" si="408"/>
        <v>na</v>
      </c>
      <c r="Y236" s="91" t="str">
        <f t="shared" si="408"/>
        <v>na</v>
      </c>
      <c r="Z236" s="91" t="str">
        <f t="shared" si="408"/>
        <v>na</v>
      </c>
      <c r="AA236" s="91" t="str">
        <f t="shared" si="408"/>
        <v>na</v>
      </c>
      <c r="AB236" s="91" t="str">
        <f t="shared" si="408"/>
        <v>na</v>
      </c>
      <c r="AC236" s="91" t="str">
        <f t="shared" si="408"/>
        <v>na</v>
      </c>
      <c r="AD236" s="91" t="str">
        <f t="shared" si="408"/>
        <v>na</v>
      </c>
      <c r="AE236" s="91" t="str">
        <f t="shared" si="408"/>
        <v>na</v>
      </c>
      <c r="AF236" s="91" t="str">
        <f t="shared" si="408"/>
        <v>na</v>
      </c>
      <c r="AG236" s="91" t="str">
        <f t="shared" si="408"/>
        <v>na</v>
      </c>
      <c r="AH236" s="91" t="str">
        <f t="shared" si="408"/>
        <v>na</v>
      </c>
      <c r="AI236" s="91" t="str">
        <f t="shared" ca="1" si="408"/>
        <v>na</v>
      </c>
      <c r="AJ236" s="91">
        <f t="shared" ca="1" si="408"/>
        <v>0.13525901383454508</v>
      </c>
      <c r="AK236" s="91">
        <f t="shared" ca="1" si="408"/>
        <v>0.13344636382380926</v>
      </c>
      <c r="AL236" s="91">
        <f t="shared" ca="1" si="408"/>
        <v>0.12880618125575438</v>
      </c>
      <c r="AM236" s="91">
        <f t="shared" ca="1" si="408"/>
        <v>0.13265938544078826</v>
      </c>
      <c r="AN236" s="7"/>
    </row>
    <row r="237" spans="1:46">
      <c r="A237" s="125" t="s">
        <v>199</v>
      </c>
      <c r="D237" t="s">
        <v>126</v>
      </c>
      <c r="G237" s="75"/>
      <c r="H237" s="75"/>
      <c r="I237" s="75"/>
      <c r="J237" s="75"/>
      <c r="K237" s="75"/>
      <c r="L237" s="75">
        <f t="shared" ref="L237:Z237" si="409">+L235/L233</f>
        <v>0</v>
      </c>
      <c r="M237" s="75">
        <f t="shared" si="409"/>
        <v>0</v>
      </c>
      <c r="N237" s="75">
        <f t="shared" si="409"/>
        <v>0</v>
      </c>
      <c r="O237" s="75">
        <f t="shared" si="409"/>
        <v>0</v>
      </c>
      <c r="P237" s="75">
        <f t="shared" si="409"/>
        <v>0</v>
      </c>
      <c r="Q237" s="75">
        <f t="shared" si="409"/>
        <v>0</v>
      </c>
      <c r="R237" s="75">
        <f t="shared" si="409"/>
        <v>0</v>
      </c>
      <c r="S237" s="75">
        <f t="shared" si="409"/>
        <v>0</v>
      </c>
      <c r="T237" s="75">
        <f t="shared" si="409"/>
        <v>0</v>
      </c>
      <c r="U237" s="75">
        <f t="shared" si="409"/>
        <v>0</v>
      </c>
      <c r="V237" s="75">
        <f t="shared" si="409"/>
        <v>0</v>
      </c>
      <c r="W237" s="75">
        <f t="shared" si="409"/>
        <v>0</v>
      </c>
      <c r="X237" s="75">
        <f t="shared" si="409"/>
        <v>0</v>
      </c>
      <c r="Y237" s="75">
        <f t="shared" si="409"/>
        <v>0</v>
      </c>
      <c r="Z237" s="75">
        <f t="shared" si="409"/>
        <v>0</v>
      </c>
      <c r="AA237" s="75">
        <f>+AA235/AA233</f>
        <v>0</v>
      </c>
      <c r="AB237" s="75">
        <f t="shared" ref="AB237:AK237" si="410">+AB235/AB233</f>
        <v>0</v>
      </c>
      <c r="AC237" s="75">
        <f t="shared" ca="1" si="410"/>
        <v>0</v>
      </c>
      <c r="AD237" s="75">
        <f t="shared" ca="1" si="410"/>
        <v>0</v>
      </c>
      <c r="AE237" s="75">
        <f t="shared" ca="1" si="410"/>
        <v>0</v>
      </c>
      <c r="AF237" s="75">
        <f t="shared" ca="1" si="410"/>
        <v>0</v>
      </c>
      <c r="AG237" s="75">
        <f t="shared" ca="1" si="410"/>
        <v>0</v>
      </c>
      <c r="AH237" s="75">
        <f t="shared" ca="1" si="410"/>
        <v>0</v>
      </c>
      <c r="AI237" s="75">
        <f t="shared" ca="1" si="410"/>
        <v>0.14999999999682193</v>
      </c>
      <c r="AJ237" s="75">
        <f t="shared" ca="1" si="410"/>
        <v>0.14999999999751173</v>
      </c>
      <c r="AK237" s="75">
        <f t="shared" ca="1" si="410"/>
        <v>0.14999999999846542</v>
      </c>
      <c r="AL237" s="75">
        <f ca="1">+AL235/AL233</f>
        <v>0.14999999999945302</v>
      </c>
      <c r="AM237" s="75">
        <f ca="1">+AM235/AM233</f>
        <v>0.14999999999964342</v>
      </c>
      <c r="AN237" s="78"/>
    </row>
    <row r="238" spans="1:46">
      <c r="G238" s="7"/>
      <c r="H238" s="7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3"/>
      <c r="Y238" s="93"/>
      <c r="Z238" s="93"/>
      <c r="AA238" s="93"/>
      <c r="AB238" s="93"/>
      <c r="AC238" s="93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7"/>
    </row>
    <row r="239" spans="1:46">
      <c r="C239" s="119"/>
      <c r="D239" s="120" t="s">
        <v>127</v>
      </c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208"/>
      <c r="Z239" s="208"/>
      <c r="AA239" s="208"/>
      <c r="AB239" s="208"/>
      <c r="AC239" s="208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</row>
    <row r="240" spans="1:46" ht="5.15" customHeight="1">
      <c r="B240" s="162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7"/>
      <c r="AO240" s="1"/>
    </row>
    <row r="241" spans="1:49">
      <c r="D241" t="s">
        <v>115</v>
      </c>
      <c r="G241" s="7"/>
      <c r="H241" s="7"/>
      <c r="I241" s="7"/>
      <c r="J241" s="7"/>
      <c r="K241" s="7"/>
      <c r="L241" s="7">
        <f t="shared" ref="L241:Z241" si="411">+L230</f>
        <v>112.29499999999982</v>
      </c>
      <c r="M241" s="7">
        <f t="shared" si="411"/>
        <v>134.21999999999994</v>
      </c>
      <c r="N241" s="7">
        <f t="shared" si="411"/>
        <v>198.59699999999995</v>
      </c>
      <c r="O241" s="7">
        <f t="shared" si="411"/>
        <v>182.13500000000013</v>
      </c>
      <c r="P241" s="7">
        <f t="shared" si="411"/>
        <v>59.157000000000359</v>
      </c>
      <c r="Q241" s="7">
        <f t="shared" si="411"/>
        <v>277.85800000000046</v>
      </c>
      <c r="R241" s="7">
        <f t="shared" si="411"/>
        <v>377.48799999999994</v>
      </c>
      <c r="S241" s="7">
        <f t="shared" si="411"/>
        <v>413.83500000000123</v>
      </c>
      <c r="T241" s="7">
        <f t="shared" si="411"/>
        <v>434.38899999999967</v>
      </c>
      <c r="U241" s="7">
        <f t="shared" si="411"/>
        <v>492.63300000000095</v>
      </c>
      <c r="V241" s="7">
        <f t="shared" si="411"/>
        <v>597.36200000000031</v>
      </c>
      <c r="W241" s="7">
        <f t="shared" si="411"/>
        <v>623.46699999999953</v>
      </c>
      <c r="X241" s="7">
        <f t="shared" si="411"/>
        <v>626.99599999999941</v>
      </c>
      <c r="Y241" s="7">
        <f t="shared" si="411"/>
        <v>664.12199999999939</v>
      </c>
      <c r="Z241" s="7">
        <f t="shared" si="411"/>
        <v>842.40400000000022</v>
      </c>
      <c r="AA241" s="7">
        <f>+AA230</f>
        <v>888.32999999999936</v>
      </c>
      <c r="AB241" s="7">
        <f>+AB230</f>
        <v>746.8589999999989</v>
      </c>
      <c r="AC241" s="93">
        <f t="shared" ref="AC241:AL241" ca="1" si="412">+AC230</f>
        <v>941.1815427853096</v>
      </c>
      <c r="AD241" s="7">
        <f t="shared" ca="1" si="412"/>
        <v>1059.8785935503033</v>
      </c>
      <c r="AE241" s="7">
        <f t="shared" ca="1" si="412"/>
        <v>1154.409446796476</v>
      </c>
      <c r="AF241" s="7">
        <f t="shared" ca="1" si="412"/>
        <v>1277.9247048408768</v>
      </c>
      <c r="AG241" s="7">
        <f t="shared" ca="1" si="412"/>
        <v>1409.9343550327362</v>
      </c>
      <c r="AH241" s="7">
        <f t="shared" ca="1" si="412"/>
        <v>1540.8211247857746</v>
      </c>
      <c r="AI241" s="7">
        <f t="shared" ca="1" si="412"/>
        <v>1674.8194515666733</v>
      </c>
      <c r="AJ241" s="7">
        <f t="shared" ca="1" si="412"/>
        <v>1832.696091411844</v>
      </c>
      <c r="AK241" s="7">
        <f t="shared" ca="1" si="412"/>
        <v>2001.9665890514648</v>
      </c>
      <c r="AL241" s="7">
        <f t="shared" ca="1" si="412"/>
        <v>2177.2219841156079</v>
      </c>
      <c r="AM241" s="7">
        <f ca="1">+AM230</f>
        <v>2375.4040923709981</v>
      </c>
      <c r="AN241" s="7"/>
    </row>
    <row r="242" spans="1:49">
      <c r="D242" s="71" t="s">
        <v>7</v>
      </c>
      <c r="G242" s="7"/>
      <c r="H242" s="7"/>
      <c r="I242" s="76"/>
      <c r="J242" s="76"/>
      <c r="K242" s="76"/>
      <c r="L242" s="7">
        <f t="shared" ref="L242:Z242" si="413">-L213</f>
        <v>20.145</v>
      </c>
      <c r="M242" s="7">
        <f t="shared" si="413"/>
        <v>26.692</v>
      </c>
      <c r="N242" s="7">
        <f t="shared" si="413"/>
        <v>34.551000000000002</v>
      </c>
      <c r="O242" s="7">
        <f t="shared" si="413"/>
        <v>46.615000000000002</v>
      </c>
      <c r="P242" s="7">
        <f t="shared" si="413"/>
        <v>54.741</v>
      </c>
      <c r="Q242" s="7">
        <f t="shared" si="413"/>
        <v>75.227999999999994</v>
      </c>
      <c r="R242" s="7">
        <f t="shared" si="413"/>
        <v>76.320999999999998</v>
      </c>
      <c r="S242" s="7">
        <f t="shared" si="413"/>
        <v>82.811999999999998</v>
      </c>
      <c r="T242" s="7">
        <f t="shared" si="413"/>
        <v>95.283000000000001</v>
      </c>
      <c r="U242" s="7">
        <f t="shared" si="413"/>
        <v>101.911</v>
      </c>
      <c r="V242" s="7">
        <f t="shared" si="413"/>
        <v>115.173</v>
      </c>
      <c r="W242" s="7">
        <f t="shared" si="413"/>
        <v>137.36000000000001</v>
      </c>
      <c r="X242" s="7">
        <f t="shared" si="413"/>
        <v>168.875</v>
      </c>
      <c r="Y242" s="7">
        <f t="shared" si="413"/>
        <v>179.94200000000001</v>
      </c>
      <c r="Z242" s="7">
        <f t="shared" si="413"/>
        <v>182.24700000000001</v>
      </c>
      <c r="AA242" s="7">
        <f>-AA213</f>
        <v>215.81100000000001</v>
      </c>
      <c r="AB242" s="7">
        <f>-AB213</f>
        <v>242.15600000000001</v>
      </c>
      <c r="AC242" s="93">
        <f t="shared" ref="AC242:AL242" si="414">-AC213</f>
        <v>219.85162308998301</v>
      </c>
      <c r="AD242" s="93">
        <f t="shared" ca="1" si="414"/>
        <v>236.47594385832471</v>
      </c>
      <c r="AE242" s="7">
        <f t="shared" ca="1" si="414"/>
        <v>253.44956688226421</v>
      </c>
      <c r="AF242" s="7">
        <f t="shared" ca="1" si="414"/>
        <v>273.22241927775059</v>
      </c>
      <c r="AG242" s="7">
        <f t="shared" ca="1" si="414"/>
        <v>293.89271648578779</v>
      </c>
      <c r="AH242" s="7">
        <f t="shared" ca="1" si="414"/>
        <v>315.2216583899293</v>
      </c>
      <c r="AI242" s="7">
        <f t="shared" ca="1" si="414"/>
        <v>337.41191332773639</v>
      </c>
      <c r="AJ242" s="7">
        <f t="shared" ca="1" si="414"/>
        <v>360.41867344504408</v>
      </c>
      <c r="AK242" s="7">
        <f t="shared" ca="1" si="414"/>
        <v>384.2763648189694</v>
      </c>
      <c r="AL242" s="7">
        <f t="shared" ca="1" si="414"/>
        <v>408.89659452839879</v>
      </c>
      <c r="AM242" s="7">
        <f ca="1">-AM213</f>
        <v>434.30259240128078</v>
      </c>
      <c r="AN242" s="7"/>
    </row>
    <row r="243" spans="1:49">
      <c r="D243" s="71" t="s">
        <v>237</v>
      </c>
      <c r="G243" s="7"/>
      <c r="H243" s="7"/>
      <c r="I243" s="76"/>
      <c r="J243" s="76"/>
      <c r="K243" s="76"/>
      <c r="L243" s="7">
        <f t="shared" ref="L243:Z243" si="415">-L214</f>
        <v>0</v>
      </c>
      <c r="M243" s="7">
        <f t="shared" si="415"/>
        <v>0</v>
      </c>
      <c r="N243" s="7">
        <f t="shared" si="415"/>
        <v>0</v>
      </c>
      <c r="O243" s="7">
        <f t="shared" si="415"/>
        <v>0</v>
      </c>
      <c r="P243" s="7">
        <f t="shared" si="415"/>
        <v>0</v>
      </c>
      <c r="Q243" s="7">
        <f t="shared" si="415"/>
        <v>0</v>
      </c>
      <c r="R243" s="7">
        <f t="shared" si="415"/>
        <v>0</v>
      </c>
      <c r="S243" s="7">
        <f t="shared" si="415"/>
        <v>0</v>
      </c>
      <c r="T243" s="7">
        <f t="shared" si="415"/>
        <v>0</v>
      </c>
      <c r="U243" s="7">
        <f t="shared" si="415"/>
        <v>0</v>
      </c>
      <c r="V243" s="7">
        <f t="shared" si="415"/>
        <v>0</v>
      </c>
      <c r="W243" s="7">
        <f t="shared" si="415"/>
        <v>0</v>
      </c>
      <c r="X243" s="7">
        <f t="shared" si="415"/>
        <v>0</v>
      </c>
      <c r="Y243" s="7">
        <f t="shared" si="415"/>
        <v>0</v>
      </c>
      <c r="Z243" s="7">
        <f t="shared" si="415"/>
        <v>0</v>
      </c>
      <c r="AA243" s="7">
        <f>-AA214</f>
        <v>0</v>
      </c>
      <c r="AB243" s="7">
        <f>-AB214</f>
        <v>0</v>
      </c>
      <c r="AC243" s="93">
        <f t="shared" ref="AC243:AL243" si="416">-AC214</f>
        <v>0</v>
      </c>
      <c r="AD243" s="93">
        <f t="shared" si="416"/>
        <v>0</v>
      </c>
      <c r="AE243" s="7">
        <f t="shared" si="416"/>
        <v>0</v>
      </c>
      <c r="AF243" s="7">
        <f t="shared" si="416"/>
        <v>0</v>
      </c>
      <c r="AG243" s="7">
        <f t="shared" si="416"/>
        <v>0</v>
      </c>
      <c r="AH243" s="7">
        <f t="shared" si="416"/>
        <v>0</v>
      </c>
      <c r="AI243" s="7">
        <f t="shared" si="416"/>
        <v>0</v>
      </c>
      <c r="AJ243" s="7">
        <f t="shared" si="416"/>
        <v>0</v>
      </c>
      <c r="AK243" s="7">
        <f t="shared" si="416"/>
        <v>0</v>
      </c>
      <c r="AL243" s="7">
        <f t="shared" si="416"/>
        <v>0</v>
      </c>
      <c r="AM243" s="7">
        <f>-AM214</f>
        <v>0</v>
      </c>
      <c r="AN243" s="7"/>
    </row>
    <row r="244" spans="1:49">
      <c r="A244" s="125" t="s">
        <v>128</v>
      </c>
      <c r="D244" s="71" t="s">
        <v>128</v>
      </c>
      <c r="G244" s="7"/>
      <c r="H244" s="7"/>
      <c r="I244" s="81"/>
      <c r="J244" s="81"/>
      <c r="K244" s="81"/>
      <c r="L244" s="7">
        <f t="shared" ref="L244:X244" si="417">-L224</f>
        <v>-1.1839999999999999</v>
      </c>
      <c r="M244" s="7">
        <f t="shared" si="417"/>
        <v>-19.088000000000001</v>
      </c>
      <c r="N244" s="7">
        <f t="shared" si="417"/>
        <v>-14.169</v>
      </c>
      <c r="O244" s="7">
        <f t="shared" si="417"/>
        <v>-24.405000000000001</v>
      </c>
      <c r="P244" s="7">
        <f t="shared" si="417"/>
        <v>-41.502000000000002</v>
      </c>
      <c r="Q244" s="7">
        <f t="shared" si="417"/>
        <v>27.541</v>
      </c>
      <c r="R244" s="7">
        <f t="shared" si="417"/>
        <v>17.492999999999999</v>
      </c>
      <c r="S244" s="7">
        <f t="shared" si="417"/>
        <v>-0.872</v>
      </c>
      <c r="T244" s="7">
        <f t="shared" si="417"/>
        <v>3.8580000000000001</v>
      </c>
      <c r="U244" s="7">
        <f t="shared" si="417"/>
        <v>-17.184999999999999</v>
      </c>
      <c r="V244" s="7">
        <f t="shared" si="417"/>
        <v>-4.2990000000000004</v>
      </c>
      <c r="W244" s="7">
        <f t="shared" si="417"/>
        <v>17.236999999999998</v>
      </c>
      <c r="X244" s="7">
        <f t="shared" si="417"/>
        <v>2.3239999999999998</v>
      </c>
      <c r="Y244" s="7">
        <f>-Y224</f>
        <v>81.007000000000005</v>
      </c>
      <c r="Z244" s="7">
        <f>-Z224</f>
        <v>2.2999999999999998</v>
      </c>
      <c r="AA244" s="7">
        <f>-AA224</f>
        <v>-1.1020000000000001</v>
      </c>
      <c r="AB244" s="7">
        <f>-AB224</f>
        <v>-35.786999999999999</v>
      </c>
      <c r="AC244" s="93">
        <f ca="1">-AC224</f>
        <v>0</v>
      </c>
      <c r="AD244" s="93">
        <f t="shared" ref="AD244:AL244" ca="1" si="418">-AD224</f>
        <v>0</v>
      </c>
      <c r="AE244" s="7">
        <f t="shared" ca="1" si="418"/>
        <v>0</v>
      </c>
      <c r="AF244" s="7">
        <f t="shared" ca="1" si="418"/>
        <v>0</v>
      </c>
      <c r="AG244" s="7">
        <f t="shared" ca="1" si="418"/>
        <v>0</v>
      </c>
      <c r="AH244" s="7">
        <f t="shared" ca="1" si="418"/>
        <v>0</v>
      </c>
      <c r="AI244" s="7">
        <f t="shared" ca="1" si="418"/>
        <v>0</v>
      </c>
      <c r="AJ244" s="7">
        <f t="shared" ca="1" si="418"/>
        <v>0</v>
      </c>
      <c r="AK244" s="7">
        <f t="shared" ca="1" si="418"/>
        <v>0</v>
      </c>
      <c r="AL244" s="7">
        <f t="shared" ca="1" si="418"/>
        <v>0</v>
      </c>
      <c r="AM244" s="7">
        <f ca="1">-AM224</f>
        <v>0</v>
      </c>
      <c r="AN244" s="7"/>
    </row>
    <row r="245" spans="1:49">
      <c r="D245" s="71" t="s">
        <v>129</v>
      </c>
      <c r="G245" s="7"/>
      <c r="H245" s="7"/>
      <c r="I245" s="81"/>
      <c r="J245" s="81"/>
      <c r="K245" s="81"/>
      <c r="L245" s="81">
        <v>0</v>
      </c>
      <c r="M245" s="81">
        <v>21.632000000000001</v>
      </c>
      <c r="N245" s="81">
        <v>31.826000000000001</v>
      </c>
      <c r="O245" s="81">
        <v>33.466999999999999</v>
      </c>
      <c r="P245" s="81">
        <v>35.436</v>
      </c>
      <c r="Q245" s="81">
        <v>37.857999999999997</v>
      </c>
      <c r="R245" s="81">
        <v>43.606000000000002</v>
      </c>
      <c r="S245" s="81">
        <v>48.088999999999999</v>
      </c>
      <c r="T245" s="81">
        <v>62.112000000000002</v>
      </c>
      <c r="U245" s="81">
        <v>66.48</v>
      </c>
      <c r="V245" s="81">
        <v>81.88</v>
      </c>
      <c r="W245" s="81">
        <v>51.076999999999998</v>
      </c>
      <c r="X245" s="81">
        <v>91.594999999999999</v>
      </c>
      <c r="Y245" s="81">
        <v>61.878999999999998</v>
      </c>
      <c r="Z245" s="81">
        <v>75.010000000000005</v>
      </c>
      <c r="AA245" s="81">
        <v>108.861</v>
      </c>
      <c r="AB245" s="81">
        <v>121.899</v>
      </c>
      <c r="AC245" s="190">
        <v>0</v>
      </c>
      <c r="AD245" s="190">
        <v>0</v>
      </c>
      <c r="AE245" s="81">
        <v>0</v>
      </c>
      <c r="AF245" s="81">
        <v>0</v>
      </c>
      <c r="AG245" s="81">
        <v>0</v>
      </c>
      <c r="AH245" s="81">
        <v>0</v>
      </c>
      <c r="AI245" s="81">
        <v>0</v>
      </c>
      <c r="AJ245" s="81">
        <v>0</v>
      </c>
      <c r="AK245" s="81">
        <v>0</v>
      </c>
      <c r="AL245" s="81">
        <v>0</v>
      </c>
      <c r="AM245" s="81">
        <v>0</v>
      </c>
      <c r="AN245" s="7"/>
    </row>
    <row r="246" spans="1:49">
      <c r="A246" s="125"/>
      <c r="B246" s="163"/>
      <c r="D246" s="71" t="s">
        <v>384</v>
      </c>
      <c r="G246" s="81"/>
      <c r="H246" s="81"/>
      <c r="I246" s="76"/>
      <c r="J246" s="76"/>
      <c r="K246" s="76"/>
      <c r="L246" s="76">
        <f t="shared" ref="L246:X246" si="419">+L247-SUM(L241:L245)</f>
        <v>-0.74499999999983402</v>
      </c>
      <c r="M246" s="76">
        <f t="shared" si="419"/>
        <v>-0.76399999999995316</v>
      </c>
      <c r="N246" s="76">
        <f t="shared" si="419"/>
        <v>3.9790000000000418</v>
      </c>
      <c r="O246" s="76">
        <f t="shared" si="419"/>
        <v>1.293999999999869</v>
      </c>
      <c r="P246" s="76">
        <f t="shared" si="419"/>
        <v>10.783999999999679</v>
      </c>
      <c r="Q246" s="76">
        <f t="shared" si="419"/>
        <v>2.4129999999995562</v>
      </c>
      <c r="R246" s="76">
        <f t="shared" si="419"/>
        <v>28.899000000000001</v>
      </c>
      <c r="S246" s="76">
        <f t="shared" si="419"/>
        <v>62.055999999998903</v>
      </c>
      <c r="T246" s="76">
        <f t="shared" si="419"/>
        <v>89.675000000000409</v>
      </c>
      <c r="U246" s="76">
        <f t="shared" si="419"/>
        <v>151.61799999999903</v>
      </c>
      <c r="V246" s="76">
        <f t="shared" si="419"/>
        <v>157.17799999999966</v>
      </c>
      <c r="W246" s="76">
        <f t="shared" si="419"/>
        <v>191.41400000000044</v>
      </c>
      <c r="X246" s="76">
        <f t="shared" si="419"/>
        <v>218.86100000000044</v>
      </c>
      <c r="Y246" s="76">
        <f>+Y247-SUM(Y241:Y245)</f>
        <v>167.00834620000057</v>
      </c>
      <c r="Z246" s="76">
        <f>+Z247-SUM(Z241:Z245)</f>
        <v>220.61999999999989</v>
      </c>
      <c r="AA246" s="76">
        <f>+AA247-SUM(AA241:AA245)</f>
        <v>278.57700000000068</v>
      </c>
      <c r="AB246" s="76">
        <f>+AB247-SUM(AB241:AB245)</f>
        <v>231.58900000000085</v>
      </c>
      <c r="AC246" s="277">
        <f>-AC180</f>
        <v>170</v>
      </c>
      <c r="AD246" s="277">
        <f t="shared" ref="AD246:AM246" ca="1" si="420">-AD180</f>
        <v>195.10927920557234</v>
      </c>
      <c r="AE246" s="70">
        <f t="shared" ca="1" si="420"/>
        <v>220.20342706868811</v>
      </c>
      <c r="AF246" s="70">
        <f t="shared" ca="1" si="420"/>
        <v>238.53281005310694</v>
      </c>
      <c r="AG246" s="70">
        <f t="shared" ca="1" si="420"/>
        <v>258.49132060282693</v>
      </c>
      <c r="AH246" s="70">
        <f t="shared" ca="1" si="420"/>
        <v>280.17222565707607</v>
      </c>
      <c r="AI246" s="70">
        <f t="shared" ca="1" si="420"/>
        <v>303.64989258157237</v>
      </c>
      <c r="AJ246" s="70">
        <f t="shared" ca="1" si="420"/>
        <v>329.01732402098844</v>
      </c>
      <c r="AK246" s="70">
        <f t="shared" ca="1" si="420"/>
        <v>356.34994722994099</v>
      </c>
      <c r="AL246" s="70">
        <f t="shared" ca="1" si="420"/>
        <v>385.74376596132561</v>
      </c>
      <c r="AM246" s="70">
        <f t="shared" ca="1" si="420"/>
        <v>417.96059182312655</v>
      </c>
      <c r="AN246" s="7"/>
    </row>
    <row r="247" spans="1:49" s="3" customFormat="1">
      <c r="A247" s="125"/>
      <c r="B247" s="163"/>
      <c r="D247" s="2" t="s">
        <v>222</v>
      </c>
      <c r="E247" s="2"/>
      <c r="F247" s="2"/>
      <c r="G247" s="8"/>
      <c r="H247" s="8"/>
      <c r="I247" s="8"/>
      <c r="J247" s="8"/>
      <c r="K247" s="8"/>
      <c r="L247" s="8">
        <f t="shared" ref="L247:Z247" si="421">+L250-L249-L248</f>
        <v>130.511</v>
      </c>
      <c r="M247" s="8">
        <f t="shared" si="421"/>
        <v>162.69200000000001</v>
      </c>
      <c r="N247" s="8">
        <f t="shared" si="421"/>
        <v>254.78399999999999</v>
      </c>
      <c r="O247" s="8">
        <f t="shared" si="421"/>
        <v>239.10599999999999</v>
      </c>
      <c r="P247" s="8">
        <f t="shared" si="421"/>
        <v>118.61600000000004</v>
      </c>
      <c r="Q247" s="8">
        <f t="shared" si="421"/>
        <v>420.89800000000002</v>
      </c>
      <c r="R247" s="8">
        <f t="shared" si="421"/>
        <v>543.80700000000002</v>
      </c>
      <c r="S247" s="8">
        <f t="shared" si="421"/>
        <v>605.92000000000007</v>
      </c>
      <c r="T247" s="8">
        <f t="shared" si="421"/>
        <v>685.31700000000001</v>
      </c>
      <c r="U247" s="8">
        <f t="shared" si="421"/>
        <v>795.45700000000011</v>
      </c>
      <c r="V247" s="8">
        <f t="shared" si="421"/>
        <v>947.29399999999998</v>
      </c>
      <c r="W247" s="8">
        <f t="shared" si="421"/>
        <v>1020.5549999999999</v>
      </c>
      <c r="X247" s="8">
        <f t="shared" si="421"/>
        <v>1108.6509999999998</v>
      </c>
      <c r="Y247" s="8">
        <f t="shared" si="421"/>
        <v>1153.9583462000001</v>
      </c>
      <c r="Z247" s="8">
        <f t="shared" si="421"/>
        <v>1322.5810000000001</v>
      </c>
      <c r="AA247" s="8">
        <f>+AA250-AA249-AA248</f>
        <v>1490.4770000000001</v>
      </c>
      <c r="AB247" s="8">
        <f>+AB250-AB249-AB248</f>
        <v>1306.7159999999999</v>
      </c>
      <c r="AC247" s="114">
        <f ca="1">SUM(AC241:AC246)</f>
        <v>1331.0331658752925</v>
      </c>
      <c r="AD247" s="114">
        <f t="shared" ref="AD247:AL247" ca="1" si="422">SUM(AD241:AD246)</f>
        <v>1491.4638166142004</v>
      </c>
      <c r="AE247" s="106">
        <f t="shared" ca="1" si="422"/>
        <v>1628.0624407474284</v>
      </c>
      <c r="AF247" s="106">
        <f t="shared" ca="1" si="422"/>
        <v>1789.6799341717342</v>
      </c>
      <c r="AG247" s="106">
        <f t="shared" ca="1" si="422"/>
        <v>1962.3183921213508</v>
      </c>
      <c r="AH247" s="106">
        <f t="shared" ca="1" si="422"/>
        <v>2136.2150088327799</v>
      </c>
      <c r="AI247" s="106">
        <f t="shared" ca="1" si="422"/>
        <v>2315.8812574759818</v>
      </c>
      <c r="AJ247" s="106">
        <f t="shared" ca="1" si="422"/>
        <v>2522.1320888778764</v>
      </c>
      <c r="AK247" s="106">
        <f t="shared" ca="1" si="422"/>
        <v>2742.592901100375</v>
      </c>
      <c r="AL247" s="106">
        <f t="shared" ca="1" si="422"/>
        <v>2971.8623446053325</v>
      </c>
      <c r="AM247" s="106">
        <f ca="1">SUM(AM241:AM246)</f>
        <v>3227.6672765954054</v>
      </c>
      <c r="AN247" s="65"/>
    </row>
    <row r="248" spans="1:49">
      <c r="A248" s="344"/>
      <c r="C248" s="36"/>
      <c r="D248" s="164" t="s">
        <v>395</v>
      </c>
      <c r="E248" s="164"/>
      <c r="G248" s="81"/>
      <c r="H248" s="81"/>
      <c r="I248" s="81"/>
      <c r="J248" s="81"/>
      <c r="K248" s="81"/>
      <c r="L248" s="81">
        <v>0</v>
      </c>
      <c r="M248" s="81">
        <v>0</v>
      </c>
      <c r="N248" s="81">
        <v>0</v>
      </c>
      <c r="O248" s="81">
        <v>0</v>
      </c>
      <c r="P248" s="81">
        <v>0</v>
      </c>
      <c r="Q248" s="81">
        <v>0</v>
      </c>
      <c r="R248" s="81">
        <v>-304.72899999999998</v>
      </c>
      <c r="S248" s="81">
        <v>-675.71100000000001</v>
      </c>
      <c r="T248" s="81">
        <v>-992.23900000000003</v>
      </c>
      <c r="U248" s="81">
        <v>-1324.1420000000001</v>
      </c>
      <c r="V248" s="81">
        <v>-1369.999</v>
      </c>
      <c r="W248" s="81">
        <v>-1202.587</v>
      </c>
      <c r="X248" s="81">
        <v>-1209.7819999999999</v>
      </c>
      <c r="Y248" s="81">
        <f>-1077.219</f>
        <v>-1077.2190000000001</v>
      </c>
      <c r="Z248" s="81">
        <f>-1046.631</f>
        <v>-1046.6310000000001</v>
      </c>
      <c r="AA248" s="81">
        <f>-1308.919</f>
        <v>-1308.9190000000001</v>
      </c>
      <c r="AB248" s="81">
        <v>-300.83800000000002</v>
      </c>
      <c r="AC248" s="92">
        <f ca="1">-((AC149-AC151)-(AB149-AB151)-AC180)</f>
        <v>-1506.3692507883534</v>
      </c>
      <c r="AD248" s="92">
        <f t="shared" ref="AD248:AM248" ca="1" si="423">-((AD149-AD151)-(AC149-AC151)-AD180)</f>
        <v>-1298.863306884331</v>
      </c>
      <c r="AE248" s="76">
        <f t="shared" ca="1" si="423"/>
        <v>-1426.7478705785988</v>
      </c>
      <c r="AF248" s="76">
        <f t="shared" ca="1" si="423"/>
        <v>-1559.1050720610065</v>
      </c>
      <c r="AG248" s="76">
        <f t="shared" ca="1" si="423"/>
        <v>-1693.9196323400447</v>
      </c>
      <c r="AH248" s="76">
        <f t="shared" ca="1" si="423"/>
        <v>-1834.4806718946716</v>
      </c>
      <c r="AI248" s="76">
        <f t="shared" ca="1" si="423"/>
        <v>-1980.8007006285882</v>
      </c>
      <c r="AJ248" s="76">
        <f t="shared" ca="1" si="423"/>
        <v>-2133.8740129714283</v>
      </c>
      <c r="AK248" s="76">
        <f t="shared" ca="1" si="423"/>
        <v>-2293.0561471775582</v>
      </c>
      <c r="AL248" s="76">
        <f t="shared" ca="1" si="423"/>
        <v>-2459.2246765149553</v>
      </c>
      <c r="AM248" s="76">
        <f t="shared" ca="1" si="423"/>
        <v>-2668.0453413303421</v>
      </c>
      <c r="AN248" s="7"/>
    </row>
    <row r="249" spans="1:49">
      <c r="A249" s="125" t="s">
        <v>131</v>
      </c>
      <c r="D249" s="71" t="s">
        <v>131</v>
      </c>
      <c r="G249" s="81"/>
      <c r="H249" s="81"/>
      <c r="I249" s="81"/>
      <c r="J249" s="81"/>
      <c r="K249" s="81"/>
      <c r="L249" s="81">
        <f>-3.809-3.371-1.975-110.506-4.358+1.042+35.876+2.326</f>
        <v>-84.775000000000006</v>
      </c>
      <c r="M249" s="81">
        <f>-0.454+18.013-10.345-93.133+1.797-5.975+35.133+9.785</f>
        <v>-45.178999999999988</v>
      </c>
      <c r="N249" s="81">
        <f>5.208-2.023-43.994-166.416-3.857-3.924+86.633+10.389</f>
        <v>-117.98399999999999</v>
      </c>
      <c r="O249" s="81">
        <f>-1.815+1.178-68.459-139.661-4.148+1.36+14.561+37.398</f>
        <v>-159.58599999999998</v>
      </c>
      <c r="P249" s="81">
        <f>-2.648-4.764-77.501+272.62+9.09+0.647-40.276-11.193</f>
        <v>145.97499999999997</v>
      </c>
      <c r="Q249" s="81">
        <f>-23.558-20.83-204.115-139.976+3.095+0.413+33.741-10.146</f>
        <v>-361.37600000000003</v>
      </c>
      <c r="R249" s="81">
        <f>-40.538+43.746-206.344-27.403-7.173-8.802+0.678</f>
        <v>-245.83599999999998</v>
      </c>
      <c r="S249" s="81">
        <f>33.163-43.115+15.919-6.986+43.138-34.492</f>
        <v>7.6269999999999953</v>
      </c>
      <c r="T249" s="81">
        <f>-5.527-425.221-3.252-1.722-0.575-35.222</f>
        <v>-471.51899999999995</v>
      </c>
      <c r="U249" s="81">
        <f>12.038-123.611-3.019-6.754+117.405-80.537</f>
        <v>-84.478000000000023</v>
      </c>
      <c r="V249" s="81">
        <f>-57.767-445.45-16.947+0.825+51.96-78.046</f>
        <v>-545.42499999999995</v>
      </c>
      <c r="W249" s="81">
        <f>5.519+154.845+15.229-0.16-23.051-87.107</f>
        <v>65.275000000000034</v>
      </c>
      <c r="X249" s="81">
        <f>-20.217-328.534-2.781+0.143+74.579-77.37</f>
        <v>-354.18</v>
      </c>
      <c r="Y249" s="81">
        <f>19.067-130.1313462-2.361+38.286-82.15</f>
        <v>-157.28934620000001</v>
      </c>
      <c r="Z249" s="81">
        <f>-6.529-128.761+32.89-7.23+86.36-89.709</f>
        <v>-112.979</v>
      </c>
      <c r="AA249" s="81">
        <f>-51.24-326.961-19.843+4.265+85.442-109.827</f>
        <v>-418.16400000000004</v>
      </c>
      <c r="AB249" s="81">
        <f>-43.507-323.318-0.05-12.862+106.788-65.169</f>
        <v>-338.11799999999999</v>
      </c>
      <c r="AC249" s="92">
        <f ca="1">-AC316</f>
        <v>-531.08042620870356</v>
      </c>
      <c r="AD249" s="92">
        <f t="shared" ref="AD249:AM249" ca="1" si="424">-AD316</f>
        <v>-250.29860453145056</v>
      </c>
      <c r="AE249" s="76">
        <f t="shared" ca="1" si="424"/>
        <v>-294.79589541234827</v>
      </c>
      <c r="AF249" s="76">
        <f t="shared" ca="1" si="424"/>
        <v>-324.64525982460827</v>
      </c>
      <c r="AG249" s="76">
        <f t="shared" ca="1" si="424"/>
        <v>-344.92634279326103</v>
      </c>
      <c r="AH249" s="76">
        <f t="shared" ca="1" si="424"/>
        <v>-368.41621697769278</v>
      </c>
      <c r="AI249" s="76">
        <f t="shared" ca="1" si="424"/>
        <v>-392.53221212333574</v>
      </c>
      <c r="AJ249" s="76">
        <f t="shared" ca="1" si="424"/>
        <v>-418.21644527367152</v>
      </c>
      <c r="AK249" s="76">
        <f t="shared" ca="1" si="424"/>
        <v>-444.08900934265876</v>
      </c>
      <c r="AL249" s="76">
        <f t="shared" ca="1" si="424"/>
        <v>-471.49282447410951</v>
      </c>
      <c r="AM249" s="76">
        <f t="shared" ca="1" si="424"/>
        <v>-533.22184770081913</v>
      </c>
      <c r="AN249" s="7"/>
      <c r="AW249" s="3"/>
    </row>
    <row r="250" spans="1:49" s="3" customFormat="1">
      <c r="A250" s="125" t="s">
        <v>132</v>
      </c>
      <c r="B250" s="163"/>
      <c r="D250" s="2" t="s">
        <v>132</v>
      </c>
      <c r="E250" s="2"/>
      <c r="F250" s="2"/>
      <c r="G250" s="8"/>
      <c r="H250" s="8"/>
      <c r="I250" s="8"/>
      <c r="J250" s="8"/>
      <c r="K250" s="8"/>
      <c r="L250" s="192">
        <v>45.735999999999997</v>
      </c>
      <c r="M250" s="192">
        <v>117.51300000000001</v>
      </c>
      <c r="N250" s="192">
        <v>136.80000000000001</v>
      </c>
      <c r="O250" s="192">
        <v>79.52</v>
      </c>
      <c r="P250" s="192">
        <v>264.59100000000001</v>
      </c>
      <c r="Q250" s="192">
        <v>59.521999999999998</v>
      </c>
      <c r="R250" s="192">
        <v>-6.758</v>
      </c>
      <c r="S250" s="192">
        <v>-62.164000000000001</v>
      </c>
      <c r="T250" s="192">
        <v>-778.44100000000003</v>
      </c>
      <c r="U250" s="192">
        <v>-613.16300000000001</v>
      </c>
      <c r="V250" s="192">
        <v>-968.13</v>
      </c>
      <c r="W250" s="192">
        <v>-116.75700000000001</v>
      </c>
      <c r="X250" s="192">
        <v>-455.31099999999998</v>
      </c>
      <c r="Y250" s="192">
        <v>-80.55</v>
      </c>
      <c r="Z250" s="192">
        <v>162.971</v>
      </c>
      <c r="AA250" s="192">
        <v>-236.60599999999999</v>
      </c>
      <c r="AB250" s="192">
        <v>667.76</v>
      </c>
      <c r="AC250" s="113">
        <f ca="1">SUM(AC247:AC249)</f>
        <v>-706.41651112176442</v>
      </c>
      <c r="AD250" s="113">
        <f t="shared" ref="AD250:AL250" ca="1" si="425">SUM(AD247:AD249)</f>
        <v>-57.698094801581192</v>
      </c>
      <c r="AE250" s="8">
        <f t="shared" ca="1" si="425"/>
        <v>-93.481325243518768</v>
      </c>
      <c r="AF250" s="8">
        <f t="shared" ca="1" si="425"/>
        <v>-94.070397713880539</v>
      </c>
      <c r="AG250" s="8">
        <f t="shared" ca="1" si="425"/>
        <v>-76.527583011954903</v>
      </c>
      <c r="AH250" s="8">
        <f t="shared" ca="1" si="425"/>
        <v>-66.681880039584485</v>
      </c>
      <c r="AI250" s="8">
        <f t="shared" ca="1" si="425"/>
        <v>-57.45165527594213</v>
      </c>
      <c r="AJ250" s="8">
        <f t="shared" ca="1" si="425"/>
        <v>-29.95836936722344</v>
      </c>
      <c r="AK250" s="8">
        <f t="shared" ca="1" si="425"/>
        <v>5.447744580158087</v>
      </c>
      <c r="AL250" s="8">
        <f t="shared" ca="1" si="425"/>
        <v>41.144843616267735</v>
      </c>
      <c r="AM250" s="8">
        <f ca="1">SUM(AM247:AM249)</f>
        <v>26.400087564244131</v>
      </c>
      <c r="AN250" s="65"/>
      <c r="AO250" s="77"/>
      <c r="AP250" s="77"/>
      <c r="AQ250" s="77"/>
    </row>
    <row r="251" spans="1:49" s="5" customFormat="1">
      <c r="A251" s="124"/>
      <c r="B251" s="166"/>
      <c r="D251" s="72" t="s">
        <v>616</v>
      </c>
      <c r="E251" s="72"/>
      <c r="F251" s="72"/>
      <c r="G251" s="73"/>
      <c r="H251" s="73"/>
      <c r="I251" s="73"/>
      <c r="J251" s="73"/>
      <c r="K251" s="73"/>
      <c r="L251" s="191">
        <f>(L250-L248-L246)/L232</f>
        <v>0.21842575187969845</v>
      </c>
      <c r="M251" s="191">
        <f t="shared" ref="M251:AM251" si="426">(M250-M248-M246)/M232</f>
        <v>0.55569284835045041</v>
      </c>
      <c r="N251" s="191">
        <f t="shared" si="426"/>
        <v>0.61320867959372105</v>
      </c>
      <c r="O251" s="191">
        <f t="shared" si="426"/>
        <v>0.35557272727272787</v>
      </c>
      <c r="P251" s="191">
        <f t="shared" si="426"/>
        <v>1.1568231540565193</v>
      </c>
      <c r="Q251" s="191">
        <f t="shared" si="426"/>
        <v>0.25701620162016403</v>
      </c>
      <c r="R251" s="191">
        <f t="shared" si="426"/>
        <v>1.1822144112478032</v>
      </c>
      <c r="S251" s="191">
        <f t="shared" si="426"/>
        <v>2.3902939047594329</v>
      </c>
      <c r="T251" s="191">
        <f t="shared" si="426"/>
        <v>0.53542142065282383</v>
      </c>
      <c r="U251" s="191">
        <f t="shared" si="426"/>
        <v>2.4578221667604092</v>
      </c>
      <c r="V251" s="191">
        <f t="shared" si="426"/>
        <v>1.1188892089752225</v>
      </c>
      <c r="W251" s="191">
        <f t="shared" si="426"/>
        <v>4.3515422788751561</v>
      </c>
      <c r="X251" s="191">
        <f t="shared" si="426"/>
        <v>2.7865151002783319</v>
      </c>
      <c r="Y251" s="191">
        <f t="shared" si="426"/>
        <v>4.4975370184853878</v>
      </c>
      <c r="Z251" s="191">
        <f t="shared" si="426"/>
        <v>5.6229219258147429</v>
      </c>
      <c r="AA251" s="191">
        <f t="shared" si="426"/>
        <v>4.7580386044838718</v>
      </c>
      <c r="AB251" s="191">
        <f t="shared" si="426"/>
        <v>4.4631236639557148</v>
      </c>
      <c r="AC251" s="191">
        <f t="shared" ca="1" si="426"/>
        <v>3.8520272967909497</v>
      </c>
      <c r="AD251" s="191">
        <f t="shared" ca="1" si="426"/>
        <v>6.626917856016874</v>
      </c>
      <c r="AE251" s="191">
        <f t="shared" ca="1" si="426"/>
        <v>7.3118763062964707</v>
      </c>
      <c r="AF251" s="191">
        <f t="shared" ca="1" si="426"/>
        <v>8.3570869271601129</v>
      </c>
      <c r="AG251" s="191">
        <f t="shared" ca="1" si="426"/>
        <v>9.6014962432459203</v>
      </c>
      <c r="AH251" s="191">
        <f t="shared" ca="1" si="426"/>
        <v>10.90067184122397</v>
      </c>
      <c r="AI251" s="191">
        <f t="shared" ca="1" si="426"/>
        <v>12.31221725880917</v>
      </c>
      <c r="AJ251" s="191">
        <f t="shared" ca="1" si="426"/>
        <v>13.997416807254655</v>
      </c>
      <c r="AK251" s="191">
        <f t="shared" ca="1" si="426"/>
        <v>15.892516460527762</v>
      </c>
      <c r="AL251" s="191">
        <f t="shared" ca="1" si="426"/>
        <v>17.96040101182226</v>
      </c>
      <c r="AM251" s="191">
        <f t="shared" ca="1" si="426"/>
        <v>20.072978177432169</v>
      </c>
      <c r="AN251" s="74"/>
      <c r="AO251" s="77">
        <f ca="1">(AK251/AA251)^(1/10)-1</f>
        <v>0.12817499788594455</v>
      </c>
      <c r="AP251" s="77">
        <f>(AA251/L251)^(1/15)-1</f>
        <v>0.22802801591924537</v>
      </c>
      <c r="AQ251" s="77"/>
      <c r="AW251" s="3"/>
    </row>
    <row r="252" spans="1:49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81"/>
      <c r="W252" s="81"/>
      <c r="X252" s="81"/>
      <c r="Y252" s="81"/>
      <c r="Z252" s="81"/>
      <c r="AA252" s="81"/>
      <c r="AB252" s="7"/>
      <c r="AC252" s="93"/>
      <c r="AD252" s="93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V252" s="5"/>
      <c r="AW252" s="3"/>
    </row>
    <row r="253" spans="1:49">
      <c r="A253" s="125" t="s">
        <v>133</v>
      </c>
      <c r="D253" t="s">
        <v>133</v>
      </c>
      <c r="G253" s="81"/>
      <c r="H253" s="81"/>
      <c r="I253" s="81"/>
      <c r="J253" s="81"/>
      <c r="K253" s="81"/>
      <c r="L253" s="81">
        <f>-230.08+88.999</f>
        <v>-141.08100000000002</v>
      </c>
      <c r="M253" s="81">
        <f>-194.433+78.34</f>
        <v>-116.09299999999999</v>
      </c>
      <c r="N253" s="81">
        <f>-191.76+4.569</f>
        <v>-187.191</v>
      </c>
      <c r="O253" s="81">
        <f>-253.106+1.089</f>
        <v>-252.017</v>
      </c>
      <c r="P253" s="81">
        <f>-185.7+34.341</f>
        <v>-151.35899999999998</v>
      </c>
      <c r="Q253" s="81">
        <f>-22.434+0.662</f>
        <v>-21.772000000000002</v>
      </c>
      <c r="R253" s="81">
        <f>-76.58+0.008</f>
        <v>-76.572000000000003</v>
      </c>
      <c r="S253" s="81">
        <v>-172.608</v>
      </c>
      <c r="T253" s="81">
        <v>-235.70699999999999</v>
      </c>
      <c r="U253" s="81">
        <f>-310.317+5.095</f>
        <v>-305.22199999999998</v>
      </c>
      <c r="V253" s="81">
        <f>-309.817+5.869</f>
        <v>-303.94799999999998</v>
      </c>
      <c r="W253" s="81">
        <f>-315.584+1.542</f>
        <v>-314.04200000000003</v>
      </c>
      <c r="X253" s="81">
        <f>-418.144+1.229</f>
        <v>-416.91500000000002</v>
      </c>
      <c r="Y253" s="81">
        <f>-296.816+0.097</f>
        <v>-296.71899999999999</v>
      </c>
      <c r="Z253" s="81">
        <f>-304.636+0.692</f>
        <v>-303.94400000000002</v>
      </c>
      <c r="AA253" s="81">
        <f>-331.896+0.003</f>
        <v>-331.89300000000003</v>
      </c>
      <c r="AB253" s="81">
        <f>-164.536+1.846</f>
        <v>-162.69</v>
      </c>
      <c r="AC253" s="92">
        <f ca="1">-AC398</f>
        <v>-357.52424343194411</v>
      </c>
      <c r="AD253" s="92">
        <f t="shared" ref="AD253:AM253" ca="1" si="427">-AD398</f>
        <v>-377.07053234203465</v>
      </c>
      <c r="AE253" s="92">
        <f t="shared" ca="1" si="427"/>
        <v>-427.32800111489212</v>
      </c>
      <c r="AF253" s="92">
        <f t="shared" ca="1" si="427"/>
        <v>-454.02574223943896</v>
      </c>
      <c r="AG253" s="92">
        <f t="shared" ca="1" si="427"/>
        <v>-477.94261652549289</v>
      </c>
      <c r="AH253" s="92">
        <f t="shared" ca="1" si="427"/>
        <v>-504.86566841030333</v>
      </c>
      <c r="AI253" s="92">
        <f t="shared" ca="1" si="427"/>
        <v>-531.57247800615835</v>
      </c>
      <c r="AJ253" s="92">
        <f t="shared" ca="1" si="427"/>
        <v>-559.07449037874505</v>
      </c>
      <c r="AK253" s="92">
        <f t="shared" ca="1" si="427"/>
        <v>-585.68856088177256</v>
      </c>
      <c r="AL253" s="92">
        <f t="shared" ca="1" si="427"/>
        <v>-612.82282913014296</v>
      </c>
      <c r="AM253" s="92">
        <f t="shared" ca="1" si="427"/>
        <v>-667.93020704285948</v>
      </c>
      <c r="AN253" s="7"/>
      <c r="AV253" s="5"/>
      <c r="AW253" s="3"/>
    </row>
    <row r="254" spans="1:49">
      <c r="A254" s="125" t="s">
        <v>134</v>
      </c>
      <c r="D254" t="s">
        <v>134</v>
      </c>
      <c r="G254" s="81"/>
      <c r="H254" s="81"/>
      <c r="I254" s="81"/>
      <c r="J254" s="81"/>
      <c r="K254" s="81"/>
      <c r="L254" s="81">
        <v>0</v>
      </c>
      <c r="M254" s="81">
        <v>0</v>
      </c>
      <c r="N254" s="81">
        <v>0</v>
      </c>
      <c r="O254" s="81">
        <v>0</v>
      </c>
      <c r="P254" s="81">
        <v>0</v>
      </c>
      <c r="Q254" s="81">
        <v>0</v>
      </c>
      <c r="R254" s="81">
        <v>0</v>
      </c>
      <c r="S254" s="81">
        <v>0</v>
      </c>
      <c r="T254" s="81">
        <v>0</v>
      </c>
      <c r="U254" s="81">
        <v>0</v>
      </c>
      <c r="V254" s="81">
        <v>0</v>
      </c>
      <c r="W254" s="81">
        <v>0</v>
      </c>
      <c r="X254" s="81">
        <v>0</v>
      </c>
      <c r="Y254" s="81">
        <v>0</v>
      </c>
      <c r="Z254" s="81">
        <v>0</v>
      </c>
      <c r="AA254" s="81">
        <v>0</v>
      </c>
      <c r="AB254" s="81">
        <v>29.911000000000001</v>
      </c>
      <c r="AC254" s="190">
        <f>-404+50</f>
        <v>-354</v>
      </c>
      <c r="AD254" s="81">
        <v>0</v>
      </c>
      <c r="AE254" s="81">
        <v>0</v>
      </c>
      <c r="AF254" s="81">
        <v>0</v>
      </c>
      <c r="AG254" s="81">
        <v>0</v>
      </c>
      <c r="AH254" s="81">
        <v>0</v>
      </c>
      <c r="AI254" s="81">
        <v>0</v>
      </c>
      <c r="AJ254" s="81">
        <v>0</v>
      </c>
      <c r="AK254" s="81">
        <v>0</v>
      </c>
      <c r="AL254" s="81">
        <v>0</v>
      </c>
      <c r="AM254" s="81">
        <v>0</v>
      </c>
      <c r="AN254" s="7"/>
      <c r="AV254" s="5"/>
      <c r="AW254" s="3"/>
    </row>
    <row r="255" spans="1:49">
      <c r="D255" t="s">
        <v>202</v>
      </c>
      <c r="G255" s="81"/>
      <c r="H255" s="81"/>
      <c r="I255" s="81"/>
      <c r="J255" s="81"/>
      <c r="K255" s="81"/>
      <c r="L255" s="81">
        <v>0</v>
      </c>
      <c r="M255" s="81">
        <v>0</v>
      </c>
      <c r="N255" s="81">
        <f>16.765+4.21-20.975</f>
        <v>0</v>
      </c>
      <c r="O255" s="81">
        <f>-19.565+21.665-7.1</f>
        <v>-5.0000000000000018</v>
      </c>
      <c r="P255" s="81">
        <v>-3.9870000000000001</v>
      </c>
      <c r="Q255" s="81">
        <f>-2.196+2.2</f>
        <v>4.0000000000000036E-3</v>
      </c>
      <c r="R255" s="81">
        <f>-12.631+1.556+11.434</f>
        <v>0.35899999999999999</v>
      </c>
      <c r="S255" s="81">
        <f>-0.678-2.638+0.052</f>
        <v>-3.2639999999999998</v>
      </c>
      <c r="T255" s="81">
        <f>-2.139-31.756+30.318</f>
        <v>-3.5770000000000017</v>
      </c>
      <c r="U255" s="81">
        <f>-3.661-2.051+0.466</f>
        <v>-5.2459999999999996</v>
      </c>
      <c r="V255" s="81">
        <f>-8.604-3.814+0.655</f>
        <v>-11.763</v>
      </c>
      <c r="W255" s="81">
        <f>-11.463+0.324</f>
        <v>-11.138999999999999</v>
      </c>
      <c r="X255" s="81">
        <f>-6.724+0.73</f>
        <v>-5.9939999999999998</v>
      </c>
      <c r="Y255" s="81">
        <f>-6.836+1.692</f>
        <v>-5.1440000000000001</v>
      </c>
      <c r="Z255" s="81">
        <f>-6.147+1.578</f>
        <v>-4.569</v>
      </c>
      <c r="AA255" s="81">
        <f>-59.05+1.579</f>
        <v>-57.470999999999997</v>
      </c>
      <c r="AB255" s="81">
        <f>-3.729+8.325</f>
        <v>4.5959999999999992</v>
      </c>
      <c r="AC255" s="190">
        <v>0</v>
      </c>
      <c r="AD255" s="81">
        <v>0</v>
      </c>
      <c r="AE255" s="81">
        <v>0</v>
      </c>
      <c r="AF255" s="81">
        <v>0</v>
      </c>
      <c r="AG255" s="81">
        <v>0</v>
      </c>
      <c r="AH255" s="81">
        <v>0</v>
      </c>
      <c r="AI255" s="81">
        <v>0</v>
      </c>
      <c r="AJ255" s="81">
        <v>0</v>
      </c>
      <c r="AK255" s="81">
        <v>0</v>
      </c>
      <c r="AL255" s="81">
        <v>0</v>
      </c>
      <c r="AM255" s="81">
        <v>0</v>
      </c>
      <c r="AN255" s="7"/>
      <c r="AV255" s="5"/>
      <c r="AW255" s="3"/>
    </row>
    <row r="256" spans="1:49">
      <c r="D256" t="s">
        <v>130</v>
      </c>
      <c r="G256" s="81"/>
      <c r="H256" s="81"/>
      <c r="I256" s="81"/>
      <c r="J256" s="81"/>
      <c r="K256" s="81"/>
      <c r="L256" s="81">
        <v>0</v>
      </c>
      <c r="M256" s="81">
        <v>0</v>
      </c>
      <c r="N256" s="81">
        <v>0</v>
      </c>
      <c r="O256" s="81">
        <v>0</v>
      </c>
      <c r="P256" s="81">
        <v>0</v>
      </c>
      <c r="Q256" s="81">
        <v>0.44700000000000001</v>
      </c>
      <c r="R256" s="81">
        <v>4.0010000000000003</v>
      </c>
      <c r="S256" s="81">
        <f>-43.262-12.364+12.096</f>
        <v>-43.53</v>
      </c>
      <c r="T256" s="81">
        <f>-19.973-13.385+17.368</f>
        <v>-15.989999999999998</v>
      </c>
      <c r="U256" s="81">
        <f>-35.012-10.403+19.202</f>
        <v>-26.212999999999997</v>
      </c>
      <c r="V256" s="81">
        <f>-34.823-16.556+6.346</f>
        <v>-45.033000000000001</v>
      </c>
      <c r="W256" s="81">
        <f>-49.707-12.264+8.357</f>
        <v>-53.614000000000004</v>
      </c>
      <c r="X256" s="81">
        <f>-36.524-17.39+11.25</f>
        <v>-42.664000000000001</v>
      </c>
      <c r="Y256" s="81">
        <v>0</v>
      </c>
      <c r="Z256" s="81">
        <v>0</v>
      </c>
      <c r="AA256" s="81">
        <v>0</v>
      </c>
      <c r="AB256" s="81">
        <v>0</v>
      </c>
      <c r="AC256" s="190">
        <v>0</v>
      </c>
      <c r="AD256" s="81">
        <v>0</v>
      </c>
      <c r="AE256" s="81">
        <v>0</v>
      </c>
      <c r="AF256" s="81">
        <v>0</v>
      </c>
      <c r="AG256" s="81">
        <v>0</v>
      </c>
      <c r="AH256" s="81">
        <v>0</v>
      </c>
      <c r="AI256" s="81">
        <v>0</v>
      </c>
      <c r="AJ256" s="81">
        <v>0</v>
      </c>
      <c r="AK256" s="81">
        <v>0</v>
      </c>
      <c r="AL256" s="81">
        <v>0</v>
      </c>
      <c r="AM256" s="81">
        <v>0</v>
      </c>
      <c r="AN256" s="7"/>
      <c r="AV256" s="5"/>
      <c r="AW256" s="3"/>
    </row>
    <row r="257" spans="1:49" s="3" customFormat="1">
      <c r="A257" s="125" t="s">
        <v>200</v>
      </c>
      <c r="B257" s="163"/>
      <c r="D257" s="2" t="s">
        <v>135</v>
      </c>
      <c r="E257" s="2"/>
      <c r="F257" s="2"/>
      <c r="G257" s="8"/>
      <c r="H257" s="8"/>
      <c r="I257" s="8"/>
      <c r="J257" s="8"/>
      <c r="K257" s="8"/>
      <c r="L257" s="8">
        <f t="shared" ref="L257:AC257" si="428">SUM(L253:L256)</f>
        <v>-141.08100000000002</v>
      </c>
      <c r="M257" s="8">
        <f t="shared" si="428"/>
        <v>-116.09299999999999</v>
      </c>
      <c r="N257" s="8">
        <f t="shared" si="428"/>
        <v>-187.191</v>
      </c>
      <c r="O257" s="8">
        <f t="shared" si="428"/>
        <v>-257.017</v>
      </c>
      <c r="P257" s="8">
        <f t="shared" si="428"/>
        <v>-155.34599999999998</v>
      </c>
      <c r="Q257" s="8">
        <f t="shared" si="428"/>
        <v>-21.321000000000002</v>
      </c>
      <c r="R257" s="8">
        <f t="shared" si="428"/>
        <v>-72.212000000000003</v>
      </c>
      <c r="S257" s="8">
        <f t="shared" si="428"/>
        <v>-219.40200000000002</v>
      </c>
      <c r="T257" s="8">
        <f t="shared" si="428"/>
        <v>-255.274</v>
      </c>
      <c r="U257" s="8">
        <f t="shared" si="428"/>
        <v>-336.68099999999998</v>
      </c>
      <c r="V257" s="8">
        <f t="shared" si="428"/>
        <v>-360.74399999999997</v>
      </c>
      <c r="W257" s="8">
        <f t="shared" si="428"/>
        <v>-378.79500000000007</v>
      </c>
      <c r="X257" s="8">
        <f t="shared" si="428"/>
        <v>-465.57299999999998</v>
      </c>
      <c r="Y257" s="8">
        <f t="shared" si="428"/>
        <v>-301.863</v>
      </c>
      <c r="Z257" s="8">
        <f t="shared" si="428"/>
        <v>-308.51300000000003</v>
      </c>
      <c r="AA257" s="8">
        <f t="shared" si="428"/>
        <v>-389.36400000000003</v>
      </c>
      <c r="AB257" s="8">
        <f t="shared" si="428"/>
        <v>-128.18299999999999</v>
      </c>
      <c r="AC257" s="113">
        <f t="shared" ca="1" si="428"/>
        <v>-711.52424343194411</v>
      </c>
      <c r="AD257" s="8">
        <f t="shared" ref="AD257:AL257" ca="1" si="429">SUM(AD253:AD256)</f>
        <v>-377.07053234203465</v>
      </c>
      <c r="AE257" s="8">
        <f t="shared" ca="1" si="429"/>
        <v>-427.32800111489212</v>
      </c>
      <c r="AF257" s="8">
        <f t="shared" ca="1" si="429"/>
        <v>-454.02574223943896</v>
      </c>
      <c r="AG257" s="8">
        <f t="shared" ca="1" si="429"/>
        <v>-477.94261652549289</v>
      </c>
      <c r="AH257" s="8">
        <f t="shared" ca="1" si="429"/>
        <v>-504.86566841030333</v>
      </c>
      <c r="AI257" s="8">
        <f t="shared" ca="1" si="429"/>
        <v>-531.57247800615835</v>
      </c>
      <c r="AJ257" s="8">
        <f t="shared" ca="1" si="429"/>
        <v>-559.07449037874505</v>
      </c>
      <c r="AK257" s="8">
        <f t="shared" ca="1" si="429"/>
        <v>-585.68856088177256</v>
      </c>
      <c r="AL257" s="8">
        <f t="shared" ca="1" si="429"/>
        <v>-612.82282913014296</v>
      </c>
      <c r="AM257" s="8">
        <f ca="1">SUM(AM253:AM256)</f>
        <v>-667.93020704285948</v>
      </c>
      <c r="AN257" s="65"/>
      <c r="AV257" s="5"/>
    </row>
    <row r="258" spans="1:49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93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V258" s="5"/>
      <c r="AW258" s="3"/>
    </row>
    <row r="259" spans="1:49">
      <c r="D259" t="s">
        <v>136</v>
      </c>
      <c r="G259" s="81"/>
      <c r="H259" s="81"/>
      <c r="I259" s="81"/>
      <c r="J259" s="81"/>
      <c r="K259" s="81"/>
      <c r="L259" s="81">
        <f>60.751-0.509</f>
        <v>60.241999999999997</v>
      </c>
      <c r="M259" s="81">
        <f>-67.734+701.3-643.364</f>
        <v>-9.7980000000001155</v>
      </c>
      <c r="N259" s="81">
        <f>2.827+1232.4-1244.762</f>
        <v>-9.5349999999998545</v>
      </c>
      <c r="O259" s="81">
        <f>17.727+972.3-841.119</f>
        <v>148.9079999999999</v>
      </c>
      <c r="P259" s="81">
        <f>-20.139+789.8-761.827</f>
        <v>7.8339999999999463</v>
      </c>
      <c r="Q259" s="81">
        <f>0.005+606.5-792.5</f>
        <v>-185.995</v>
      </c>
      <c r="R259" s="81">
        <f>0.119+243.3-364.9</f>
        <v>-121.48099999999997</v>
      </c>
      <c r="S259" s="81">
        <v>-5.8999999999999997E-2</v>
      </c>
      <c r="T259" s="81">
        <v>-0.58799999999999997</v>
      </c>
      <c r="U259" s="81">
        <v>0.22700000000000001</v>
      </c>
      <c r="V259" s="81">
        <f>0.203+985-675-1.19</f>
        <v>309.01299999999998</v>
      </c>
      <c r="W259" s="81">
        <f>-0.357+2057.1-1652.1-3.104</f>
        <v>401.53900000000004</v>
      </c>
      <c r="X259" s="81">
        <f>-0.366+2974.6-2734.6-17.118</f>
        <v>222.51600000000002</v>
      </c>
      <c r="Y259" s="81">
        <f>0.065+4203.15-4169.124-16.261</f>
        <v>17.829999999999441</v>
      </c>
      <c r="Z259" s="81">
        <f>1.002+4314.5-4155.718-17.063</f>
        <v>142.72100000000057</v>
      </c>
      <c r="AA259" s="81">
        <f>-1.089+6277.6-6199.793-20.102</f>
        <v>56.616000000000753</v>
      </c>
      <c r="AB259" s="81">
        <f>-0.04+1754.3-2217.305-18.296</f>
        <v>-481.34099999999984</v>
      </c>
      <c r="AC259" s="93">
        <f t="shared" ref="AC259:AM259" ca="1" si="430">+AC353-AB353-AC266+AC415-AC363</f>
        <v>277.62303007866575</v>
      </c>
      <c r="AD259" s="93">
        <f t="shared" ca="1" si="430"/>
        <v>192.80597446732725</v>
      </c>
      <c r="AE259" s="93">
        <f t="shared" ca="1" si="430"/>
        <v>161.46720531836905</v>
      </c>
      <c r="AF259" s="93">
        <f t="shared" ca="1" si="430"/>
        <v>221.84370486783484</v>
      </c>
      <c r="AG259" s="93">
        <f t="shared" ca="1" si="430"/>
        <v>252.75686049680502</v>
      </c>
      <c r="AH259" s="93">
        <f t="shared" ca="1" si="430"/>
        <v>266.44934988111464</v>
      </c>
      <c r="AI259" s="93">
        <f t="shared" ca="1" si="430"/>
        <v>288.23254168088698</v>
      </c>
      <c r="AJ259" s="93">
        <f t="shared" ca="1" si="430"/>
        <v>351.73670947090568</v>
      </c>
      <c r="AK259" s="93">
        <f t="shared" ca="1" si="430"/>
        <v>395.35823471193544</v>
      </c>
      <c r="AL259" s="93">
        <f t="shared" ca="1" si="430"/>
        <v>429.5259493084568</v>
      </c>
      <c r="AM259" s="93">
        <f t="shared" ca="1" si="430"/>
        <v>319.22485356789036</v>
      </c>
      <c r="AN259" s="7"/>
      <c r="AV259" s="5"/>
      <c r="AW259" s="3"/>
    </row>
    <row r="260" spans="1:49">
      <c r="D260" t="s">
        <v>385</v>
      </c>
      <c r="G260" s="81"/>
      <c r="H260" s="81"/>
      <c r="I260" s="81"/>
      <c r="J260" s="81"/>
      <c r="K260" s="81"/>
      <c r="L260" s="81">
        <v>0</v>
      </c>
      <c r="M260" s="81">
        <v>0</v>
      </c>
      <c r="N260" s="81">
        <v>0</v>
      </c>
      <c r="O260" s="81">
        <v>0</v>
      </c>
      <c r="P260" s="81">
        <v>0</v>
      </c>
      <c r="Q260" s="81">
        <v>0</v>
      </c>
      <c r="R260" s="81">
        <f>3348-3160.749</f>
        <v>187.2510000000002</v>
      </c>
      <c r="S260" s="81">
        <f>5130-4459.572</f>
        <v>670.42799999999988</v>
      </c>
      <c r="T260" s="81">
        <f>5851-4679.999</f>
        <v>1171.0010000000002</v>
      </c>
      <c r="U260" s="81">
        <f>6907-5513.646</f>
        <v>1393.3540000000003</v>
      </c>
      <c r="V260" s="81">
        <f>7783-6560.815</f>
        <v>1222.1850000000004</v>
      </c>
      <c r="W260" s="81">
        <f>9553.805-8496.684</f>
        <v>1057.121000000001</v>
      </c>
      <c r="X260" s="81">
        <f>9610.035-8395.36</f>
        <v>1214.6749999999993</v>
      </c>
      <c r="Y260" s="81">
        <f>10198.962-9296.773</f>
        <v>902.18900000000031</v>
      </c>
      <c r="Z260" s="81">
        <f>10892.502-10001.712</f>
        <v>890.79000000000087</v>
      </c>
      <c r="AA260" s="81">
        <f>11786.432-10708.564</f>
        <v>1077.8680000000004</v>
      </c>
      <c r="AB260" s="81">
        <f>-10654.011+10805.546</f>
        <v>151.53499999999985</v>
      </c>
      <c r="AC260" s="93">
        <f t="shared" ref="AC260:AM260" ca="1" si="431">+AC198-AB198</f>
        <v>1219.3065324439012</v>
      </c>
      <c r="AD260" s="93">
        <f t="shared" ca="1" si="431"/>
        <v>1109.5893688386004</v>
      </c>
      <c r="AE260" s="93">
        <f t="shared" ca="1" si="431"/>
        <v>1222.2489084600165</v>
      </c>
      <c r="AF260" s="93">
        <f t="shared" ca="1" si="431"/>
        <v>1337.8298262903118</v>
      </c>
      <c r="AG260" s="93">
        <f t="shared" ca="1" si="431"/>
        <v>1454.2716041620006</v>
      </c>
      <c r="AH260" s="93">
        <f t="shared" ca="1" si="431"/>
        <v>1574.8101361452973</v>
      </c>
      <c r="AI260" s="93">
        <f t="shared" ca="1" si="431"/>
        <v>1699.3840335380883</v>
      </c>
      <c r="AJ260" s="93">
        <f t="shared" ca="1" si="431"/>
        <v>1828.9071102883318</v>
      </c>
      <c r="AK260" s="93">
        <f t="shared" ca="1" si="431"/>
        <v>1962.6519012298886</v>
      </c>
      <c r="AL260" s="93">
        <f t="shared" ca="1" si="431"/>
        <v>2101.4111764279914</v>
      </c>
      <c r="AM260" s="93">
        <f t="shared" ca="1" si="431"/>
        <v>2280.5340419155254</v>
      </c>
      <c r="AN260" s="7"/>
      <c r="AV260" s="5"/>
    </row>
    <row r="261" spans="1:49">
      <c r="D261" t="s">
        <v>137</v>
      </c>
      <c r="G261" s="81"/>
      <c r="H261" s="81"/>
      <c r="I261" s="81"/>
      <c r="J261" s="81"/>
      <c r="K261" s="81"/>
      <c r="L261" s="81">
        <v>0</v>
      </c>
      <c r="M261" s="81">
        <v>0</v>
      </c>
      <c r="N261" s="81">
        <v>0</v>
      </c>
      <c r="O261" s="81">
        <v>0</v>
      </c>
      <c r="P261" s="81">
        <v>0</v>
      </c>
      <c r="Q261" s="81">
        <v>0</v>
      </c>
      <c r="R261" s="81">
        <v>0</v>
      </c>
      <c r="S261" s="81">
        <v>0</v>
      </c>
      <c r="T261" s="81">
        <v>0</v>
      </c>
      <c r="U261" s="81">
        <v>0</v>
      </c>
      <c r="V261" s="81">
        <v>0</v>
      </c>
      <c r="W261" s="81">
        <v>0</v>
      </c>
      <c r="X261" s="81">
        <v>0</v>
      </c>
      <c r="Y261" s="81">
        <v>0</v>
      </c>
      <c r="Z261" s="81">
        <v>0</v>
      </c>
      <c r="AA261" s="81">
        <v>0</v>
      </c>
      <c r="AB261" s="81">
        <v>0</v>
      </c>
      <c r="AC261" s="190">
        <v>0</v>
      </c>
      <c r="AD261" s="81">
        <v>0</v>
      </c>
      <c r="AE261" s="81">
        <v>0</v>
      </c>
      <c r="AF261" s="81">
        <v>0</v>
      </c>
      <c r="AG261" s="81">
        <v>0</v>
      </c>
      <c r="AH261" s="81">
        <v>0</v>
      </c>
      <c r="AI261" s="81">
        <v>0</v>
      </c>
      <c r="AJ261" s="81">
        <v>0</v>
      </c>
      <c r="AK261" s="81">
        <v>0</v>
      </c>
      <c r="AL261" s="81">
        <v>0</v>
      </c>
      <c r="AM261" s="81">
        <v>0</v>
      </c>
      <c r="AN261" s="7"/>
    </row>
    <row r="262" spans="1:49">
      <c r="D262" t="s">
        <v>138</v>
      </c>
      <c r="G262" s="81"/>
      <c r="H262" s="81"/>
      <c r="I262" s="81"/>
      <c r="J262" s="81"/>
      <c r="K262" s="81"/>
      <c r="L262" s="81">
        <v>0</v>
      </c>
      <c r="M262" s="81">
        <v>0</v>
      </c>
      <c r="N262" s="81">
        <v>0</v>
      </c>
      <c r="O262" s="81">
        <v>0</v>
      </c>
      <c r="P262" s="81">
        <v>0</v>
      </c>
      <c r="Q262" s="81">
        <v>0</v>
      </c>
      <c r="R262" s="81">
        <v>0</v>
      </c>
      <c r="S262" s="81">
        <v>0</v>
      </c>
      <c r="T262" s="81">
        <v>0</v>
      </c>
      <c r="U262" s="81">
        <v>0</v>
      </c>
      <c r="V262" s="81">
        <v>0</v>
      </c>
      <c r="W262" s="81">
        <v>0</v>
      </c>
      <c r="X262" s="81">
        <v>0</v>
      </c>
      <c r="Y262" s="81">
        <v>0</v>
      </c>
      <c r="Z262" s="81">
        <v>0</v>
      </c>
      <c r="AA262" s="81">
        <v>0</v>
      </c>
      <c r="AB262" s="81">
        <v>0</v>
      </c>
      <c r="AC262" s="190">
        <v>0</v>
      </c>
      <c r="AD262" s="81">
        <v>0</v>
      </c>
      <c r="AE262" s="81">
        <v>0</v>
      </c>
      <c r="AF262" s="81">
        <v>0</v>
      </c>
      <c r="AG262" s="81">
        <v>0</v>
      </c>
      <c r="AH262" s="81">
        <v>0</v>
      </c>
      <c r="AI262" s="81">
        <v>0</v>
      </c>
      <c r="AJ262" s="81">
        <v>0</v>
      </c>
      <c r="AK262" s="81">
        <v>0</v>
      </c>
      <c r="AL262" s="81">
        <v>0</v>
      </c>
      <c r="AM262" s="81">
        <v>0</v>
      </c>
      <c r="AN262" s="7"/>
    </row>
    <row r="263" spans="1:49">
      <c r="D263" t="s">
        <v>236</v>
      </c>
      <c r="G263" s="81"/>
      <c r="H263" s="81"/>
      <c r="I263" s="81"/>
      <c r="J263" s="81"/>
      <c r="K263" s="81"/>
      <c r="L263" s="81">
        <v>4.306</v>
      </c>
      <c r="M263" s="81">
        <v>6.0350000000000001</v>
      </c>
      <c r="N263" s="81">
        <v>35.411000000000001</v>
      </c>
      <c r="O263" s="81">
        <v>14.73</v>
      </c>
      <c r="P263" s="81">
        <v>10.162000000000001</v>
      </c>
      <c r="Q263" s="81">
        <v>31.300699999999999</v>
      </c>
      <c r="R263" s="81">
        <v>38.277000000000001</v>
      </c>
      <c r="S263" s="81">
        <v>15.577</v>
      </c>
      <c r="T263" s="81">
        <f>-203.405+63.396</f>
        <v>-140.00900000000001</v>
      </c>
      <c r="U263" s="81">
        <f>-313.394+45.146</f>
        <v>-268.24799999999999</v>
      </c>
      <c r="V263" s="81">
        <f>-924.328+89.81</f>
        <v>-834.51800000000003</v>
      </c>
      <c r="W263" s="81">
        <f>-983.941+47.038</f>
        <v>-936.90300000000002</v>
      </c>
      <c r="X263" s="81">
        <f>-564.337+59.869</f>
        <v>-504.46799999999996</v>
      </c>
      <c r="Y263" s="81">
        <f>-579.57+73.52</f>
        <v>-506.05000000000007</v>
      </c>
      <c r="Z263" s="81">
        <f>-904.726+58.13</f>
        <v>-846.596</v>
      </c>
      <c r="AA263" s="81">
        <f>-567.747+124.397</f>
        <v>-443.34999999999997</v>
      </c>
      <c r="AB263" s="81">
        <f>-229.938+143.148</f>
        <v>-86.789999999999992</v>
      </c>
      <c r="AC263" s="190">
        <v>-200</v>
      </c>
      <c r="AD263" s="190">
        <v>-800</v>
      </c>
      <c r="AE263" s="190">
        <f>+AD263*1.1</f>
        <v>-880.00000000000011</v>
      </c>
      <c r="AF263" s="190">
        <f t="shared" ref="AF263" si="432">+AE263*1.1</f>
        <v>-968.00000000000023</v>
      </c>
      <c r="AG263" s="190">
        <f>+AF263*1.08</f>
        <v>-1045.4400000000003</v>
      </c>
      <c r="AH263" s="190">
        <f t="shared" ref="AH263:AM263" si="433">+AG263*1.08</f>
        <v>-1129.0752000000005</v>
      </c>
      <c r="AI263" s="190">
        <f t="shared" si="433"/>
        <v>-1219.4012160000007</v>
      </c>
      <c r="AJ263" s="190">
        <f t="shared" si="433"/>
        <v>-1316.9533132800009</v>
      </c>
      <c r="AK263" s="190">
        <f t="shared" si="433"/>
        <v>-1422.309578342401</v>
      </c>
      <c r="AL263" s="190">
        <f t="shared" si="433"/>
        <v>-1536.0943446097931</v>
      </c>
      <c r="AM263" s="190">
        <f t="shared" si="433"/>
        <v>-1658.9818921785766</v>
      </c>
      <c r="AN263" s="81"/>
      <c r="AO263" s="81"/>
      <c r="AP263" s="81"/>
      <c r="AQ263" s="81"/>
      <c r="AR263" s="81"/>
      <c r="AS263" s="81"/>
      <c r="AT263" s="81"/>
      <c r="AU263" s="81"/>
    </row>
    <row r="264" spans="1:49">
      <c r="D264" t="s">
        <v>139</v>
      </c>
      <c r="G264" s="81"/>
      <c r="H264" s="81"/>
      <c r="I264" s="81"/>
      <c r="J264" s="81"/>
      <c r="K264" s="81"/>
      <c r="L264" s="81">
        <v>0</v>
      </c>
      <c r="M264" s="81">
        <v>0</v>
      </c>
      <c r="N264" s="81">
        <v>0</v>
      </c>
      <c r="O264" s="81">
        <v>0</v>
      </c>
      <c r="P264" s="81">
        <v>0</v>
      </c>
      <c r="Q264" s="81">
        <v>0</v>
      </c>
      <c r="R264" s="81">
        <v>0</v>
      </c>
      <c r="S264" s="81">
        <v>0</v>
      </c>
      <c r="T264" s="81">
        <v>0</v>
      </c>
      <c r="U264" s="81">
        <v>0</v>
      </c>
      <c r="V264" s="81">
        <v>0</v>
      </c>
      <c r="W264" s="81">
        <v>0</v>
      </c>
      <c r="X264" s="81">
        <v>0</v>
      </c>
      <c r="Y264" s="81">
        <v>0</v>
      </c>
      <c r="Z264" s="81">
        <v>0</v>
      </c>
      <c r="AA264" s="81">
        <v>0</v>
      </c>
      <c r="AB264" s="81">
        <v>0</v>
      </c>
      <c r="AC264" s="190">
        <v>0</v>
      </c>
      <c r="AD264" s="81">
        <v>0</v>
      </c>
      <c r="AE264" s="81">
        <v>0</v>
      </c>
      <c r="AF264" s="81">
        <v>0</v>
      </c>
      <c r="AG264" s="81">
        <v>0</v>
      </c>
      <c r="AH264" s="81">
        <v>0</v>
      </c>
      <c r="AI264" s="81">
        <v>0</v>
      </c>
      <c r="AJ264" s="81">
        <v>0</v>
      </c>
      <c r="AK264" s="81">
        <v>0</v>
      </c>
      <c r="AL264" s="81">
        <v>0</v>
      </c>
      <c r="AM264" s="81">
        <v>0</v>
      </c>
      <c r="AN264" s="7"/>
    </row>
    <row r="265" spans="1:49">
      <c r="D265" t="s">
        <v>140</v>
      </c>
      <c r="G265" s="81"/>
      <c r="H265" s="81"/>
      <c r="I265" s="81"/>
      <c r="J265" s="81"/>
      <c r="K265" s="81"/>
      <c r="L265" s="81">
        <v>0</v>
      </c>
      <c r="M265" s="81">
        <v>0</v>
      </c>
      <c r="N265" s="81">
        <v>0</v>
      </c>
      <c r="O265" s="81">
        <v>0</v>
      </c>
      <c r="P265" s="81">
        <v>0</v>
      </c>
      <c r="Q265" s="81">
        <v>0</v>
      </c>
      <c r="R265" s="81">
        <v>0</v>
      </c>
      <c r="S265" s="81">
        <v>0</v>
      </c>
      <c r="T265" s="81">
        <v>0</v>
      </c>
      <c r="U265" s="81">
        <v>0</v>
      </c>
      <c r="V265" s="81">
        <v>0</v>
      </c>
      <c r="W265" s="81">
        <v>0</v>
      </c>
      <c r="X265" s="81">
        <v>0</v>
      </c>
      <c r="Y265" s="81">
        <v>0</v>
      </c>
      <c r="Z265" s="81">
        <v>0</v>
      </c>
      <c r="AA265" s="81">
        <v>0</v>
      </c>
      <c r="AB265" s="81">
        <v>0</v>
      </c>
      <c r="AC265" s="92">
        <f ca="1">-AC328*AC332</f>
        <v>0</v>
      </c>
      <c r="AD265" s="92">
        <f t="shared" ref="AD265:AM265" ca="1" si="434">-AD328*AD332</f>
        <v>0</v>
      </c>
      <c r="AE265" s="92">
        <f t="shared" ca="1" si="434"/>
        <v>0</v>
      </c>
      <c r="AF265" s="92">
        <f t="shared" ca="1" si="434"/>
        <v>0</v>
      </c>
      <c r="AG265" s="92">
        <f t="shared" ca="1" si="434"/>
        <v>0</v>
      </c>
      <c r="AH265" s="92">
        <f t="shared" ca="1" si="434"/>
        <v>0</v>
      </c>
      <c r="AI265" s="92">
        <f t="shared" ca="1" si="434"/>
        <v>-248.25631087597324</v>
      </c>
      <c r="AJ265" s="92">
        <f t="shared" ca="1" si="434"/>
        <v>-271.65816004060173</v>
      </c>
      <c r="AK265" s="92">
        <f t="shared" ca="1" si="434"/>
        <v>-296.74890594052334</v>
      </c>
      <c r="AL265" s="92">
        <f t="shared" ca="1" si="434"/>
        <v>-322.72678540870834</v>
      </c>
      <c r="AM265" s="92">
        <f t="shared" ca="1" si="434"/>
        <v>-352.10306177849526</v>
      </c>
      <c r="AN265" s="7"/>
    </row>
    <row r="266" spans="1:49">
      <c r="D266" t="s">
        <v>130</v>
      </c>
      <c r="G266" s="81"/>
      <c r="H266" s="81"/>
      <c r="I266" s="81"/>
      <c r="J266" s="81"/>
      <c r="K266" s="81"/>
      <c r="L266" s="81">
        <v>-0.747</v>
      </c>
      <c r="M266" s="81">
        <v>3.9780000000000002</v>
      </c>
      <c r="N266" s="81">
        <v>22.210999999999999</v>
      </c>
      <c r="O266" s="81">
        <v>7.3689999999999998</v>
      </c>
      <c r="P266" s="81">
        <v>0.39100000000000001</v>
      </c>
      <c r="Q266" s="81">
        <f>-9.713+3.881</f>
        <v>-5.831999999999999</v>
      </c>
      <c r="R266" s="81">
        <f>-11.145+8.911</f>
        <v>-2.234</v>
      </c>
      <c r="S266" s="81">
        <f>-12.56+9.717</f>
        <v>-2.843</v>
      </c>
      <c r="T266" s="81">
        <f>24.1-14.083</f>
        <v>10.017000000000001</v>
      </c>
      <c r="U266" s="81">
        <f>-19.596+22.644</f>
        <v>3.0479999999999983</v>
      </c>
      <c r="V266" s="81">
        <f>-18.243+50.142</f>
        <v>31.899000000000004</v>
      </c>
      <c r="W266" s="81">
        <f>-16.417+32.136</f>
        <v>15.719000000000001</v>
      </c>
      <c r="X266" s="81">
        <v>-10.817</v>
      </c>
      <c r="Y266" s="81">
        <v>-0.52300000000000002</v>
      </c>
      <c r="Z266" s="81">
        <v>-0.89400000000000002</v>
      </c>
      <c r="AA266" s="81">
        <v>-4.1509999999999998</v>
      </c>
      <c r="AB266" s="81">
        <v>-7.4240000000000004</v>
      </c>
      <c r="AC266" s="92">
        <f>-AC381</f>
        <v>-7.4240000000000004</v>
      </c>
      <c r="AD266" s="92">
        <f t="shared" ref="AD266:AM266" si="435">-AD381</f>
        <v>-7.4240000000000004</v>
      </c>
      <c r="AE266" s="92">
        <f t="shared" si="435"/>
        <v>-7.4240000000000004</v>
      </c>
      <c r="AF266" s="92">
        <f t="shared" si="435"/>
        <v>-7.4240000000000004</v>
      </c>
      <c r="AG266" s="92">
        <f t="shared" si="435"/>
        <v>-7.4240000000000004</v>
      </c>
      <c r="AH266" s="92">
        <f t="shared" si="435"/>
        <v>-7.4240000000000004</v>
      </c>
      <c r="AI266" s="92">
        <f t="shared" si="435"/>
        <v>-7.4240000000000004</v>
      </c>
      <c r="AJ266" s="92">
        <f t="shared" si="435"/>
        <v>-7.4240000000000004</v>
      </c>
      <c r="AK266" s="92">
        <f t="shared" si="435"/>
        <v>-7.4240000000000004</v>
      </c>
      <c r="AL266" s="92">
        <f t="shared" si="435"/>
        <v>-7.4240000000000004</v>
      </c>
      <c r="AM266" s="92">
        <f t="shared" si="435"/>
        <v>-7.4240000000000004</v>
      </c>
      <c r="AN266" s="7"/>
    </row>
    <row r="267" spans="1:49" s="3" customFormat="1">
      <c r="A267" s="125" t="s">
        <v>201</v>
      </c>
      <c r="B267" s="163"/>
      <c r="D267" s="2" t="s">
        <v>141</v>
      </c>
      <c r="E267" s="2"/>
      <c r="F267" s="2"/>
      <c r="G267" s="8"/>
      <c r="H267" s="8"/>
      <c r="I267" s="8"/>
      <c r="J267" s="8"/>
      <c r="K267" s="8"/>
      <c r="L267" s="8">
        <f>SUM(L259:L266)</f>
        <v>63.801000000000002</v>
      </c>
      <c r="M267" s="8">
        <f t="shared" ref="M267:X267" si="436">SUM(M259:M266)</f>
        <v>0.21499999999988484</v>
      </c>
      <c r="N267" s="8">
        <f t="shared" si="436"/>
        <v>48.087000000000145</v>
      </c>
      <c r="O267" s="8">
        <f t="shared" si="436"/>
        <v>171.00699999999989</v>
      </c>
      <c r="P267" s="8">
        <f t="shared" si="436"/>
        <v>18.386999999999944</v>
      </c>
      <c r="Q267" s="8">
        <f t="shared" si="436"/>
        <v>-160.52629999999999</v>
      </c>
      <c r="R267" s="8">
        <f t="shared" si="436"/>
        <v>101.81300000000024</v>
      </c>
      <c r="S267" s="8">
        <f t="shared" si="436"/>
        <v>683.10299999999995</v>
      </c>
      <c r="T267" s="8">
        <f t="shared" si="436"/>
        <v>1040.4210000000003</v>
      </c>
      <c r="U267" s="8">
        <f t="shared" si="436"/>
        <v>1128.3810000000003</v>
      </c>
      <c r="V267" s="8">
        <f t="shared" si="436"/>
        <v>728.57900000000029</v>
      </c>
      <c r="W267" s="8">
        <f t="shared" si="436"/>
        <v>537.47600000000102</v>
      </c>
      <c r="X267" s="8">
        <f t="shared" si="436"/>
        <v>921.90599999999938</v>
      </c>
      <c r="Y267" s="8">
        <f>SUM(Y259:Y266)</f>
        <v>413.44599999999969</v>
      </c>
      <c r="Z267" s="8">
        <f>SUM(Z259:Z266)</f>
        <v>186.02100000000132</v>
      </c>
      <c r="AA267" s="8">
        <f>SUM(AA259:AA266)</f>
        <v>686.9830000000012</v>
      </c>
      <c r="AB267" s="8">
        <f t="shared" ref="AB267:AL267" si="437">SUM(AB259:AB266)</f>
        <v>-424.02</v>
      </c>
      <c r="AC267" s="113">
        <f t="shared" ca="1" si="437"/>
        <v>1289.5055625225671</v>
      </c>
      <c r="AD267" s="8">
        <f t="shared" ca="1" si="437"/>
        <v>494.9713433059278</v>
      </c>
      <c r="AE267" s="8">
        <f t="shared" ca="1" si="437"/>
        <v>496.29211377838544</v>
      </c>
      <c r="AF267" s="8">
        <f t="shared" ca="1" si="437"/>
        <v>584.24953115814628</v>
      </c>
      <c r="AG267" s="8">
        <f t="shared" ca="1" si="437"/>
        <v>654.1644646588054</v>
      </c>
      <c r="AH267" s="8">
        <f t="shared" ca="1" si="437"/>
        <v>704.76028602641145</v>
      </c>
      <c r="AI267" s="8">
        <f t="shared" ca="1" si="437"/>
        <v>512.53504834300134</v>
      </c>
      <c r="AJ267" s="8">
        <f t="shared" ca="1" si="437"/>
        <v>584.60834643863484</v>
      </c>
      <c r="AK267" s="8">
        <f t="shared" ca="1" si="437"/>
        <v>631.52765165889969</v>
      </c>
      <c r="AL267" s="8">
        <f t="shared" ca="1" si="437"/>
        <v>664.69199571794684</v>
      </c>
      <c r="AM267" s="8">
        <f ca="1">SUM(AM259:AM266)</f>
        <v>581.24994152634417</v>
      </c>
      <c r="AN267" s="65"/>
    </row>
    <row r="268" spans="1:49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93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</row>
    <row r="269" spans="1:49">
      <c r="D269" t="s">
        <v>148</v>
      </c>
      <c r="G269" s="7"/>
      <c r="H269" s="7"/>
      <c r="I269" s="81"/>
      <c r="J269" s="81"/>
      <c r="K269" s="81"/>
      <c r="L269" s="81">
        <v>0</v>
      </c>
      <c r="M269" s="81">
        <v>0</v>
      </c>
      <c r="N269" s="81">
        <v>0</v>
      </c>
      <c r="O269" s="81">
        <v>0</v>
      </c>
      <c r="P269" s="81">
        <v>0</v>
      </c>
      <c r="Q269" s="81">
        <v>0</v>
      </c>
      <c r="R269" s="81">
        <v>0</v>
      </c>
      <c r="S269" s="81">
        <v>0</v>
      </c>
      <c r="T269" s="81">
        <v>0</v>
      </c>
      <c r="U269" s="81">
        <v>0</v>
      </c>
      <c r="V269" s="81">
        <v>0</v>
      </c>
      <c r="W269" s="81">
        <v>0</v>
      </c>
      <c r="X269" s="81">
        <v>0</v>
      </c>
      <c r="Y269" s="81">
        <v>0</v>
      </c>
      <c r="Z269" s="81">
        <v>0</v>
      </c>
      <c r="AA269" s="81">
        <v>0</v>
      </c>
      <c r="AB269" s="81">
        <v>0</v>
      </c>
      <c r="AC269" s="190">
        <v>0</v>
      </c>
      <c r="AD269" s="81">
        <v>0</v>
      </c>
      <c r="AE269" s="81">
        <v>0</v>
      </c>
      <c r="AF269" s="81">
        <v>0</v>
      </c>
      <c r="AG269" s="81">
        <v>0</v>
      </c>
      <c r="AH269" s="81">
        <v>0</v>
      </c>
      <c r="AI269" s="81">
        <v>0</v>
      </c>
      <c r="AJ269" s="81">
        <v>0</v>
      </c>
      <c r="AK269" s="81">
        <v>0</v>
      </c>
      <c r="AL269" s="81">
        <v>0</v>
      </c>
      <c r="AM269" s="81">
        <v>0</v>
      </c>
      <c r="AN269" s="7"/>
    </row>
    <row r="270" spans="1:49">
      <c r="D270" t="s">
        <v>149</v>
      </c>
      <c r="G270" s="7"/>
      <c r="H270" s="7"/>
      <c r="I270" s="7"/>
      <c r="J270" s="7"/>
      <c r="K270" s="7"/>
      <c r="L270" s="7">
        <f>SUM(L269,L267,L257,L250)</f>
        <v>-31.544000000000018</v>
      </c>
      <c r="M270" s="7">
        <f t="shared" ref="M270:X270" si="438">SUM(M269,M267,M257,M250)</f>
        <v>1.6349999999999056</v>
      </c>
      <c r="N270" s="7">
        <f t="shared" si="438"/>
        <v>-2.3039999999998599</v>
      </c>
      <c r="O270" s="7">
        <f t="shared" si="438"/>
        <v>-6.4900000000001086</v>
      </c>
      <c r="P270" s="7">
        <f t="shared" si="438"/>
        <v>127.63199999999998</v>
      </c>
      <c r="Q270" s="7">
        <f>SUM(Q269,Q267,Q257,Q250)</f>
        <v>-122.3253</v>
      </c>
      <c r="R270" s="7">
        <f t="shared" si="438"/>
        <v>22.843000000000242</v>
      </c>
      <c r="S270" s="7">
        <f t="shared" si="438"/>
        <v>401.53699999999992</v>
      </c>
      <c r="T270" s="7">
        <f t="shared" si="438"/>
        <v>6.7060000000002447</v>
      </c>
      <c r="U270" s="7">
        <f t="shared" si="438"/>
        <v>178.53700000000026</v>
      </c>
      <c r="V270" s="7">
        <f t="shared" si="438"/>
        <v>-600.29499999999962</v>
      </c>
      <c r="W270" s="7">
        <f t="shared" si="438"/>
        <v>41.924000000000945</v>
      </c>
      <c r="X270" s="7">
        <f t="shared" si="438"/>
        <v>1.0219999999994229</v>
      </c>
      <c r="Y270" s="7">
        <f t="shared" ref="Y270:AE270" si="439">SUM(Y269,Y267,Y257,Y250)</f>
        <v>31.032999999999689</v>
      </c>
      <c r="Z270" s="7">
        <f t="shared" si="439"/>
        <v>40.479000000001292</v>
      </c>
      <c r="AA270" s="7">
        <f t="shared" si="439"/>
        <v>61.013000000001171</v>
      </c>
      <c r="AB270" s="7">
        <f t="shared" si="439"/>
        <v>115.55700000000002</v>
      </c>
      <c r="AC270" s="93">
        <f ca="1">SUM(AC269,AC267,AC257,AC250)</f>
        <v>-128.43519203114147</v>
      </c>
      <c r="AD270" s="7">
        <f t="shared" ca="1" si="439"/>
        <v>60.202716162311958</v>
      </c>
      <c r="AE270" s="7">
        <f t="shared" ca="1" si="439"/>
        <v>-24.517212580025443</v>
      </c>
      <c r="AF270" s="7">
        <f t="shared" ref="AF270:AL270" ca="1" si="440">SUM(AF269,AF267,AF257,AF250)</f>
        <v>36.153391204826789</v>
      </c>
      <c r="AG270" s="7">
        <f t="shared" ca="1" si="440"/>
        <v>99.694265121357603</v>
      </c>
      <c r="AH270" s="7">
        <f t="shared" ca="1" si="440"/>
        <v>133.21273757652364</v>
      </c>
      <c r="AI270" s="7">
        <f t="shared" ca="1" si="440"/>
        <v>-76.489084939099143</v>
      </c>
      <c r="AJ270" s="7">
        <f t="shared" ca="1" si="440"/>
        <v>-4.4245133073336547</v>
      </c>
      <c r="AK270" s="7">
        <f t="shared" ca="1" si="440"/>
        <v>51.286835357285213</v>
      </c>
      <c r="AL270" s="7">
        <f t="shared" ca="1" si="440"/>
        <v>93.01401020407161</v>
      </c>
      <c r="AM270" s="7">
        <f ca="1">SUM(AM269,AM267,AM257,AM250)</f>
        <v>-60.280177952271174</v>
      </c>
      <c r="AN270" s="7"/>
    </row>
    <row r="271" spans="1:49">
      <c r="G271" s="7"/>
      <c r="H271" s="7"/>
      <c r="I271" s="7"/>
      <c r="J271" s="7"/>
      <c r="K271" s="7"/>
      <c r="L271" s="7"/>
      <c r="M271" s="7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7"/>
      <c r="AC271" s="93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</row>
    <row r="272" spans="1:49">
      <c r="G272" s="7"/>
      <c r="H272" s="7"/>
      <c r="I272" s="7"/>
      <c r="J272" s="7"/>
      <c r="K272" s="7"/>
      <c r="L272" s="7"/>
      <c r="M272" s="7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7"/>
      <c r="AC272" s="93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</row>
    <row r="273" spans="1:41">
      <c r="C273" s="119"/>
      <c r="D273" s="120" t="s">
        <v>150</v>
      </c>
      <c r="E273" s="119"/>
      <c r="F273" s="119"/>
      <c r="G273" s="119"/>
      <c r="H273" s="119"/>
      <c r="I273" s="119"/>
      <c r="J273" s="119"/>
      <c r="K273" s="119"/>
      <c r="L273" s="119"/>
      <c r="M273" s="119"/>
      <c r="N273" s="208"/>
      <c r="O273" s="261"/>
      <c r="P273" s="208"/>
      <c r="Q273" s="208"/>
      <c r="R273" s="208"/>
      <c r="S273" s="208"/>
      <c r="T273" s="208"/>
      <c r="U273" s="260"/>
      <c r="V273" s="260"/>
      <c r="W273" s="260"/>
      <c r="X273" s="260"/>
      <c r="Y273" s="260"/>
      <c r="Z273" s="260"/>
      <c r="AA273" s="260"/>
      <c r="AB273" s="208"/>
      <c r="AC273" s="119"/>
      <c r="AD273" s="119"/>
      <c r="AE273" s="119"/>
      <c r="AF273" s="119"/>
      <c r="AG273" s="119"/>
      <c r="AH273" s="119"/>
      <c r="AI273" s="119"/>
      <c r="AJ273" s="119"/>
      <c r="AK273" s="119"/>
      <c r="AL273" s="119"/>
      <c r="AM273" s="119"/>
    </row>
    <row r="274" spans="1:41" ht="5.15" customHeight="1">
      <c r="B274" s="162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162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7"/>
      <c r="AO274" s="1"/>
    </row>
    <row r="275" spans="1:41">
      <c r="A275" s="125" t="s">
        <v>204</v>
      </c>
      <c r="D275" t="s">
        <v>151</v>
      </c>
      <c r="G275" s="81"/>
      <c r="H275" s="81"/>
      <c r="I275" s="81"/>
      <c r="J275" s="81"/>
      <c r="K275" s="81"/>
      <c r="L275" s="81">
        <v>17.123999999999999</v>
      </c>
      <c r="M275" s="81">
        <v>21.759</v>
      </c>
      <c r="N275" s="81">
        <v>19.454999999999998</v>
      </c>
      <c r="O275" s="81">
        <v>12.965</v>
      </c>
      <c r="P275" s="81">
        <v>140.59700000000001</v>
      </c>
      <c r="Q275" s="81">
        <v>18.277999999999999</v>
      </c>
      <c r="R275" s="81">
        <v>41.121000000000002</v>
      </c>
      <c r="S275" s="81">
        <v>442.65800000000002</v>
      </c>
      <c r="T275" s="81">
        <v>449.36399999999998</v>
      </c>
      <c r="U275" s="81">
        <v>627.90099999999995</v>
      </c>
      <c r="V275" s="81">
        <v>27.606000000000002</v>
      </c>
      <c r="W275" s="81">
        <v>37.393999999999998</v>
      </c>
      <c r="X275" s="81">
        <v>38.415999999999997</v>
      </c>
      <c r="Y275" s="81">
        <v>44.524999999999999</v>
      </c>
      <c r="Z275" s="81">
        <v>46.938000000000002</v>
      </c>
      <c r="AA275" s="81">
        <v>58.210999999999999</v>
      </c>
      <c r="AB275" s="81">
        <v>132.31899999999999</v>
      </c>
      <c r="AC275" s="93">
        <f t="shared" ref="AC275:AM275" ca="1" si="441">+AB275+AC270</f>
        <v>3.8838079688585196</v>
      </c>
      <c r="AD275" s="7">
        <f t="shared" ca="1" si="441"/>
        <v>64.086524131170478</v>
      </c>
      <c r="AE275" s="7">
        <f t="shared" ca="1" si="441"/>
        <v>39.569311551145034</v>
      </c>
      <c r="AF275" s="7">
        <f t="shared" ca="1" si="441"/>
        <v>75.722702755971824</v>
      </c>
      <c r="AG275" s="7">
        <f t="shared" ca="1" si="441"/>
        <v>175.41696787732943</v>
      </c>
      <c r="AH275" s="7">
        <f t="shared" ca="1" si="441"/>
        <v>308.62970545385303</v>
      </c>
      <c r="AI275" s="7">
        <f t="shared" ca="1" si="441"/>
        <v>232.14062051475389</v>
      </c>
      <c r="AJ275" s="7">
        <f t="shared" ca="1" si="441"/>
        <v>227.71610720742024</v>
      </c>
      <c r="AK275" s="7">
        <f t="shared" ca="1" si="441"/>
        <v>279.00294256470545</v>
      </c>
      <c r="AL275" s="7">
        <f t="shared" ca="1" si="441"/>
        <v>372.01695276877706</v>
      </c>
      <c r="AM275" s="7">
        <f t="shared" ca="1" si="441"/>
        <v>311.73677481650589</v>
      </c>
      <c r="AN275" s="7"/>
    </row>
    <row r="276" spans="1:41">
      <c r="D276" t="s">
        <v>223</v>
      </c>
      <c r="G276" s="81"/>
      <c r="H276" s="81"/>
      <c r="I276" s="81"/>
      <c r="J276" s="81"/>
      <c r="K276" s="81"/>
      <c r="L276" s="81">
        <v>576.56700000000001</v>
      </c>
      <c r="M276" s="81">
        <v>669.7</v>
      </c>
      <c r="N276" s="81">
        <v>836.11599999999999</v>
      </c>
      <c r="O276" s="81">
        <v>975.77700000000004</v>
      </c>
      <c r="P276" s="81">
        <v>703.15700000000004</v>
      </c>
      <c r="Q276" s="81">
        <v>843.13300000000004</v>
      </c>
      <c r="R276" s="81">
        <v>1049.4770000000001</v>
      </c>
      <c r="S276" s="81">
        <v>1092.5920000000001</v>
      </c>
      <c r="T276" s="81">
        <v>1517.8130000000001</v>
      </c>
      <c r="U276" s="81">
        <v>1641.424</v>
      </c>
      <c r="V276" s="81">
        <v>2086.8739999999998</v>
      </c>
      <c r="W276" s="81">
        <v>1932.029</v>
      </c>
      <c r="X276" s="81">
        <v>2260.5630000000001</v>
      </c>
      <c r="Y276" s="81">
        <v>2390.694</v>
      </c>
      <c r="Z276" s="81">
        <v>2519.4549999999999</v>
      </c>
      <c r="AA276" s="81">
        <v>2846.4160000000002</v>
      </c>
      <c r="AB276" s="81">
        <v>3157.1590000000001</v>
      </c>
      <c r="AC276" s="93">
        <f t="shared" ref="AC276:AM276" ca="1" si="442">+AC$316*(AB276/SUM(AB$276:AB$277,AB$279:AB$280))+AB276</f>
        <v>3577.9683928835943</v>
      </c>
      <c r="AD276" s="93">
        <f t="shared" ca="1" si="442"/>
        <v>3776.2961764255524</v>
      </c>
      <c r="AE276" s="7">
        <f t="shared" ca="1" si="442"/>
        <v>4009.8820433697347</v>
      </c>
      <c r="AF276" s="7">
        <f t="shared" ca="1" si="442"/>
        <v>4267.1194935702506</v>
      </c>
      <c r="AG276" s="7">
        <f t="shared" ca="1" si="442"/>
        <v>4540.42695838686</v>
      </c>
      <c r="AH276" s="7">
        <f t="shared" ca="1" si="442"/>
        <v>4832.3469707705754</v>
      </c>
      <c r="AI276" s="7">
        <f t="shared" ca="1" si="442"/>
        <v>5143.3756468808015</v>
      </c>
      <c r="AJ276" s="7">
        <f t="shared" ca="1" si="442"/>
        <v>5474.7556031837221</v>
      </c>
      <c r="AK276" s="7">
        <f t="shared" ca="1" si="442"/>
        <v>5826.6360664545655</v>
      </c>
      <c r="AL276" s="7">
        <f t="shared" ca="1" si="442"/>
        <v>6200.2303460115772</v>
      </c>
      <c r="AM276" s="7">
        <f t="shared" ca="1" si="442"/>
        <v>6622.7365257349384</v>
      </c>
      <c r="AN276" s="7"/>
    </row>
    <row r="277" spans="1:41">
      <c r="D277" t="s">
        <v>152</v>
      </c>
      <c r="G277" s="81"/>
      <c r="H277" s="81"/>
      <c r="I277" s="81"/>
      <c r="J277" s="81"/>
      <c r="K277" s="81"/>
      <c r="L277" s="81">
        <v>76.167000000000002</v>
      </c>
      <c r="M277" s="81">
        <v>76.620999999999995</v>
      </c>
      <c r="N277" s="81">
        <v>71.412999999999997</v>
      </c>
      <c r="O277" s="81">
        <v>73.227999999999994</v>
      </c>
      <c r="P277" s="81">
        <v>75.876000000000005</v>
      </c>
      <c r="Q277" s="81">
        <v>99.433999999999997</v>
      </c>
      <c r="R277" s="81">
        <v>119.59699999999999</v>
      </c>
      <c r="S277" s="81">
        <v>86.433999999999997</v>
      </c>
      <c r="T277" s="81">
        <v>91.960999999999999</v>
      </c>
      <c r="U277" s="81">
        <v>79.923000000000002</v>
      </c>
      <c r="V277" s="81">
        <v>137.69</v>
      </c>
      <c r="W277" s="81">
        <v>132.17099999999999</v>
      </c>
      <c r="X277" s="81">
        <v>152.38800000000001</v>
      </c>
      <c r="Y277" s="81">
        <v>133.321</v>
      </c>
      <c r="Z277" s="81">
        <v>139.85</v>
      </c>
      <c r="AA277" s="81">
        <v>191.09</v>
      </c>
      <c r="AB277" s="81">
        <v>239.07</v>
      </c>
      <c r="AC277" s="93">
        <f t="shared" ref="AC277:AM277" ca="1" si="443">+AC$316*(AB277/SUM(AB$276:AB$277,AB$279:AB$280))+AB277</f>
        <v>270.93500950908106</v>
      </c>
      <c r="AD277" s="93">
        <f t="shared" ca="1" si="443"/>
        <v>285.95301247040669</v>
      </c>
      <c r="AE277" s="7">
        <f t="shared" ca="1" si="443"/>
        <v>303.64086829595925</v>
      </c>
      <c r="AF277" s="7">
        <f t="shared" ca="1" si="443"/>
        <v>323.11969632439786</v>
      </c>
      <c r="AG277" s="7">
        <f t="shared" ca="1" si="443"/>
        <v>343.81539635523262</v>
      </c>
      <c r="AH277" s="7">
        <f t="shared" ca="1" si="443"/>
        <v>365.92049697274211</v>
      </c>
      <c r="AI277" s="7">
        <f t="shared" ca="1" si="443"/>
        <v>389.47256565143391</v>
      </c>
      <c r="AJ277" s="7">
        <f t="shared" ca="1" si="443"/>
        <v>414.56569721472124</v>
      </c>
      <c r="AK277" s="7">
        <f t="shared" ca="1" si="443"/>
        <v>441.21119158293544</v>
      </c>
      <c r="AL277" s="7">
        <f t="shared" ca="1" si="443"/>
        <v>469.50092435015512</v>
      </c>
      <c r="AM277" s="7">
        <f t="shared" ca="1" si="443"/>
        <v>501.49441989042589</v>
      </c>
      <c r="AN277" s="7"/>
    </row>
    <row r="278" spans="1:41">
      <c r="D278" t="s">
        <v>153</v>
      </c>
      <c r="G278" s="81"/>
      <c r="H278" s="81"/>
      <c r="I278" s="81"/>
      <c r="J278" s="81"/>
      <c r="K278" s="81"/>
      <c r="L278" s="81">
        <v>0</v>
      </c>
      <c r="M278" s="81">
        <v>0</v>
      </c>
      <c r="N278" s="81">
        <v>0</v>
      </c>
      <c r="O278" s="81">
        <v>0</v>
      </c>
      <c r="P278" s="81">
        <v>0</v>
      </c>
      <c r="Q278" s="81">
        <v>0</v>
      </c>
      <c r="R278" s="81">
        <v>0</v>
      </c>
      <c r="S278" s="81">
        <v>0</v>
      </c>
      <c r="T278" s="81">
        <v>0</v>
      </c>
      <c r="U278" s="81">
        <v>0</v>
      </c>
      <c r="V278" s="81">
        <v>0</v>
      </c>
      <c r="W278" s="81">
        <v>0</v>
      </c>
      <c r="X278" s="81">
        <v>0</v>
      </c>
      <c r="Y278" s="81">
        <v>0</v>
      </c>
      <c r="Z278" s="81">
        <v>0</v>
      </c>
      <c r="AA278" s="81">
        <v>0</v>
      </c>
      <c r="AB278" s="81">
        <v>0</v>
      </c>
      <c r="AC278" s="190">
        <v>0</v>
      </c>
      <c r="AD278" s="190">
        <v>0</v>
      </c>
      <c r="AE278" s="81">
        <v>0</v>
      </c>
      <c r="AF278" s="81">
        <v>0</v>
      </c>
      <c r="AG278" s="81">
        <v>0</v>
      </c>
      <c r="AH278" s="81">
        <v>0</v>
      </c>
      <c r="AI278" s="81">
        <v>0</v>
      </c>
      <c r="AJ278" s="81">
        <v>0</v>
      </c>
      <c r="AK278" s="81">
        <v>0</v>
      </c>
      <c r="AL278" s="81">
        <v>0</v>
      </c>
      <c r="AM278" s="81">
        <v>0</v>
      </c>
      <c r="AN278" s="7"/>
    </row>
    <row r="279" spans="1:41">
      <c r="D279" t="s">
        <v>238</v>
      </c>
      <c r="G279" s="81"/>
      <c r="H279" s="81"/>
      <c r="I279" s="81"/>
      <c r="J279" s="81"/>
      <c r="K279" s="81"/>
      <c r="L279" s="81">
        <v>0</v>
      </c>
      <c r="M279" s="81">
        <v>0</v>
      </c>
      <c r="N279" s="81">
        <v>0</v>
      </c>
      <c r="O279" s="81">
        <v>0</v>
      </c>
      <c r="P279" s="81">
        <v>0</v>
      </c>
      <c r="Q279" s="81">
        <v>0</v>
      </c>
      <c r="R279" s="81">
        <v>161.05199999999999</v>
      </c>
      <c r="S279" s="81">
        <v>204.31399999999999</v>
      </c>
      <c r="T279" s="81">
        <v>224.28700000000001</v>
      </c>
      <c r="U279" s="81">
        <v>259.29899999999998</v>
      </c>
      <c r="V279" s="81">
        <v>294.12200000000001</v>
      </c>
      <c r="W279" s="81">
        <v>343.82900000000001</v>
      </c>
      <c r="X279" s="81">
        <v>380.35300000000001</v>
      </c>
      <c r="Y279" s="81">
        <v>399.44200000000001</v>
      </c>
      <c r="Z279" s="81">
        <v>440.66899999999998</v>
      </c>
      <c r="AA279" s="81">
        <v>481.04300000000001</v>
      </c>
      <c r="AB279" s="81">
        <v>496.41500000000002</v>
      </c>
      <c r="AC279" s="93">
        <f t="shared" ref="AC279:AM279" ca="1" si="444">+AC$316*(AB279/SUM(AB$276:AB$277,AB$279:AB$280))+AB279</f>
        <v>562.58084554921356</v>
      </c>
      <c r="AD279" s="93">
        <f t="shared" ca="1" si="444"/>
        <v>593.76485834900632</v>
      </c>
      <c r="AE279" s="7">
        <f t="shared" ca="1" si="444"/>
        <v>630.49266589341448</v>
      </c>
      <c r="AF279" s="7">
        <f t="shared" ca="1" si="444"/>
        <v>670.93932342358289</v>
      </c>
      <c r="AG279" s="7">
        <f t="shared" ca="1" si="444"/>
        <v>713.91274514436918</v>
      </c>
      <c r="AH279" s="7">
        <f t="shared" ca="1" si="444"/>
        <v>759.81270550329543</v>
      </c>
      <c r="AI279" s="7">
        <f t="shared" ca="1" si="444"/>
        <v>808.71721118402877</v>
      </c>
      <c r="AJ279" s="7">
        <f t="shared" ca="1" si="444"/>
        <v>860.82164463426977</v>
      </c>
      <c r="AK279" s="7">
        <f t="shared" ca="1" si="444"/>
        <v>916.14946948374018</v>
      </c>
      <c r="AL279" s="7">
        <f t="shared" ca="1" si="444"/>
        <v>974.89146007902775</v>
      </c>
      <c r="AM279" s="7">
        <f t="shared" ca="1" si="444"/>
        <v>1041.3240994257071</v>
      </c>
      <c r="AN279" s="7"/>
    </row>
    <row r="280" spans="1:41">
      <c r="D280" t="s">
        <v>239</v>
      </c>
      <c r="G280" s="81"/>
      <c r="H280" s="81"/>
      <c r="I280" s="81"/>
      <c r="J280" s="81"/>
      <c r="K280" s="81"/>
      <c r="L280" s="81">
        <f>22.152+147.963+13.008</f>
        <v>183.12300000000002</v>
      </c>
      <c r="M280" s="81">
        <f>4.139+158.308+11.211</f>
        <v>173.65800000000002</v>
      </c>
      <c r="N280" s="81">
        <f>6.162+202.302+15.068</f>
        <v>223.53200000000001</v>
      </c>
      <c r="O280" s="81">
        <f>19.21+4.984+270.761</f>
        <v>294.95500000000004</v>
      </c>
      <c r="P280" s="81">
        <f>9.748+348.262+10.112</f>
        <v>368.12200000000001</v>
      </c>
      <c r="Q280" s="81">
        <f>552.377+30.578+5.595+7.017</f>
        <v>595.56700000000001</v>
      </c>
      <c r="R280" s="81">
        <f>5.191+33.66</f>
        <v>38.850999999999999</v>
      </c>
      <c r="S280" s="81">
        <f>9.938+17.512</f>
        <v>27.450000000000003</v>
      </c>
      <c r="T280" s="81">
        <f>5.193+21.513</f>
        <v>26.706000000000003</v>
      </c>
      <c r="U280" s="81">
        <f>7.866+26.811</f>
        <v>34.677</v>
      </c>
      <c r="V280" s="81">
        <v>44.646000000000001</v>
      </c>
      <c r="W280" s="81">
        <v>26.358000000000001</v>
      </c>
      <c r="X280" s="81">
        <v>41.91</v>
      </c>
      <c r="Y280" s="81">
        <v>93.462000000000003</v>
      </c>
      <c r="Z280" s="81">
        <v>67.100999999999999</v>
      </c>
      <c r="AA280" s="81">
        <v>86.927000000000007</v>
      </c>
      <c r="AB280" s="81">
        <v>91.832999999999998</v>
      </c>
      <c r="AC280" s="93">
        <f t="shared" ref="AC280:AM280" ca="1" si="445">+AC$316*(AB280/SUM(AB$276:AB$277,AB$279:AB$280))+AB280</f>
        <v>104.07317826681491</v>
      </c>
      <c r="AD280" s="93">
        <f t="shared" ca="1" si="445"/>
        <v>109.8419834951891</v>
      </c>
      <c r="AE280" s="7">
        <f t="shared" ca="1" si="445"/>
        <v>116.6363485933945</v>
      </c>
      <c r="AF280" s="7">
        <f t="shared" ca="1" si="445"/>
        <v>124.11867265887994</v>
      </c>
      <c r="AG280" s="7">
        <f t="shared" ca="1" si="445"/>
        <v>132.06842888478701</v>
      </c>
      <c r="AH280" s="7">
        <f t="shared" ca="1" si="445"/>
        <v>140.55957250381337</v>
      </c>
      <c r="AI280" s="7">
        <f t="shared" ca="1" si="445"/>
        <v>149.60653415923466</v>
      </c>
      <c r="AJ280" s="7">
        <f t="shared" ca="1" si="445"/>
        <v>159.24545811808585</v>
      </c>
      <c r="AK280" s="7">
        <f t="shared" ca="1" si="445"/>
        <v>169.48068497343667</v>
      </c>
      <c r="AL280" s="7">
        <f t="shared" ca="1" si="445"/>
        <v>180.34750652865827</v>
      </c>
      <c r="AM280" s="7">
        <f t="shared" ca="1" si="445"/>
        <v>192.63703961916255</v>
      </c>
      <c r="AN280" s="7"/>
    </row>
    <row r="281" spans="1:41" s="3" customFormat="1">
      <c r="A281" s="125" t="s">
        <v>203</v>
      </c>
      <c r="B281" s="163"/>
      <c r="D281" s="2" t="s">
        <v>154</v>
      </c>
      <c r="E281" s="2"/>
      <c r="F281" s="2"/>
      <c r="G281" s="8"/>
      <c r="H281" s="8"/>
      <c r="I281" s="8"/>
      <c r="J281" s="8"/>
      <c r="K281" s="8"/>
      <c r="L281" s="8">
        <f t="shared" ref="L281:AL281" si="446">SUM(L275:L280)</f>
        <v>852.98100000000011</v>
      </c>
      <c r="M281" s="8">
        <f t="shared" si="446"/>
        <v>941.73800000000006</v>
      </c>
      <c r="N281" s="8">
        <f t="shared" si="446"/>
        <v>1150.5160000000001</v>
      </c>
      <c r="O281" s="8">
        <f t="shared" si="446"/>
        <v>1356.9250000000002</v>
      </c>
      <c r="P281" s="8">
        <f t="shared" si="446"/>
        <v>1287.752</v>
      </c>
      <c r="Q281" s="8">
        <f t="shared" si="446"/>
        <v>1556.412</v>
      </c>
      <c r="R281" s="8">
        <f t="shared" si="446"/>
        <v>1410.098</v>
      </c>
      <c r="S281" s="8">
        <f t="shared" si="446"/>
        <v>1853.4480000000001</v>
      </c>
      <c r="T281" s="8">
        <f t="shared" si="446"/>
        <v>2310.1309999999999</v>
      </c>
      <c r="U281" s="8">
        <f t="shared" si="446"/>
        <v>2643.2239999999997</v>
      </c>
      <c r="V281" s="8">
        <f t="shared" si="446"/>
        <v>2590.9380000000001</v>
      </c>
      <c r="W281" s="8">
        <f t="shared" si="446"/>
        <v>2471.7810000000004</v>
      </c>
      <c r="X281" s="8">
        <f t="shared" si="446"/>
        <v>2873.63</v>
      </c>
      <c r="Y281" s="8">
        <f t="shared" si="446"/>
        <v>3061.444</v>
      </c>
      <c r="Z281" s="8">
        <f t="shared" si="446"/>
        <v>3214.0129999999999</v>
      </c>
      <c r="AA281" s="8">
        <f t="shared" si="446"/>
        <v>3663.6870000000004</v>
      </c>
      <c r="AB281" s="8">
        <f>SUM(AB275:AB280)</f>
        <v>4116.7960000000003</v>
      </c>
      <c r="AC281" s="113">
        <f t="shared" ca="1" si="446"/>
        <v>4519.4412341775615</v>
      </c>
      <c r="AD281" s="113">
        <f t="shared" ca="1" si="446"/>
        <v>4829.9425548713252</v>
      </c>
      <c r="AE281" s="8">
        <f t="shared" ca="1" si="446"/>
        <v>5100.2212377036476</v>
      </c>
      <c r="AF281" s="8">
        <f t="shared" ca="1" si="446"/>
        <v>5461.0198887330844</v>
      </c>
      <c r="AG281" s="8">
        <f t="shared" ca="1" si="446"/>
        <v>5905.6404966485779</v>
      </c>
      <c r="AH281" s="8">
        <f t="shared" ca="1" si="446"/>
        <v>6407.2694512042799</v>
      </c>
      <c r="AI281" s="8">
        <f t="shared" ca="1" si="446"/>
        <v>6723.3125783902533</v>
      </c>
      <c r="AJ281" s="8">
        <f t="shared" ca="1" si="446"/>
        <v>7137.1045103582182</v>
      </c>
      <c r="AK281" s="8">
        <f t="shared" ca="1" si="446"/>
        <v>7632.4803550593833</v>
      </c>
      <c r="AL281" s="8">
        <f t="shared" ca="1" si="446"/>
        <v>8196.9871897381945</v>
      </c>
      <c r="AM281" s="8">
        <f ca="1">SUM(AM275:AM280)</f>
        <v>8669.9288594867412</v>
      </c>
      <c r="AN281" s="65"/>
    </row>
    <row r="282" spans="1:41">
      <c r="A282" s="125" t="s">
        <v>155</v>
      </c>
      <c r="D282" t="s">
        <v>155</v>
      </c>
      <c r="G282" s="81"/>
      <c r="H282" s="81"/>
      <c r="I282" s="81"/>
      <c r="J282" s="81"/>
      <c r="K282" s="81"/>
      <c r="L282" s="81">
        <v>406.30099999999999</v>
      </c>
      <c r="M282" s="81">
        <v>499.298</v>
      </c>
      <c r="N282" s="81">
        <v>651.85</v>
      </c>
      <c r="O282" s="81">
        <v>862.49699999999996</v>
      </c>
      <c r="P282" s="81">
        <v>938.25900000000001</v>
      </c>
      <c r="Q282" s="81">
        <v>893.45299999999997</v>
      </c>
      <c r="R282" s="81">
        <v>1175.317</v>
      </c>
      <c r="S282" s="81">
        <v>1278.722</v>
      </c>
      <c r="T282" s="81">
        <v>1428.97</v>
      </c>
      <c r="U282" s="81">
        <v>1652.9770000000001</v>
      </c>
      <c r="V282" s="81">
        <v>1862.538</v>
      </c>
      <c r="W282" s="81">
        <v>2161.6979999999999</v>
      </c>
      <c r="X282" s="81">
        <v>2518.393</v>
      </c>
      <c r="Y282" s="81">
        <v>2667.0610000000001</v>
      </c>
      <c r="Z282" s="81">
        <v>2828.058</v>
      </c>
      <c r="AA282" s="81">
        <v>3069.1019999999999</v>
      </c>
      <c r="AB282" s="81">
        <v>3055.5630000000001</v>
      </c>
      <c r="AC282" s="93">
        <f ca="1">+AC401</f>
        <v>3287.9706043910619</v>
      </c>
      <c r="AD282" s="93">
        <f t="shared" ref="AD282:AM282" ca="1" si="447">+AD401</f>
        <v>3525.6421282046667</v>
      </c>
      <c r="AE282" s="93">
        <f t="shared" ca="1" si="447"/>
        <v>3804.4743230820113</v>
      </c>
      <c r="AF282" s="93">
        <f t="shared" ca="1" si="447"/>
        <v>4094.8980768694446</v>
      </c>
      <c r="AG282" s="93">
        <f t="shared" ca="1" si="447"/>
        <v>4393.0323269405144</v>
      </c>
      <c r="AH282" s="93">
        <f t="shared" ca="1" si="447"/>
        <v>4701.7926586543081</v>
      </c>
      <c r="AI282" s="93">
        <f t="shared" ca="1" si="447"/>
        <v>5020.2877357658945</v>
      </c>
      <c r="AJ282" s="93">
        <f t="shared" ca="1" si="447"/>
        <v>5348.843239955645</v>
      </c>
      <c r="AK282" s="93">
        <f t="shared" ca="1" si="447"/>
        <v>5685.9145763945035</v>
      </c>
      <c r="AL282" s="93">
        <f t="shared" ca="1" si="447"/>
        <v>6031.6680935306567</v>
      </c>
      <c r="AM282" s="93">
        <f t="shared" ca="1" si="447"/>
        <v>6418.4864197962152</v>
      </c>
      <c r="AN282" s="7"/>
    </row>
    <row r="283" spans="1:41">
      <c r="A283" s="125" t="s">
        <v>156</v>
      </c>
      <c r="D283" t="s">
        <v>156</v>
      </c>
      <c r="G283" s="81"/>
      <c r="H283" s="81"/>
      <c r="I283" s="81"/>
      <c r="J283" s="81"/>
      <c r="K283" s="81"/>
      <c r="L283" s="81">
        <v>0</v>
      </c>
      <c r="M283" s="81">
        <v>0</v>
      </c>
      <c r="N283" s="81">
        <v>0</v>
      </c>
      <c r="O283" s="81">
        <v>0</v>
      </c>
      <c r="P283" s="81">
        <v>0</v>
      </c>
      <c r="Q283" s="81">
        <v>0</v>
      </c>
      <c r="R283" s="81">
        <v>0</v>
      </c>
      <c r="S283" s="81">
        <v>0</v>
      </c>
      <c r="T283" s="81">
        <v>0</v>
      </c>
      <c r="U283" s="81">
        <v>0</v>
      </c>
      <c r="V283" s="81">
        <v>0</v>
      </c>
      <c r="W283" s="81">
        <v>0</v>
      </c>
      <c r="X283" s="81">
        <v>0</v>
      </c>
      <c r="Y283" s="81">
        <v>0</v>
      </c>
      <c r="Z283" s="81">
        <v>0</v>
      </c>
      <c r="AA283" s="81">
        <v>0</v>
      </c>
      <c r="AB283" s="81">
        <v>0</v>
      </c>
      <c r="AC283" s="190">
        <f>+AB283-AC254</f>
        <v>354</v>
      </c>
      <c r="AD283" s="93">
        <f>+AC283</f>
        <v>354</v>
      </c>
      <c r="AE283" s="93">
        <f t="shared" ref="AE283:AM283" si="448">+AD283</f>
        <v>354</v>
      </c>
      <c r="AF283" s="93">
        <f t="shared" si="448"/>
        <v>354</v>
      </c>
      <c r="AG283" s="93">
        <f t="shared" si="448"/>
        <v>354</v>
      </c>
      <c r="AH283" s="93">
        <f t="shared" si="448"/>
        <v>354</v>
      </c>
      <c r="AI283" s="93">
        <f t="shared" si="448"/>
        <v>354</v>
      </c>
      <c r="AJ283" s="93">
        <f t="shared" si="448"/>
        <v>354</v>
      </c>
      <c r="AK283" s="93">
        <f t="shared" si="448"/>
        <v>354</v>
      </c>
      <c r="AL283" s="93">
        <f t="shared" si="448"/>
        <v>354</v>
      </c>
      <c r="AM283" s="93">
        <f t="shared" si="448"/>
        <v>354</v>
      </c>
      <c r="AN283" s="7"/>
    </row>
    <row r="284" spans="1:41">
      <c r="A284" s="125" t="s">
        <v>157</v>
      </c>
      <c r="D284" t="s">
        <v>157</v>
      </c>
      <c r="G284" s="81"/>
      <c r="H284" s="81"/>
      <c r="I284" s="81"/>
      <c r="J284" s="81"/>
      <c r="K284" s="81"/>
      <c r="L284" s="81">
        <v>0</v>
      </c>
      <c r="M284" s="81">
        <v>0</v>
      </c>
      <c r="N284" s="81">
        <v>0</v>
      </c>
      <c r="O284" s="81">
        <v>0</v>
      </c>
      <c r="P284" s="81">
        <v>0</v>
      </c>
      <c r="Q284" s="81">
        <v>0</v>
      </c>
      <c r="R284" s="81">
        <v>0</v>
      </c>
      <c r="S284" s="81">
        <v>0</v>
      </c>
      <c r="T284" s="81">
        <v>0</v>
      </c>
      <c r="U284" s="81">
        <v>0</v>
      </c>
      <c r="V284" s="81">
        <v>0</v>
      </c>
      <c r="W284" s="81">
        <v>0</v>
      </c>
      <c r="X284" s="81">
        <v>0</v>
      </c>
      <c r="Y284" s="81">
        <v>0</v>
      </c>
      <c r="Z284" s="81">
        <v>0</v>
      </c>
      <c r="AA284" s="81">
        <v>0</v>
      </c>
      <c r="AB284" s="81">
        <v>0</v>
      </c>
      <c r="AC284" s="190">
        <v>0</v>
      </c>
      <c r="AD284" s="190">
        <v>0</v>
      </c>
      <c r="AE284" s="81">
        <v>0</v>
      </c>
      <c r="AF284" s="81">
        <v>0</v>
      </c>
      <c r="AG284" s="81">
        <v>0</v>
      </c>
      <c r="AH284" s="81">
        <v>0</v>
      </c>
      <c r="AI284" s="81">
        <v>0</v>
      </c>
      <c r="AJ284" s="81">
        <v>0</v>
      </c>
      <c r="AK284" s="81">
        <v>0</v>
      </c>
      <c r="AL284" s="81">
        <v>0</v>
      </c>
      <c r="AM284" s="81">
        <v>0</v>
      </c>
      <c r="AN284" s="7"/>
    </row>
    <row r="285" spans="1:41">
      <c r="A285" s="125" t="s">
        <v>153</v>
      </c>
      <c r="D285" t="s">
        <v>153</v>
      </c>
      <c r="G285" s="81"/>
      <c r="H285" s="81"/>
      <c r="I285" s="81"/>
      <c r="J285" s="81"/>
      <c r="K285" s="81"/>
      <c r="L285" s="81">
        <v>0</v>
      </c>
      <c r="M285" s="81">
        <v>0</v>
      </c>
      <c r="N285" s="81">
        <v>0</v>
      </c>
      <c r="O285" s="81">
        <v>0</v>
      </c>
      <c r="P285" s="81">
        <v>0</v>
      </c>
      <c r="Q285" s="81">
        <v>0</v>
      </c>
      <c r="R285" s="81">
        <v>0</v>
      </c>
      <c r="S285" s="81">
        <v>0</v>
      </c>
      <c r="T285" s="81">
        <v>0</v>
      </c>
      <c r="U285" s="81">
        <v>0</v>
      </c>
      <c r="V285" s="81">
        <v>0</v>
      </c>
      <c r="W285" s="81">
        <v>0</v>
      </c>
      <c r="X285" s="81">
        <v>0</v>
      </c>
      <c r="Y285" s="81">
        <v>0</v>
      </c>
      <c r="Z285" s="81">
        <v>0</v>
      </c>
      <c r="AA285" s="81">
        <v>0</v>
      </c>
      <c r="AB285" s="81">
        <v>0</v>
      </c>
      <c r="AC285" s="190">
        <v>0</v>
      </c>
      <c r="AD285" s="190">
        <v>0</v>
      </c>
      <c r="AE285" s="81">
        <v>0</v>
      </c>
      <c r="AF285" s="81">
        <v>0</v>
      </c>
      <c r="AG285" s="81">
        <v>0</v>
      </c>
      <c r="AH285" s="81">
        <v>0</v>
      </c>
      <c r="AI285" s="81">
        <v>0</v>
      </c>
      <c r="AJ285" s="81">
        <v>0</v>
      </c>
      <c r="AK285" s="81">
        <v>0</v>
      </c>
      <c r="AL285" s="81">
        <v>0</v>
      </c>
      <c r="AM285" s="81">
        <v>0</v>
      </c>
      <c r="AN285" s="7"/>
    </row>
    <row r="286" spans="1:41">
      <c r="A286" s="125"/>
      <c r="D286" t="s">
        <v>270</v>
      </c>
      <c r="G286" s="81"/>
      <c r="H286" s="81"/>
      <c r="I286" s="81"/>
      <c r="J286" s="81"/>
      <c r="K286" s="81"/>
      <c r="L286" s="81">
        <v>0</v>
      </c>
      <c r="M286" s="81">
        <v>0</v>
      </c>
      <c r="N286" s="81">
        <v>0</v>
      </c>
      <c r="O286" s="81">
        <v>0</v>
      </c>
      <c r="P286" s="81">
        <v>0</v>
      </c>
      <c r="Q286" s="81">
        <v>0</v>
      </c>
      <c r="R286" s="81">
        <v>4320.5749999999998</v>
      </c>
      <c r="S286" s="81">
        <v>4959.8469999999998</v>
      </c>
      <c r="T286" s="81">
        <v>5895.9179999999997</v>
      </c>
      <c r="U286" s="81">
        <v>7147.848</v>
      </c>
      <c r="V286" s="81">
        <v>8435.5040000000008</v>
      </c>
      <c r="W286" s="81">
        <v>9536.8919999999998</v>
      </c>
      <c r="X286" s="81">
        <v>10596.075999999999</v>
      </c>
      <c r="Y286" s="81">
        <v>11535.704</v>
      </c>
      <c r="Z286" s="81">
        <v>12428.486999999999</v>
      </c>
      <c r="AA286" s="81">
        <v>13551.710999999999</v>
      </c>
      <c r="AB286" s="81">
        <v>13489.819</v>
      </c>
      <c r="AC286" s="93">
        <f t="shared" ref="AC286:AM286" ca="1" si="449">+(AC149-AC151)-(AB149-AB151)+AB286</f>
        <v>14826.188250788353</v>
      </c>
      <c r="AD286" s="93">
        <f t="shared" ca="1" si="449"/>
        <v>15929.942278467111</v>
      </c>
      <c r="AE286" s="7">
        <f t="shared" ca="1" si="449"/>
        <v>17136.486721977024</v>
      </c>
      <c r="AF286" s="7">
        <f t="shared" ca="1" si="449"/>
        <v>18457.058983984924</v>
      </c>
      <c r="AG286" s="7">
        <f t="shared" ca="1" si="449"/>
        <v>19892.487295722141</v>
      </c>
      <c r="AH286" s="7">
        <f t="shared" ca="1" si="449"/>
        <v>21446.795741959737</v>
      </c>
      <c r="AI286" s="7">
        <f t="shared" ca="1" si="449"/>
        <v>23123.946550006753</v>
      </c>
      <c r="AJ286" s="7">
        <f t="shared" ca="1" si="449"/>
        <v>24928.803238957193</v>
      </c>
      <c r="AK286" s="7">
        <f t="shared" ca="1" si="449"/>
        <v>26865.50943890481</v>
      </c>
      <c r="AL286" s="7">
        <f t="shared" ca="1" si="449"/>
        <v>28938.99034945844</v>
      </c>
      <c r="AM286" s="7">
        <f t="shared" ca="1" si="449"/>
        <v>31189.075098965655</v>
      </c>
      <c r="AN286" s="7"/>
    </row>
    <row r="287" spans="1:41">
      <c r="A287" s="125"/>
      <c r="D287" t="s">
        <v>128</v>
      </c>
      <c r="G287" s="81"/>
      <c r="H287" s="81"/>
      <c r="I287" s="81"/>
      <c r="J287" s="81"/>
      <c r="K287" s="81"/>
      <c r="L287" s="81">
        <v>0</v>
      </c>
      <c r="M287" s="81">
        <v>4.2110000000000003</v>
      </c>
      <c r="N287" s="81">
        <v>40.173999999999999</v>
      </c>
      <c r="O287" s="81">
        <v>67.066000000000003</v>
      </c>
      <c r="P287" s="81">
        <v>103.163</v>
      </c>
      <c r="Q287" s="81">
        <v>57.234000000000002</v>
      </c>
      <c r="R287" s="81">
        <v>123.685</v>
      </c>
      <c r="S287" s="81">
        <v>133.13399999999999</v>
      </c>
      <c r="T287" s="81">
        <v>145.875</v>
      </c>
      <c r="U287" s="81">
        <v>152.19900000000001</v>
      </c>
      <c r="V287" s="81">
        <v>175.738</v>
      </c>
      <c r="W287" s="81">
        <v>161.86199999999999</v>
      </c>
      <c r="X287" s="81">
        <v>150.96199999999999</v>
      </c>
      <c r="Y287" s="81">
        <v>63.256</v>
      </c>
      <c r="Z287" s="81">
        <v>61.345999999999997</v>
      </c>
      <c r="AA287" s="81">
        <v>89.841999999999999</v>
      </c>
      <c r="AB287" s="81">
        <v>164.261</v>
      </c>
      <c r="AC287" s="93">
        <f t="shared" ref="AC287:AM287" ca="1" si="450">+AB287-AC224</f>
        <v>164.261</v>
      </c>
      <c r="AD287" s="93">
        <f t="shared" ca="1" si="450"/>
        <v>164.261</v>
      </c>
      <c r="AE287" s="7">
        <f t="shared" ca="1" si="450"/>
        <v>164.261</v>
      </c>
      <c r="AF287" s="7">
        <f t="shared" ca="1" si="450"/>
        <v>164.261</v>
      </c>
      <c r="AG287" s="7">
        <f t="shared" ca="1" si="450"/>
        <v>164.261</v>
      </c>
      <c r="AH287" s="7">
        <f t="shared" ca="1" si="450"/>
        <v>164.261</v>
      </c>
      <c r="AI287" s="7">
        <f t="shared" ca="1" si="450"/>
        <v>164.261</v>
      </c>
      <c r="AJ287" s="7">
        <f t="shared" ca="1" si="450"/>
        <v>164.261</v>
      </c>
      <c r="AK287" s="7">
        <f t="shared" ca="1" si="450"/>
        <v>164.261</v>
      </c>
      <c r="AL287" s="7">
        <f t="shared" ca="1" si="450"/>
        <v>164.261</v>
      </c>
      <c r="AM287" s="7">
        <f t="shared" ca="1" si="450"/>
        <v>164.261</v>
      </c>
      <c r="AN287" s="7"/>
    </row>
    <row r="288" spans="1:41">
      <c r="A288" s="125"/>
      <c r="D288" t="s">
        <v>272</v>
      </c>
      <c r="G288" s="81"/>
      <c r="H288" s="81"/>
      <c r="I288" s="81"/>
      <c r="J288" s="81"/>
      <c r="K288" s="81"/>
      <c r="L288" s="81">
        <v>0</v>
      </c>
      <c r="M288" s="81">
        <v>0</v>
      </c>
      <c r="N288" s="81">
        <v>0</v>
      </c>
      <c r="O288" s="81">
        <v>0</v>
      </c>
      <c r="P288" s="81">
        <v>0</v>
      </c>
      <c r="Q288" s="81">
        <v>0</v>
      </c>
      <c r="R288" s="81">
        <v>0</v>
      </c>
      <c r="S288" s="81">
        <v>0</v>
      </c>
      <c r="T288" s="81">
        <v>0</v>
      </c>
      <c r="U288" s="81">
        <v>0</v>
      </c>
      <c r="V288" s="81">
        <v>0</v>
      </c>
      <c r="W288" s="81">
        <v>0</v>
      </c>
      <c r="X288" s="81">
        <v>0</v>
      </c>
      <c r="Y288" s="81">
        <v>0</v>
      </c>
      <c r="Z288" s="81">
        <v>0</v>
      </c>
      <c r="AA288" s="81">
        <v>449.09399999999999</v>
      </c>
      <c r="AB288" s="81">
        <v>431.65199999999999</v>
      </c>
      <c r="AC288" s="93">
        <f ca="1">AC417</f>
        <v>442.37400911104351</v>
      </c>
      <c r="AD288" s="7">
        <f t="shared" ref="AD288:AM288" ca="1" si="451">AD417</f>
        <v>450.24304918373946</v>
      </c>
      <c r="AE288" s="7">
        <f t="shared" ca="1" si="451"/>
        <v>457.01815265338558</v>
      </c>
      <c r="AF288" s="7">
        <f t="shared" ca="1" si="451"/>
        <v>462.75053470914492</v>
      </c>
      <c r="AG288" s="7">
        <f t="shared" ca="1" si="451"/>
        <v>467.5357819808512</v>
      </c>
      <c r="AH288" s="7">
        <f t="shared" ca="1" si="451"/>
        <v>471.36731111912184</v>
      </c>
      <c r="AI288" s="7">
        <f t="shared" ca="1" si="451"/>
        <v>474.29399846068839</v>
      </c>
      <c r="AJ288" s="7">
        <f t="shared" ca="1" si="451"/>
        <v>476.3378171083782</v>
      </c>
      <c r="AK288" s="7">
        <f t="shared" ca="1" si="451"/>
        <v>477.5751433220193</v>
      </c>
      <c r="AL288" s="7">
        <f t="shared" ca="1" si="451"/>
        <v>478.03575368024173</v>
      </c>
      <c r="AM288" s="7">
        <f t="shared" ca="1" si="451"/>
        <v>478.91681386774218</v>
      </c>
      <c r="AN288" s="7"/>
    </row>
    <row r="289" spans="1:40">
      <c r="D289" t="s">
        <v>130</v>
      </c>
      <c r="G289" s="81"/>
      <c r="H289" s="81"/>
      <c r="I289" s="81"/>
      <c r="J289" s="81"/>
      <c r="K289" s="81"/>
      <c r="L289" s="81">
        <v>33.731000000000002</v>
      </c>
      <c r="M289" s="81">
        <v>44</v>
      </c>
      <c r="N289" s="81">
        <v>43.033000000000001</v>
      </c>
      <c r="O289" s="81">
        <v>46.673000000000002</v>
      </c>
      <c r="P289" s="81">
        <v>50.012999999999998</v>
      </c>
      <c r="Q289" s="81">
        <v>49.091999999999999</v>
      </c>
      <c r="R289" s="81">
        <v>95.873999999999995</v>
      </c>
      <c r="S289" s="81">
        <v>106.392</v>
      </c>
      <c r="T289" s="81">
        <v>107.708</v>
      </c>
      <c r="U289" s="81">
        <v>110.90900000000001</v>
      </c>
      <c r="V289" s="81">
        <v>133.483</v>
      </c>
      <c r="W289" s="81">
        <v>127.678</v>
      </c>
      <c r="X289" s="81">
        <v>140.29499999999999</v>
      </c>
      <c r="Y289" s="81">
        <v>158.80699999999999</v>
      </c>
      <c r="Z289" s="81">
        <v>185.96299999999999</v>
      </c>
      <c r="AA289" s="81">
        <v>258.74599999999998</v>
      </c>
      <c r="AB289" s="81">
        <v>283.45</v>
      </c>
      <c r="AC289" s="92">
        <f>+AB289</f>
        <v>283.45</v>
      </c>
      <c r="AD289" s="76">
        <f t="shared" ref="AD289:AM289" si="452">+AC289</f>
        <v>283.45</v>
      </c>
      <c r="AE289" s="76">
        <f t="shared" si="452"/>
        <v>283.45</v>
      </c>
      <c r="AF289" s="76">
        <f t="shared" si="452"/>
        <v>283.45</v>
      </c>
      <c r="AG289" s="76">
        <f t="shared" si="452"/>
        <v>283.45</v>
      </c>
      <c r="AH289" s="76">
        <f t="shared" si="452"/>
        <v>283.45</v>
      </c>
      <c r="AI289" s="76">
        <f t="shared" si="452"/>
        <v>283.45</v>
      </c>
      <c r="AJ289" s="76">
        <f t="shared" si="452"/>
        <v>283.45</v>
      </c>
      <c r="AK289" s="76">
        <f t="shared" si="452"/>
        <v>283.45</v>
      </c>
      <c r="AL289" s="76">
        <f t="shared" si="452"/>
        <v>283.45</v>
      </c>
      <c r="AM289" s="76">
        <f t="shared" si="452"/>
        <v>283.45</v>
      </c>
      <c r="AN289" s="7"/>
    </row>
    <row r="290" spans="1:40" s="3" customFormat="1">
      <c r="A290" s="125" t="s">
        <v>205</v>
      </c>
      <c r="B290" s="163"/>
      <c r="D290" s="2" t="s">
        <v>158</v>
      </c>
      <c r="E290" s="2"/>
      <c r="F290" s="2"/>
      <c r="G290" s="8"/>
      <c r="H290" s="8"/>
      <c r="I290" s="8"/>
      <c r="J290" s="8"/>
      <c r="K290" s="8"/>
      <c r="L290" s="8">
        <f t="shared" ref="L290:AL290" si="453">SUM(L281:L289)</f>
        <v>1293.0130000000001</v>
      </c>
      <c r="M290" s="8">
        <f t="shared" si="453"/>
        <v>1489.2470000000001</v>
      </c>
      <c r="N290" s="8">
        <f t="shared" si="453"/>
        <v>1885.5729999999999</v>
      </c>
      <c r="O290" s="8">
        <f t="shared" si="453"/>
        <v>2333.1610000000001</v>
      </c>
      <c r="P290" s="8">
        <f t="shared" si="453"/>
        <v>2379.1869999999999</v>
      </c>
      <c r="Q290" s="8">
        <f t="shared" si="453"/>
        <v>2556.1909999999998</v>
      </c>
      <c r="R290" s="8">
        <f t="shared" si="453"/>
        <v>7125.549</v>
      </c>
      <c r="S290" s="8">
        <f t="shared" si="453"/>
        <v>8331.5429999999997</v>
      </c>
      <c r="T290" s="8">
        <f t="shared" si="453"/>
        <v>9888.6020000000008</v>
      </c>
      <c r="U290" s="8">
        <f t="shared" si="453"/>
        <v>11707.156999999999</v>
      </c>
      <c r="V290" s="8">
        <f t="shared" si="453"/>
        <v>13198.201000000001</v>
      </c>
      <c r="W290" s="8">
        <f t="shared" si="453"/>
        <v>14459.910999999998</v>
      </c>
      <c r="X290" s="8">
        <f t="shared" si="453"/>
        <v>16279.355999999998</v>
      </c>
      <c r="Y290" s="8">
        <f t="shared" si="453"/>
        <v>17486.272000000001</v>
      </c>
      <c r="Z290" s="8">
        <f t="shared" si="453"/>
        <v>18717.866999999998</v>
      </c>
      <c r="AA290" s="8">
        <f t="shared" si="453"/>
        <v>21082.182000000001</v>
      </c>
      <c r="AB290" s="8">
        <f>SUM(AB281:AB289)</f>
        <v>21541.540999999997</v>
      </c>
      <c r="AC290" s="113">
        <f t="shared" ca="1" si="453"/>
        <v>23877.68509846802</v>
      </c>
      <c r="AD290" s="8">
        <f t="shared" ca="1" si="453"/>
        <v>25537.481010726842</v>
      </c>
      <c r="AE290" s="8">
        <f t="shared" ca="1" si="453"/>
        <v>27299.911435416067</v>
      </c>
      <c r="AF290" s="8">
        <f t="shared" ca="1" si="453"/>
        <v>29277.438484296599</v>
      </c>
      <c r="AG290" s="8">
        <f t="shared" ca="1" si="453"/>
        <v>31460.406901292085</v>
      </c>
      <c r="AH290" s="8">
        <f t="shared" ca="1" si="453"/>
        <v>33828.93616293744</v>
      </c>
      <c r="AI290" s="8">
        <f t="shared" ca="1" si="453"/>
        <v>36143.551862623579</v>
      </c>
      <c r="AJ290" s="8">
        <f t="shared" ca="1" si="453"/>
        <v>38692.799806379422</v>
      </c>
      <c r="AK290" s="8">
        <f t="shared" ca="1" si="453"/>
        <v>41463.190513680711</v>
      </c>
      <c r="AL290" s="8">
        <f t="shared" ca="1" si="453"/>
        <v>44447.392386407526</v>
      </c>
      <c r="AM290" s="8">
        <f ca="1">SUM(AM281:AM289)</f>
        <v>47558.118192116344</v>
      </c>
      <c r="AN290" s="65"/>
    </row>
    <row r="291" spans="1:40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69"/>
      <c r="U291" s="69"/>
      <c r="V291" s="69"/>
      <c r="W291" s="69"/>
      <c r="X291" s="69"/>
      <c r="Y291" s="69"/>
      <c r="Z291" s="69"/>
      <c r="AA291" s="69"/>
      <c r="AB291" s="69"/>
      <c r="AC291" s="93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</row>
    <row r="292" spans="1:40">
      <c r="A292" s="125" t="s">
        <v>206</v>
      </c>
      <c r="D292" t="s">
        <v>159</v>
      </c>
      <c r="G292" s="81"/>
      <c r="H292" s="81"/>
      <c r="I292" s="81"/>
      <c r="J292" s="81"/>
      <c r="K292" s="81"/>
      <c r="L292" s="81">
        <f>65.197+0.33</f>
        <v>65.527000000000001</v>
      </c>
      <c r="M292" s="81">
        <f>0.463+59.762</f>
        <v>60.225000000000001</v>
      </c>
      <c r="N292" s="81">
        <f>3.29+148.443</f>
        <v>151.733</v>
      </c>
      <c r="O292" s="81">
        <f>21.017+79.661</f>
        <v>100.678</v>
      </c>
      <c r="P292" s="81">
        <f>0.878+158.107</f>
        <v>158.98499999999999</v>
      </c>
      <c r="Q292" s="81">
        <f>0.883+122.317</f>
        <v>123.19999999999999</v>
      </c>
      <c r="R292" s="81">
        <v>1.002</v>
      </c>
      <c r="S292" s="81">
        <v>0.94299999999999995</v>
      </c>
      <c r="T292" s="81">
        <v>0.35499999999999998</v>
      </c>
      <c r="U292" s="81">
        <v>0.58199999999999996</v>
      </c>
      <c r="V292" s="81">
        <f>0.785+10</f>
        <v>10.785</v>
      </c>
      <c r="W292" s="81">
        <v>0.42799999999999999</v>
      </c>
      <c r="X292" s="81">
        <v>6.2E-2</v>
      </c>
      <c r="Y292" s="81">
        <f>0.127</f>
        <v>0.127</v>
      </c>
      <c r="Z292" s="81">
        <f>1.129+10.177</f>
        <v>11.305999999999999</v>
      </c>
      <c r="AA292" s="81">
        <f>0.04+9.251</f>
        <v>9.2909999999999986</v>
      </c>
      <c r="AB292" s="81">
        <v>9.9269999999999996</v>
      </c>
      <c r="AC292" s="92">
        <f>+AB292</f>
        <v>9.9269999999999996</v>
      </c>
      <c r="AD292" s="76">
        <f t="shared" ref="AD292:AM292" si="454">+AC292</f>
        <v>9.9269999999999996</v>
      </c>
      <c r="AE292" s="76">
        <f t="shared" si="454"/>
        <v>9.9269999999999996</v>
      </c>
      <c r="AF292" s="76">
        <f t="shared" si="454"/>
        <v>9.9269999999999996</v>
      </c>
      <c r="AG292" s="76">
        <f t="shared" si="454"/>
        <v>9.9269999999999996</v>
      </c>
      <c r="AH292" s="76">
        <f t="shared" si="454"/>
        <v>9.9269999999999996</v>
      </c>
      <c r="AI292" s="76">
        <f t="shared" si="454"/>
        <v>9.9269999999999996</v>
      </c>
      <c r="AJ292" s="76">
        <f t="shared" si="454"/>
        <v>9.9269999999999996</v>
      </c>
      <c r="AK292" s="76">
        <f t="shared" si="454"/>
        <v>9.9269999999999996</v>
      </c>
      <c r="AL292" s="76">
        <f t="shared" si="454"/>
        <v>9.9269999999999996</v>
      </c>
      <c r="AM292" s="76">
        <f t="shared" si="454"/>
        <v>9.9269999999999996</v>
      </c>
      <c r="AN292" s="7"/>
    </row>
    <row r="293" spans="1:40">
      <c r="A293" s="125"/>
      <c r="D293" t="s">
        <v>271</v>
      </c>
      <c r="G293" s="81"/>
      <c r="H293" s="81"/>
      <c r="I293" s="81"/>
      <c r="J293" s="81"/>
      <c r="K293" s="81"/>
      <c r="L293" s="81">
        <v>0</v>
      </c>
      <c r="M293" s="81">
        <v>0</v>
      </c>
      <c r="N293" s="81">
        <v>0</v>
      </c>
      <c r="O293" s="81">
        <v>0</v>
      </c>
      <c r="P293" s="81">
        <v>0</v>
      </c>
      <c r="Q293" s="81">
        <v>0</v>
      </c>
      <c r="R293" s="81">
        <v>132.51900000000001</v>
      </c>
      <c r="S293" s="81">
        <v>174.33699999999999</v>
      </c>
      <c r="T293" s="81">
        <v>182.91499999999999</v>
      </c>
      <c r="U293" s="81">
        <v>223.93799999999999</v>
      </c>
      <c r="V293" s="81">
        <v>258.16300000000001</v>
      </c>
      <c r="W293" s="81">
        <v>300.75</v>
      </c>
      <c r="X293" s="81">
        <v>333.71300000000002</v>
      </c>
      <c r="Y293" s="81">
        <v>355.43299999999999</v>
      </c>
      <c r="Z293" s="81">
        <v>385.04399999999998</v>
      </c>
      <c r="AA293" s="81">
        <v>424.16500000000002</v>
      </c>
      <c r="AB293" s="81">
        <v>442.65199999999999</v>
      </c>
      <c r="AC293" s="92">
        <f t="shared" ref="AC293:AM293" ca="1" si="455">+AC196</f>
        <v>481.9331024270291</v>
      </c>
      <c r="AD293" s="76">
        <f t="shared" ca="1" si="455"/>
        <v>517.67956362405948</v>
      </c>
      <c r="AE293" s="76">
        <f t="shared" ca="1" si="455"/>
        <v>557.05545745143979</v>
      </c>
      <c r="AF293" s="76">
        <f t="shared" ca="1" si="455"/>
        <v>600.1548988433957</v>
      </c>
      <c r="AG293" s="76">
        <f t="shared" ca="1" si="455"/>
        <v>647.00562121343285</v>
      </c>
      <c r="AH293" s="76">
        <f t="shared" ca="1" si="455"/>
        <v>697.73960533474519</v>
      </c>
      <c r="AI293" s="76">
        <f t="shared" ca="1" si="455"/>
        <v>752.48685428598469</v>
      </c>
      <c r="AJ293" s="76">
        <f t="shared" ca="1" si="455"/>
        <v>811.40681051822207</v>
      </c>
      <c r="AK293" s="76">
        <f t="shared" ca="1" si="455"/>
        <v>874.6354805103025</v>
      </c>
      <c r="AL293" s="76">
        <f t="shared" ca="1" si="455"/>
        <v>942.33441057121934</v>
      </c>
      <c r="AM293" s="76">
        <f t="shared" ca="1" si="455"/>
        <v>1015.8039515810788</v>
      </c>
      <c r="AN293" s="7"/>
    </row>
    <row r="294" spans="1:40">
      <c r="D294" t="s">
        <v>160</v>
      </c>
      <c r="G294" s="81"/>
      <c r="H294" s="81"/>
      <c r="I294" s="81"/>
      <c r="J294" s="81"/>
      <c r="K294" s="81"/>
      <c r="L294" s="81">
        <v>170.64599999999999</v>
      </c>
      <c r="M294" s="81">
        <v>188.614</v>
      </c>
      <c r="N294" s="81">
        <v>254.89500000000001</v>
      </c>
      <c r="O294" s="81">
        <v>306.01299999999998</v>
      </c>
      <c r="P294" s="81">
        <v>237.31200000000001</v>
      </c>
      <c r="Q294" s="81">
        <v>253.267</v>
      </c>
      <c r="R294" s="81">
        <v>269.76299999999998</v>
      </c>
      <c r="S294" s="81">
        <v>324.827</v>
      </c>
      <c r="T294" s="81">
        <v>336.721</v>
      </c>
      <c r="U294" s="81">
        <v>427.49200000000002</v>
      </c>
      <c r="V294" s="81">
        <v>454.81</v>
      </c>
      <c r="W294" s="81">
        <v>441.74599999999998</v>
      </c>
      <c r="X294" s="81">
        <v>494.98899999999998</v>
      </c>
      <c r="Y294" s="81">
        <v>529.73299999999995</v>
      </c>
      <c r="Z294" s="81">
        <v>593.17100000000005</v>
      </c>
      <c r="AA294" s="81">
        <v>737.14400000000001</v>
      </c>
      <c r="AB294" s="81">
        <v>799.33299999999997</v>
      </c>
      <c r="AC294" s="92">
        <f>+AB294</f>
        <v>799.33299999999997</v>
      </c>
      <c r="AD294" s="76">
        <f t="shared" ref="AD294:AM294" si="456">+AC294</f>
        <v>799.33299999999997</v>
      </c>
      <c r="AE294" s="76">
        <f t="shared" si="456"/>
        <v>799.33299999999997</v>
      </c>
      <c r="AF294" s="76">
        <f t="shared" si="456"/>
        <v>799.33299999999997</v>
      </c>
      <c r="AG294" s="76">
        <f t="shared" si="456"/>
        <v>799.33299999999997</v>
      </c>
      <c r="AH294" s="76">
        <f t="shared" si="456"/>
        <v>799.33299999999997</v>
      </c>
      <c r="AI294" s="76">
        <f t="shared" si="456"/>
        <v>799.33299999999997</v>
      </c>
      <c r="AJ294" s="76">
        <f t="shared" si="456"/>
        <v>799.33299999999997</v>
      </c>
      <c r="AK294" s="76">
        <f t="shared" si="456"/>
        <v>799.33299999999997</v>
      </c>
      <c r="AL294" s="76">
        <f t="shared" si="456"/>
        <v>799.33299999999997</v>
      </c>
      <c r="AM294" s="76">
        <f t="shared" si="456"/>
        <v>799.33299999999997</v>
      </c>
      <c r="AN294" s="7"/>
    </row>
    <row r="295" spans="1:40">
      <c r="D295" t="s">
        <v>161</v>
      </c>
      <c r="G295" s="81"/>
      <c r="H295" s="81"/>
      <c r="I295" s="81"/>
      <c r="J295" s="81"/>
      <c r="K295" s="81"/>
      <c r="L295" s="81">
        <v>65.664000000000001</v>
      </c>
      <c r="M295" s="81">
        <v>85.316000000000003</v>
      </c>
      <c r="N295" s="81">
        <v>68.885000000000005</v>
      </c>
      <c r="O295" s="81">
        <v>58.054000000000002</v>
      </c>
      <c r="P295" s="81">
        <v>55.792999999999999</v>
      </c>
      <c r="Q295" s="81">
        <v>94.557000000000002</v>
      </c>
      <c r="R295" s="81">
        <v>105.998</v>
      </c>
      <c r="S295" s="81">
        <v>128.97300000000001</v>
      </c>
      <c r="T295" s="81">
        <v>147.821</v>
      </c>
      <c r="U295" s="81">
        <v>202.58799999999999</v>
      </c>
      <c r="V295" s="81">
        <v>250.30699999999999</v>
      </c>
      <c r="W295" s="81">
        <v>245.90899999999999</v>
      </c>
      <c r="X295" s="81">
        <v>266.12799999999999</v>
      </c>
      <c r="Y295" s="81">
        <v>278.77100000000002</v>
      </c>
      <c r="Z295" s="81">
        <f>318.204+3.784</f>
        <v>321.988</v>
      </c>
      <c r="AA295" s="81">
        <f>331.738+1.389</f>
        <v>333.12700000000001</v>
      </c>
      <c r="AB295" s="81">
        <v>415.46499999999997</v>
      </c>
      <c r="AC295" s="92">
        <f>+AB295</f>
        <v>415.46499999999997</v>
      </c>
      <c r="AD295" s="76">
        <f t="shared" ref="AD295:AM296" si="457">+AC295</f>
        <v>415.46499999999997</v>
      </c>
      <c r="AE295" s="76">
        <f t="shared" si="457"/>
        <v>415.46499999999997</v>
      </c>
      <c r="AF295" s="76">
        <f t="shared" si="457"/>
        <v>415.46499999999997</v>
      </c>
      <c r="AG295" s="76">
        <f t="shared" si="457"/>
        <v>415.46499999999997</v>
      </c>
      <c r="AH295" s="76">
        <f t="shared" si="457"/>
        <v>415.46499999999997</v>
      </c>
      <c r="AI295" s="76">
        <f t="shared" si="457"/>
        <v>415.46499999999997</v>
      </c>
      <c r="AJ295" s="76">
        <f t="shared" si="457"/>
        <v>415.46499999999997</v>
      </c>
      <c r="AK295" s="76">
        <f t="shared" si="457"/>
        <v>415.46499999999997</v>
      </c>
      <c r="AL295" s="76">
        <f t="shared" si="457"/>
        <v>415.46499999999997</v>
      </c>
      <c r="AM295" s="76">
        <f t="shared" si="457"/>
        <v>415.46499999999997</v>
      </c>
      <c r="AN295" s="7"/>
    </row>
    <row r="296" spans="1:40">
      <c r="D296" t="s">
        <v>396</v>
      </c>
      <c r="G296" s="81"/>
      <c r="H296" s="81"/>
      <c r="I296" s="81"/>
      <c r="J296" s="81"/>
      <c r="K296" s="81"/>
      <c r="L296" s="81">
        <v>0</v>
      </c>
      <c r="M296" s="81">
        <v>0</v>
      </c>
      <c r="N296" s="81">
        <v>0</v>
      </c>
      <c r="O296" s="81">
        <v>0</v>
      </c>
      <c r="P296" s="81">
        <v>0</v>
      </c>
      <c r="Q296" s="81">
        <v>0</v>
      </c>
      <c r="R296" s="81">
        <v>12.617000000000001</v>
      </c>
      <c r="S296" s="81">
        <v>14.108000000000001</v>
      </c>
      <c r="T296" s="81">
        <v>16.138999999999999</v>
      </c>
      <c r="U296" s="81">
        <v>18.459</v>
      </c>
      <c r="V296" s="81">
        <v>21.553999999999998</v>
      </c>
      <c r="W296" s="81">
        <v>14.331</v>
      </c>
      <c r="X296" s="81">
        <v>9.4909999999999997</v>
      </c>
      <c r="Y296" s="81">
        <v>9.9939999999999998</v>
      </c>
      <c r="Z296" s="81">
        <v>0</v>
      </c>
      <c r="AA296" s="81">
        <v>30.98</v>
      </c>
      <c r="AB296" s="81">
        <f>0.218+30.953</f>
        <v>31.170999999999999</v>
      </c>
      <c r="AC296" s="92">
        <f>+AB296</f>
        <v>31.170999999999999</v>
      </c>
      <c r="AD296" s="76">
        <f t="shared" si="457"/>
        <v>31.170999999999999</v>
      </c>
      <c r="AE296" s="76">
        <f t="shared" si="457"/>
        <v>31.170999999999999</v>
      </c>
      <c r="AF296" s="76">
        <f t="shared" si="457"/>
        <v>31.170999999999999</v>
      </c>
      <c r="AG296" s="76">
        <f t="shared" si="457"/>
        <v>31.170999999999999</v>
      </c>
      <c r="AH296" s="76">
        <f t="shared" si="457"/>
        <v>31.170999999999999</v>
      </c>
      <c r="AI296" s="76">
        <f t="shared" si="457"/>
        <v>31.170999999999999</v>
      </c>
      <c r="AJ296" s="76">
        <f t="shared" si="457"/>
        <v>31.170999999999999</v>
      </c>
      <c r="AK296" s="76">
        <f t="shared" si="457"/>
        <v>31.170999999999999</v>
      </c>
      <c r="AL296" s="76">
        <f t="shared" si="457"/>
        <v>31.170999999999999</v>
      </c>
      <c r="AM296" s="76">
        <f t="shared" si="457"/>
        <v>31.170999999999999</v>
      </c>
      <c r="AN296" s="7"/>
    </row>
    <row r="297" spans="1:40">
      <c r="D297" t="s">
        <v>227</v>
      </c>
      <c r="G297" s="81"/>
      <c r="H297" s="81"/>
      <c r="I297" s="81"/>
      <c r="J297" s="81"/>
      <c r="K297" s="81"/>
      <c r="L297" s="81">
        <v>0</v>
      </c>
      <c r="M297" s="81">
        <v>0</v>
      </c>
      <c r="N297" s="81">
        <v>0</v>
      </c>
      <c r="O297" s="81">
        <v>0</v>
      </c>
      <c r="P297" s="81">
        <v>0</v>
      </c>
      <c r="Q297" s="81">
        <v>0</v>
      </c>
      <c r="R297" s="81">
        <v>0</v>
      </c>
      <c r="S297" s="81">
        <v>0</v>
      </c>
      <c r="T297" s="81">
        <v>0</v>
      </c>
      <c r="U297" s="81">
        <v>0</v>
      </c>
      <c r="V297" s="81">
        <v>0</v>
      </c>
      <c r="W297" s="81">
        <v>0</v>
      </c>
      <c r="X297" s="81">
        <v>0</v>
      </c>
      <c r="Y297" s="81">
        <v>0</v>
      </c>
      <c r="Z297" s="81">
        <v>0</v>
      </c>
      <c r="AA297" s="81">
        <v>0</v>
      </c>
      <c r="AB297" s="81">
        <v>0</v>
      </c>
      <c r="AC297" s="190">
        <v>0</v>
      </c>
      <c r="AD297" s="81">
        <v>0</v>
      </c>
      <c r="AE297" s="81">
        <v>0</v>
      </c>
      <c r="AF297" s="81">
        <v>0</v>
      </c>
      <c r="AG297" s="81">
        <v>0</v>
      </c>
      <c r="AH297" s="81">
        <v>0</v>
      </c>
      <c r="AI297" s="81">
        <v>0</v>
      </c>
      <c r="AJ297" s="81">
        <v>0</v>
      </c>
      <c r="AK297" s="81">
        <v>0</v>
      </c>
      <c r="AL297" s="81">
        <v>0</v>
      </c>
      <c r="AM297" s="81">
        <v>0</v>
      </c>
      <c r="AN297" s="7"/>
    </row>
    <row r="298" spans="1:40">
      <c r="D298" t="s">
        <v>130</v>
      </c>
      <c r="G298" s="81"/>
      <c r="H298" s="81"/>
      <c r="I298" s="81"/>
      <c r="J298" s="81"/>
      <c r="K298" s="81"/>
      <c r="L298" s="81">
        <f>1.179+26.315</f>
        <v>27.494</v>
      </c>
      <c r="M298" s="81">
        <f>5.598+23.562</f>
        <v>29.16</v>
      </c>
      <c r="N298" s="81">
        <f>23.377+13.132</f>
        <v>36.509</v>
      </c>
      <c r="O298" s="81">
        <f>7.569+17.71</f>
        <v>25.279</v>
      </c>
      <c r="P298" s="81">
        <f>26.551+12.129</f>
        <v>38.68</v>
      </c>
      <c r="Q298" s="81">
        <v>6.327</v>
      </c>
      <c r="R298" s="81">
        <v>0.77200000000000002</v>
      </c>
      <c r="S298" s="81">
        <v>3.125</v>
      </c>
      <c r="T298" s="81">
        <v>0.35499999999999998</v>
      </c>
      <c r="U298" s="81">
        <v>2.4380000000000002</v>
      </c>
      <c r="V298" s="81">
        <v>1.554</v>
      </c>
      <c r="W298" s="81">
        <v>2.0289999999999999</v>
      </c>
      <c r="X298" s="81">
        <v>1.4039999999999999</v>
      </c>
      <c r="Y298" s="81">
        <v>0</v>
      </c>
      <c r="Z298" s="81">
        <v>0</v>
      </c>
      <c r="AA298" s="81">
        <v>0</v>
      </c>
      <c r="AB298" s="81">
        <v>0</v>
      </c>
      <c r="AC298" s="190">
        <v>0</v>
      </c>
      <c r="AD298" s="81">
        <v>0</v>
      </c>
      <c r="AE298" s="81">
        <v>0</v>
      </c>
      <c r="AF298" s="81">
        <v>0</v>
      </c>
      <c r="AG298" s="81">
        <v>0</v>
      </c>
      <c r="AH298" s="81">
        <v>0</v>
      </c>
      <c r="AI298" s="81">
        <v>0</v>
      </c>
      <c r="AJ298" s="81">
        <v>0</v>
      </c>
      <c r="AK298" s="81">
        <v>0</v>
      </c>
      <c r="AL298" s="81">
        <v>0</v>
      </c>
      <c r="AM298" s="81">
        <v>0</v>
      </c>
      <c r="AN298" s="7"/>
    </row>
    <row r="299" spans="1:40" s="3" customFormat="1">
      <c r="A299" s="125" t="s">
        <v>207</v>
      </c>
      <c r="B299" s="163"/>
      <c r="D299" s="2" t="s">
        <v>162</v>
      </c>
      <c r="E299" s="2"/>
      <c r="F299" s="2"/>
      <c r="G299" s="8"/>
      <c r="H299" s="8"/>
      <c r="I299" s="8"/>
      <c r="J299" s="8"/>
      <c r="K299" s="8"/>
      <c r="L299" s="8">
        <f t="shared" ref="L299:AL299" si="458">SUM(L292:L298)</f>
        <v>329.33100000000002</v>
      </c>
      <c r="M299" s="8">
        <f t="shared" si="458"/>
        <v>363.315</v>
      </c>
      <c r="N299" s="8">
        <f t="shared" si="458"/>
        <v>512.02200000000005</v>
      </c>
      <c r="O299" s="8">
        <f t="shared" si="458"/>
        <v>490.024</v>
      </c>
      <c r="P299" s="8">
        <f t="shared" si="458"/>
        <v>490.77000000000004</v>
      </c>
      <c r="Q299" s="8">
        <f t="shared" si="458"/>
        <v>477.351</v>
      </c>
      <c r="R299" s="8">
        <f t="shared" si="458"/>
        <v>522.67100000000005</v>
      </c>
      <c r="S299" s="8">
        <f t="shared" si="458"/>
        <v>646.31299999999987</v>
      </c>
      <c r="T299" s="8">
        <f t="shared" si="458"/>
        <v>684.30600000000004</v>
      </c>
      <c r="U299" s="8">
        <f t="shared" si="458"/>
        <v>875.49699999999984</v>
      </c>
      <c r="V299" s="8">
        <f t="shared" si="458"/>
        <v>997.173</v>
      </c>
      <c r="W299" s="8">
        <f t="shared" si="458"/>
        <v>1005.193</v>
      </c>
      <c r="X299" s="8">
        <f t="shared" si="458"/>
        <v>1105.787</v>
      </c>
      <c r="Y299" s="8">
        <f t="shared" si="458"/>
        <v>1174.0579999999998</v>
      </c>
      <c r="Z299" s="8">
        <f t="shared" si="458"/>
        <v>1311.509</v>
      </c>
      <c r="AA299" s="8">
        <f t="shared" si="458"/>
        <v>1534.7069999999999</v>
      </c>
      <c r="AB299" s="8">
        <f>SUM(AB292:AB298)</f>
        <v>1698.548</v>
      </c>
      <c r="AC299" s="113">
        <f t="shared" ca="1" si="458"/>
        <v>1737.8291024270291</v>
      </c>
      <c r="AD299" s="8">
        <f t="shared" ca="1" si="458"/>
        <v>1773.5755636240594</v>
      </c>
      <c r="AE299" s="8">
        <f t="shared" ca="1" si="458"/>
        <v>1812.9514574514396</v>
      </c>
      <c r="AF299" s="8">
        <f t="shared" ca="1" si="458"/>
        <v>1856.0508988433958</v>
      </c>
      <c r="AG299" s="8">
        <f t="shared" ca="1" si="458"/>
        <v>1902.9016212134329</v>
      </c>
      <c r="AH299" s="8">
        <f t="shared" ca="1" si="458"/>
        <v>1953.6356053347452</v>
      </c>
      <c r="AI299" s="8">
        <f t="shared" ca="1" si="458"/>
        <v>2008.3828542859846</v>
      </c>
      <c r="AJ299" s="8">
        <f t="shared" ca="1" si="458"/>
        <v>2067.302810518222</v>
      </c>
      <c r="AK299" s="8">
        <f t="shared" ca="1" si="458"/>
        <v>2130.5314805103026</v>
      </c>
      <c r="AL299" s="8">
        <f t="shared" ca="1" si="458"/>
        <v>2198.2304105712192</v>
      </c>
      <c r="AM299" s="8">
        <f ca="1">SUM(AM292:AM298)</f>
        <v>2271.6999515810785</v>
      </c>
      <c r="AN299" s="65"/>
    </row>
    <row r="300" spans="1:40">
      <c r="A300" s="125" t="s">
        <v>209</v>
      </c>
      <c r="D300" t="s">
        <v>163</v>
      </c>
      <c r="G300" s="81"/>
      <c r="H300" s="81"/>
      <c r="I300" s="81"/>
      <c r="J300" s="81"/>
      <c r="K300" s="81"/>
      <c r="L300" s="81">
        <v>128.41900000000001</v>
      </c>
      <c r="M300" s="81">
        <v>134.78700000000001</v>
      </c>
      <c r="N300" s="81">
        <v>33.744</v>
      </c>
      <c r="O300" s="81">
        <v>227.15299999999999</v>
      </c>
      <c r="P300" s="81">
        <v>178.06200000000001</v>
      </c>
      <c r="Q300" s="81">
        <v>27.370999999999999</v>
      </c>
      <c r="R300" s="81">
        <v>0</v>
      </c>
      <c r="S300" s="81">
        <v>0</v>
      </c>
      <c r="T300" s="81">
        <v>0</v>
      </c>
      <c r="U300" s="81">
        <v>0</v>
      </c>
      <c r="V300" s="81">
        <v>300</v>
      </c>
      <c r="W300" s="81">
        <v>713.91</v>
      </c>
      <c r="X300" s="81">
        <v>952.56200000000001</v>
      </c>
      <c r="Y300" s="81">
        <v>995.47900000000004</v>
      </c>
      <c r="Z300" s="81">
        <v>1649.2439999999999</v>
      </c>
      <c r="AA300" s="81">
        <v>1778.672</v>
      </c>
      <c r="AB300" s="81">
        <v>1322.415</v>
      </c>
      <c r="AC300" s="93">
        <f t="shared" ref="AC300:AM300" ca="1" si="459">AC353-AC292</f>
        <v>1687.3490141277666</v>
      </c>
      <c r="AD300" s="93">
        <f t="shared" ca="1" si="459"/>
        <v>1969.8079239249889</v>
      </c>
      <c r="AE300" s="93">
        <f t="shared" ca="1" si="459"/>
        <v>2228.8048898880743</v>
      </c>
      <c r="AF300" s="93">
        <f t="shared" ca="1" si="459"/>
        <v>2552.845025491391</v>
      </c>
      <c r="AG300" s="93">
        <f t="shared" ca="1" si="459"/>
        <v>2912.2622359529646</v>
      </c>
      <c r="AH300" s="93">
        <f t="shared" ca="1" si="459"/>
        <v>3290.4039074934876</v>
      </c>
      <c r="AI300" s="93">
        <f t="shared" ca="1" si="459"/>
        <v>3695.546961607396</v>
      </c>
      <c r="AJ300" s="93">
        <f t="shared" ca="1" si="459"/>
        <v>4169.7593583627431</v>
      </c>
      <c r="AK300" s="93">
        <f t="shared" ca="1" si="459"/>
        <v>4693.3527334977371</v>
      </c>
      <c r="AL300" s="93">
        <f t="shared" ca="1" si="459"/>
        <v>5257.2819653943498</v>
      </c>
      <c r="AM300" s="93">
        <f t="shared" ca="1" si="459"/>
        <v>5722.2735305862197</v>
      </c>
      <c r="AN300" s="7"/>
    </row>
    <row r="301" spans="1:40">
      <c r="A301" s="125"/>
      <c r="D301" t="s">
        <v>273</v>
      </c>
      <c r="G301" s="81"/>
      <c r="H301" s="81"/>
      <c r="I301" s="81"/>
      <c r="J301" s="81"/>
      <c r="K301" s="81"/>
      <c r="L301" s="81">
        <v>0</v>
      </c>
      <c r="M301" s="81">
        <v>0</v>
      </c>
      <c r="N301" s="81">
        <v>0</v>
      </c>
      <c r="O301" s="81">
        <v>0</v>
      </c>
      <c r="P301" s="81">
        <v>0</v>
      </c>
      <c r="Q301" s="81">
        <v>0</v>
      </c>
      <c r="R301" s="81">
        <v>3881.1419999999998</v>
      </c>
      <c r="S301" s="81">
        <v>4509.7520000000004</v>
      </c>
      <c r="T301" s="81">
        <v>5672.1750000000002</v>
      </c>
      <c r="U301" s="81">
        <v>7024.5060000000003</v>
      </c>
      <c r="V301" s="81">
        <v>8212.4660000000003</v>
      </c>
      <c r="W301" s="81">
        <v>9206.4249999999993</v>
      </c>
      <c r="X301" s="81">
        <v>10387.231</v>
      </c>
      <c r="Y301" s="81">
        <v>11266.964</v>
      </c>
      <c r="Z301" s="81">
        <v>12127.29</v>
      </c>
      <c r="AA301" s="81">
        <v>13165.384</v>
      </c>
      <c r="AB301" s="81">
        <v>13297.504000000001</v>
      </c>
      <c r="AC301" s="92">
        <f t="shared" ref="AC301:AM301" ca="1" si="460">+AC197</f>
        <v>14477.529430016875</v>
      </c>
      <c r="AD301" s="76">
        <f t="shared" ca="1" si="460"/>
        <v>15551.372337658444</v>
      </c>
      <c r="AE301" s="76">
        <f t="shared" ca="1" si="460"/>
        <v>16734.24535229108</v>
      </c>
      <c r="AF301" s="76">
        <f t="shared" ca="1" si="460"/>
        <v>18028.975737124536</v>
      </c>
      <c r="AG301" s="76">
        <f t="shared" ca="1" si="460"/>
        <v>19436.396618806892</v>
      </c>
      <c r="AH301" s="76">
        <f t="shared" ca="1" si="460"/>
        <v>20960.472770702938</v>
      </c>
      <c r="AI301" s="76">
        <f t="shared" ca="1" si="460"/>
        <v>22605.109555170427</v>
      </c>
      <c r="AJ301" s="76">
        <f t="shared" ca="1" si="460"/>
        <v>24375.096709137881</v>
      </c>
      <c r="AK301" s="76">
        <f t="shared" ca="1" si="460"/>
        <v>26274.519940331615</v>
      </c>
      <c r="AL301" s="76">
        <f t="shared" ca="1" si="460"/>
        <v>28308.232186702942</v>
      </c>
      <c r="AM301" s="76">
        <f t="shared" ca="1" si="460"/>
        <v>30515.296687612841</v>
      </c>
      <c r="AN301" s="7"/>
    </row>
    <row r="302" spans="1:40">
      <c r="A302" s="125" t="s">
        <v>211</v>
      </c>
      <c r="D302" t="s">
        <v>210</v>
      </c>
      <c r="G302" s="81"/>
      <c r="H302" s="81"/>
      <c r="I302" s="81"/>
      <c r="J302" s="81"/>
      <c r="K302" s="81"/>
      <c r="L302" s="81">
        <v>0</v>
      </c>
      <c r="M302" s="81">
        <v>0</v>
      </c>
      <c r="N302" s="81">
        <v>0</v>
      </c>
      <c r="O302" s="81">
        <v>0</v>
      </c>
      <c r="P302" s="81">
        <v>0</v>
      </c>
      <c r="Q302" s="81">
        <v>0</v>
      </c>
      <c r="R302" s="81">
        <v>0</v>
      </c>
      <c r="S302" s="81">
        <v>0</v>
      </c>
      <c r="T302" s="81">
        <v>0</v>
      </c>
      <c r="U302" s="81">
        <v>0</v>
      </c>
      <c r="V302" s="81">
        <v>0</v>
      </c>
      <c r="W302" s="81">
        <v>0</v>
      </c>
      <c r="X302" s="81">
        <v>0</v>
      </c>
      <c r="Y302" s="81">
        <v>0</v>
      </c>
      <c r="Z302" s="81">
        <v>0</v>
      </c>
      <c r="AA302" s="81">
        <v>0</v>
      </c>
      <c r="AB302" s="81">
        <v>0</v>
      </c>
      <c r="AC302" s="190">
        <v>0</v>
      </c>
      <c r="AD302" s="81">
        <v>0</v>
      </c>
      <c r="AE302" s="81">
        <v>0</v>
      </c>
      <c r="AF302" s="81">
        <v>0</v>
      </c>
      <c r="AG302" s="81">
        <v>0</v>
      </c>
      <c r="AH302" s="81">
        <v>0</v>
      </c>
      <c r="AI302" s="81">
        <v>0</v>
      </c>
      <c r="AJ302" s="81">
        <v>0</v>
      </c>
      <c r="AK302" s="81">
        <v>0</v>
      </c>
      <c r="AL302" s="81">
        <v>0</v>
      </c>
      <c r="AM302" s="81">
        <v>0</v>
      </c>
      <c r="AN302" s="7"/>
    </row>
    <row r="303" spans="1:40">
      <c r="A303" s="125"/>
      <c r="D303" t="s">
        <v>396</v>
      </c>
      <c r="G303" s="81"/>
      <c r="H303" s="81"/>
      <c r="I303" s="81"/>
      <c r="J303" s="81"/>
      <c r="K303" s="81"/>
      <c r="L303" s="81">
        <v>0</v>
      </c>
      <c r="M303" s="81">
        <v>0</v>
      </c>
      <c r="N303" s="81">
        <v>0</v>
      </c>
      <c r="O303" s="81">
        <v>0</v>
      </c>
      <c r="P303" s="81">
        <v>0</v>
      </c>
      <c r="Q303" s="81">
        <v>0</v>
      </c>
      <c r="R303" s="81">
        <v>367.61700000000002</v>
      </c>
      <c r="S303" s="81">
        <v>353.56599999999997</v>
      </c>
      <c r="T303" s="81">
        <v>337.452</v>
      </c>
      <c r="U303" s="81">
        <v>315.92500000000001</v>
      </c>
      <c r="V303" s="81">
        <v>306.28399999999999</v>
      </c>
      <c r="W303" s="81">
        <v>400.32299999999998</v>
      </c>
      <c r="X303" s="81">
        <v>486.64499999999998</v>
      </c>
      <c r="Y303" s="81">
        <v>490.36900000000003</v>
      </c>
      <c r="Z303" s="81">
        <v>0</v>
      </c>
      <c r="AA303" s="81">
        <v>440.67099999999999</v>
      </c>
      <c r="AB303" s="81">
        <v>423.61799999999999</v>
      </c>
      <c r="AC303" s="92">
        <f ca="1">AC288-AB288+AB303</f>
        <v>434.34000911104351</v>
      </c>
      <c r="AD303" s="76">
        <f t="shared" ref="AD303:AM303" ca="1" si="461">AD288-AC288+AC303</f>
        <v>442.20904918373947</v>
      </c>
      <c r="AE303" s="76">
        <f t="shared" ca="1" si="461"/>
        <v>448.98415265338559</v>
      </c>
      <c r="AF303" s="76">
        <f t="shared" ca="1" si="461"/>
        <v>454.71653470914492</v>
      </c>
      <c r="AG303" s="76">
        <f t="shared" ca="1" si="461"/>
        <v>459.50178198085121</v>
      </c>
      <c r="AH303" s="76">
        <f t="shared" ca="1" si="461"/>
        <v>463.33331111912184</v>
      </c>
      <c r="AI303" s="76">
        <f t="shared" ca="1" si="461"/>
        <v>466.25999846068839</v>
      </c>
      <c r="AJ303" s="76">
        <f t="shared" ca="1" si="461"/>
        <v>468.30381710837821</v>
      </c>
      <c r="AK303" s="76">
        <f t="shared" ca="1" si="461"/>
        <v>469.54114332201931</v>
      </c>
      <c r="AL303" s="76">
        <f t="shared" ca="1" si="461"/>
        <v>470.00175368024173</v>
      </c>
      <c r="AM303" s="76">
        <f t="shared" ca="1" si="461"/>
        <v>470.88281386774219</v>
      </c>
      <c r="AN303" s="7"/>
    </row>
    <row r="304" spans="1:40">
      <c r="D304" t="s">
        <v>128</v>
      </c>
      <c r="G304" s="81"/>
      <c r="H304" s="81"/>
      <c r="I304" s="81"/>
      <c r="J304" s="81"/>
      <c r="K304" s="81"/>
      <c r="L304" s="81">
        <v>0</v>
      </c>
      <c r="M304" s="81">
        <v>0</v>
      </c>
      <c r="N304" s="81">
        <v>0</v>
      </c>
      <c r="O304" s="81">
        <v>0</v>
      </c>
      <c r="P304" s="81">
        <v>0</v>
      </c>
      <c r="Q304" s="81">
        <v>0</v>
      </c>
      <c r="R304" s="81">
        <v>0</v>
      </c>
      <c r="S304" s="81">
        <v>0</v>
      </c>
      <c r="T304" s="81">
        <v>0</v>
      </c>
      <c r="U304" s="81">
        <v>0</v>
      </c>
      <c r="V304" s="81">
        <v>0</v>
      </c>
      <c r="W304" s="81">
        <v>0</v>
      </c>
      <c r="X304" s="81">
        <v>0</v>
      </c>
      <c r="Y304" s="81">
        <v>0</v>
      </c>
      <c r="Z304" s="81">
        <v>0</v>
      </c>
      <c r="AA304" s="81">
        <v>0</v>
      </c>
      <c r="AB304" s="81">
        <v>0</v>
      </c>
      <c r="AC304" s="93">
        <f>+AB304</f>
        <v>0</v>
      </c>
      <c r="AD304" s="7">
        <f t="shared" ref="AD304:AM305" si="462">+AC304</f>
        <v>0</v>
      </c>
      <c r="AE304" s="7">
        <f t="shared" si="462"/>
        <v>0</v>
      </c>
      <c r="AF304" s="7">
        <f t="shared" si="462"/>
        <v>0</v>
      </c>
      <c r="AG304" s="7">
        <f t="shared" si="462"/>
        <v>0</v>
      </c>
      <c r="AH304" s="7">
        <f t="shared" si="462"/>
        <v>0</v>
      </c>
      <c r="AI304" s="7">
        <f t="shared" si="462"/>
        <v>0</v>
      </c>
      <c r="AJ304" s="7">
        <f t="shared" si="462"/>
        <v>0</v>
      </c>
      <c r="AK304" s="7">
        <f t="shared" si="462"/>
        <v>0</v>
      </c>
      <c r="AL304" s="7">
        <f t="shared" si="462"/>
        <v>0</v>
      </c>
      <c r="AM304" s="7">
        <f t="shared" si="462"/>
        <v>0</v>
      </c>
      <c r="AN304" s="7"/>
    </row>
    <row r="305" spans="1:45">
      <c r="D305" t="s">
        <v>130</v>
      </c>
      <c r="G305" s="81"/>
      <c r="H305" s="81"/>
      <c r="I305" s="81"/>
      <c r="J305" s="81"/>
      <c r="K305" s="81"/>
      <c r="L305" s="81">
        <f>29.26+5.027</f>
        <v>34.286999999999999</v>
      </c>
      <c r="M305" s="81">
        <v>31.407</v>
      </c>
      <c r="N305" s="81">
        <v>92.432000000000002</v>
      </c>
      <c r="O305" s="81">
        <v>127.05800000000001</v>
      </c>
      <c r="P305" s="81">
        <v>117.288</v>
      </c>
      <c r="Q305" s="81">
        <v>117.887</v>
      </c>
      <c r="R305" s="81">
        <v>114.87</v>
      </c>
      <c r="S305" s="81">
        <v>148.80000000000001</v>
      </c>
      <c r="T305" s="81">
        <v>175.63499999999999</v>
      </c>
      <c r="U305" s="81">
        <v>174.232</v>
      </c>
      <c r="V305" s="81">
        <v>225.49299999999999</v>
      </c>
      <c r="W305" s="81">
        <v>229.274</v>
      </c>
      <c r="X305" s="81">
        <v>238.55099999999999</v>
      </c>
      <c r="Y305" s="81">
        <v>242.553</v>
      </c>
      <c r="Z305" s="81">
        <v>272.79599999999999</v>
      </c>
      <c r="AA305" s="81">
        <v>393.87299999999999</v>
      </c>
      <c r="AB305" s="81">
        <v>434.84300000000002</v>
      </c>
      <c r="AC305" s="92">
        <f>+AB305</f>
        <v>434.84300000000002</v>
      </c>
      <c r="AD305" s="76">
        <f t="shared" si="462"/>
        <v>434.84300000000002</v>
      </c>
      <c r="AE305" s="76">
        <f t="shared" si="462"/>
        <v>434.84300000000002</v>
      </c>
      <c r="AF305" s="76">
        <f t="shared" si="462"/>
        <v>434.84300000000002</v>
      </c>
      <c r="AG305" s="76">
        <f t="shared" si="462"/>
        <v>434.84300000000002</v>
      </c>
      <c r="AH305" s="76">
        <f t="shared" si="462"/>
        <v>434.84300000000002</v>
      </c>
      <c r="AI305" s="76">
        <f t="shared" si="462"/>
        <v>434.84300000000002</v>
      </c>
      <c r="AJ305" s="76">
        <f t="shared" si="462"/>
        <v>434.84300000000002</v>
      </c>
      <c r="AK305" s="76">
        <f t="shared" si="462"/>
        <v>434.84300000000002</v>
      </c>
      <c r="AL305" s="76">
        <f t="shared" si="462"/>
        <v>434.84300000000002</v>
      </c>
      <c r="AM305" s="76">
        <f t="shared" si="462"/>
        <v>434.84300000000002</v>
      </c>
      <c r="AN305" s="7"/>
    </row>
    <row r="306" spans="1:45" s="3" customFormat="1">
      <c r="A306" s="125" t="s">
        <v>208</v>
      </c>
      <c r="B306" s="163"/>
      <c r="D306" s="2" t="s">
        <v>164</v>
      </c>
      <c r="E306" s="2"/>
      <c r="F306" s="2"/>
      <c r="G306" s="8"/>
      <c r="H306" s="8"/>
      <c r="I306" s="8"/>
      <c r="J306" s="8"/>
      <c r="K306" s="8"/>
      <c r="L306" s="8">
        <f>SUM(L299:L305)</f>
        <v>492.03699999999998</v>
      </c>
      <c r="M306" s="8">
        <f t="shared" ref="M306:Y306" si="463">SUM(M299:M305)</f>
        <v>529.50900000000001</v>
      </c>
      <c r="N306" s="8">
        <f t="shared" si="463"/>
        <v>638.19800000000009</v>
      </c>
      <c r="O306" s="8">
        <f t="shared" si="463"/>
        <v>844.23500000000001</v>
      </c>
      <c r="P306" s="8">
        <f t="shared" si="463"/>
        <v>786.12000000000012</v>
      </c>
      <c r="Q306" s="8">
        <f t="shared" si="463"/>
        <v>622.60899999999992</v>
      </c>
      <c r="R306" s="8">
        <f t="shared" si="463"/>
        <v>4886.3</v>
      </c>
      <c r="S306" s="8">
        <f t="shared" si="463"/>
        <v>5658.4310000000005</v>
      </c>
      <c r="T306" s="8">
        <f t="shared" si="463"/>
        <v>6869.5680000000002</v>
      </c>
      <c r="U306" s="8">
        <f t="shared" si="463"/>
        <v>8390.16</v>
      </c>
      <c r="V306" s="8">
        <f t="shared" si="463"/>
        <v>10041.416000000001</v>
      </c>
      <c r="W306" s="8">
        <f t="shared" si="463"/>
        <v>11555.124999999998</v>
      </c>
      <c r="X306" s="8">
        <f t="shared" si="463"/>
        <v>13170.776</v>
      </c>
      <c r="Y306" s="8">
        <f t="shared" si="463"/>
        <v>14169.423000000001</v>
      </c>
      <c r="Z306" s="8">
        <f>SUM(Z299:Z305)</f>
        <v>15360.839000000002</v>
      </c>
      <c r="AA306" s="8">
        <f>SUM(AA299:AA305)</f>
        <v>17313.306999999997</v>
      </c>
      <c r="AB306" s="8">
        <f>SUM(AB299:AB305)</f>
        <v>17176.928</v>
      </c>
      <c r="AC306" s="113">
        <f t="shared" ref="AC306:AL306" ca="1" si="464">SUM(AC299:AC305)</f>
        <v>18771.890555682716</v>
      </c>
      <c r="AD306" s="8">
        <f t="shared" ca="1" si="464"/>
        <v>20171.807874391234</v>
      </c>
      <c r="AE306" s="8">
        <f t="shared" ca="1" si="464"/>
        <v>21659.828852283979</v>
      </c>
      <c r="AF306" s="8">
        <f t="shared" ca="1" si="464"/>
        <v>23327.431196168465</v>
      </c>
      <c r="AG306" s="8">
        <f t="shared" ca="1" si="464"/>
        <v>25145.905257954142</v>
      </c>
      <c r="AH306" s="8">
        <f t="shared" ca="1" si="464"/>
        <v>27102.688594650292</v>
      </c>
      <c r="AI306" s="8">
        <f t="shared" ca="1" si="464"/>
        <v>29210.142369524499</v>
      </c>
      <c r="AJ306" s="8">
        <f t="shared" ca="1" si="464"/>
        <v>31515.305695127226</v>
      </c>
      <c r="AK306" s="8">
        <f t="shared" ca="1" si="464"/>
        <v>34002.788297661675</v>
      </c>
      <c r="AL306" s="8">
        <f t="shared" ca="1" si="464"/>
        <v>36668.589316348749</v>
      </c>
      <c r="AM306" s="8">
        <f ca="1">SUM(AM299:AM305)</f>
        <v>39414.995983647881</v>
      </c>
      <c r="AN306" s="65"/>
    </row>
    <row r="307" spans="1:45">
      <c r="A307" s="125" t="s">
        <v>212</v>
      </c>
      <c r="D307" t="s">
        <v>165</v>
      </c>
      <c r="G307" s="81"/>
      <c r="H307" s="81"/>
      <c r="I307" s="81"/>
      <c r="J307" s="81"/>
      <c r="K307" s="81"/>
      <c r="L307" s="81">
        <f>52.152+489.164</f>
        <v>541.31600000000003</v>
      </c>
      <c r="M307" s="81">
        <f>52.477+499.546</f>
        <v>552.02300000000002</v>
      </c>
      <c r="N307" s="81">
        <f>108.014+587.546</f>
        <v>695.56000000000006</v>
      </c>
      <c r="O307" s="81">
        <f>109.308+641.766</f>
        <v>751.07399999999996</v>
      </c>
      <c r="P307" s="81">
        <f>110.196+685.938</f>
        <v>796.13400000000001</v>
      </c>
      <c r="Q307" s="81">
        <f>111.533+746.134</f>
        <v>857.66700000000003</v>
      </c>
      <c r="R307" s="81">
        <f>112.943+820.639</f>
        <v>933.58199999999999</v>
      </c>
      <c r="S307" s="81">
        <f>113.559+877.493</f>
        <v>991.05200000000002</v>
      </c>
      <c r="T307" s="81">
        <f>112.953+972.25</f>
        <v>1085.203</v>
      </c>
      <c r="U307" s="81">
        <f>110.843+1038.209</f>
        <v>1149.0520000000001</v>
      </c>
      <c r="V307" s="81">
        <f>104.435+1123.52</f>
        <v>1227.9549999999999</v>
      </c>
      <c r="W307" s="81">
        <f>97.356+1130.822</f>
        <v>1228.1779999999999</v>
      </c>
      <c r="X307" s="81">
        <f>93.274+1188.578</f>
        <v>1281.8519999999999</v>
      </c>
      <c r="Y307" s="81">
        <f>1234.047+89.874</f>
        <v>1323.921</v>
      </c>
      <c r="Z307" s="81">
        <f>83.739+1237.153</f>
        <v>1320.8920000000001</v>
      </c>
      <c r="AA307" s="81">
        <f>81.541+1348.988</f>
        <v>1430.529</v>
      </c>
      <c r="AB307" s="81">
        <f>81.586+1513.821</f>
        <v>1595.4069999999999</v>
      </c>
      <c r="AC307" s="93">
        <f t="shared" ref="AC307:AM307" si="465">+AB307+AC263</f>
        <v>1395.4069999999999</v>
      </c>
      <c r="AD307" s="7">
        <f t="shared" si="465"/>
        <v>595.40699999999993</v>
      </c>
      <c r="AE307" s="7">
        <f t="shared" si="465"/>
        <v>-284.59300000000019</v>
      </c>
      <c r="AF307" s="7">
        <f t="shared" si="465"/>
        <v>-1252.5930000000003</v>
      </c>
      <c r="AG307" s="7">
        <f t="shared" si="465"/>
        <v>-2298.0330000000004</v>
      </c>
      <c r="AH307" s="7">
        <f t="shared" si="465"/>
        <v>-3427.1082000000006</v>
      </c>
      <c r="AI307" s="7">
        <f t="shared" si="465"/>
        <v>-4646.5094160000008</v>
      </c>
      <c r="AJ307" s="7">
        <f t="shared" si="465"/>
        <v>-5963.4627292800014</v>
      </c>
      <c r="AK307" s="7">
        <f t="shared" si="465"/>
        <v>-7385.7723076224029</v>
      </c>
      <c r="AL307" s="7">
        <f t="shared" si="465"/>
        <v>-8921.8666522321964</v>
      </c>
      <c r="AM307" s="7">
        <f t="shared" si="465"/>
        <v>-10580.848544410774</v>
      </c>
      <c r="AN307" s="7"/>
    </row>
    <row r="308" spans="1:45">
      <c r="A308" s="125" t="s">
        <v>166</v>
      </c>
      <c r="D308" t="s">
        <v>166</v>
      </c>
      <c r="G308" s="81"/>
      <c r="H308" s="81"/>
      <c r="I308" s="81"/>
      <c r="J308" s="81"/>
      <c r="K308" s="81"/>
      <c r="L308" s="81">
        <v>0</v>
      </c>
      <c r="M308" s="81">
        <v>0</v>
      </c>
      <c r="N308" s="81">
        <v>0</v>
      </c>
      <c r="O308" s="81">
        <v>0</v>
      </c>
      <c r="P308" s="81">
        <v>0</v>
      </c>
      <c r="Q308" s="81">
        <v>0</v>
      </c>
      <c r="R308" s="81">
        <v>0</v>
      </c>
      <c r="S308" s="81">
        <v>0</v>
      </c>
      <c r="T308" s="81">
        <v>0</v>
      </c>
      <c r="U308" s="81">
        <v>0</v>
      </c>
      <c r="V308" s="81">
        <v>0</v>
      </c>
      <c r="W308" s="81">
        <v>0</v>
      </c>
      <c r="X308" s="81">
        <v>0</v>
      </c>
      <c r="Y308" s="81">
        <v>0</v>
      </c>
      <c r="Z308" s="81">
        <v>0</v>
      </c>
      <c r="AA308" s="81">
        <v>0</v>
      </c>
      <c r="AB308" s="81">
        <v>0</v>
      </c>
      <c r="AC308" s="190">
        <v>0</v>
      </c>
      <c r="AD308" s="81">
        <v>0</v>
      </c>
      <c r="AE308" s="81">
        <v>0</v>
      </c>
      <c r="AF308" s="81">
        <v>0</v>
      </c>
      <c r="AG308" s="81">
        <v>0</v>
      </c>
      <c r="AH308" s="81">
        <v>0</v>
      </c>
      <c r="AI308" s="81">
        <v>0</v>
      </c>
      <c r="AJ308" s="81">
        <v>0</v>
      </c>
      <c r="AK308" s="81">
        <v>0</v>
      </c>
      <c r="AL308" s="81">
        <v>0</v>
      </c>
      <c r="AM308" s="81">
        <v>0</v>
      </c>
      <c r="AN308" s="7"/>
    </row>
    <row r="309" spans="1:45">
      <c r="A309" s="125" t="s">
        <v>167</v>
      </c>
      <c r="D309" t="s">
        <v>167</v>
      </c>
      <c r="G309" s="81"/>
      <c r="H309" s="81"/>
      <c r="I309" s="81"/>
      <c r="J309" s="81"/>
      <c r="K309" s="81"/>
      <c r="L309" s="81">
        <v>259.66000000000003</v>
      </c>
      <c r="M309" s="81">
        <v>407.71499999999997</v>
      </c>
      <c r="N309" s="81">
        <f>-20.332+572.147</f>
        <v>551.81500000000005</v>
      </c>
      <c r="O309" s="81">
        <f>-16.728+754.58</f>
        <v>737.85200000000009</v>
      </c>
      <c r="P309" s="81">
        <f>-16.86+813.793</f>
        <v>796.93299999999999</v>
      </c>
      <c r="Q309" s="81">
        <f>-19.546+1095.461</f>
        <v>1075.915</v>
      </c>
      <c r="R309" s="81">
        <f>-25.057+1330.724</f>
        <v>1305.6669999999999</v>
      </c>
      <c r="S309" s="81">
        <f>-62.459+1744.519</f>
        <v>1682.06</v>
      </c>
      <c r="T309" s="81">
        <f>-59.808+1993.772</f>
        <v>1933.9639999999999</v>
      </c>
      <c r="U309" s="81">
        <f>-46.271+2214.216</f>
        <v>2167.9449999999997</v>
      </c>
      <c r="V309" s="81">
        <f>1994.221-65.391</f>
        <v>1928.83</v>
      </c>
      <c r="W309" s="81">
        <f>-70.196+1746.804</f>
        <v>1676.6080000000002</v>
      </c>
      <c r="X309" s="81">
        <f>-56.555+1883.283</f>
        <v>1826.7279999999998</v>
      </c>
      <c r="Y309" s="81">
        <f>2047.24-54.312</f>
        <v>1992.9280000000001</v>
      </c>
      <c r="Z309" s="81">
        <f>-68.01+2104.146</f>
        <v>2036.1360000000002</v>
      </c>
      <c r="AA309" s="81">
        <f>-150.071+2488.417</f>
        <v>2338.346</v>
      </c>
      <c r="AB309" s="81">
        <f>-118.691+2887.897</f>
        <v>2769.2060000000001</v>
      </c>
      <c r="AC309" s="93">
        <f t="shared" ref="AC309:AM309" ca="1" si="466">+AB309+AC230+AC265</f>
        <v>3710.38754278531</v>
      </c>
      <c r="AD309" s="93">
        <f t="shared" ca="1" si="466"/>
        <v>4770.2661363356128</v>
      </c>
      <c r="AE309" s="93">
        <f t="shared" ca="1" si="466"/>
        <v>5924.6755831320888</v>
      </c>
      <c r="AF309" s="93">
        <f t="shared" ca="1" si="466"/>
        <v>7202.6002879729658</v>
      </c>
      <c r="AG309" s="93">
        <f t="shared" ca="1" si="466"/>
        <v>8612.5346430057016</v>
      </c>
      <c r="AH309" s="93">
        <f t="shared" ca="1" si="466"/>
        <v>10153.355767791476</v>
      </c>
      <c r="AI309" s="93">
        <f t="shared" ca="1" si="466"/>
        <v>11579.918908482176</v>
      </c>
      <c r="AJ309" s="93">
        <f t="shared" ca="1" si="466"/>
        <v>13140.956839853417</v>
      </c>
      <c r="AK309" s="93">
        <f t="shared" ca="1" si="466"/>
        <v>14846.174522964358</v>
      </c>
      <c r="AL309" s="93">
        <f t="shared" ca="1" si="466"/>
        <v>16700.66972167126</v>
      </c>
      <c r="AM309" s="93">
        <f t="shared" ca="1" si="466"/>
        <v>18723.970752263762</v>
      </c>
      <c r="AN309" s="7"/>
    </row>
    <row r="310" spans="1:45">
      <c r="A310" s="125" t="s">
        <v>117</v>
      </c>
      <c r="D310" t="s">
        <v>117</v>
      </c>
      <c r="G310" s="81"/>
      <c r="H310" s="81"/>
      <c r="I310" s="81"/>
      <c r="J310" s="81"/>
      <c r="K310" s="81"/>
      <c r="L310" s="81">
        <v>0</v>
      </c>
      <c r="M310" s="81">
        <v>0</v>
      </c>
      <c r="N310" s="81">
        <v>0</v>
      </c>
      <c r="O310" s="81">
        <v>0</v>
      </c>
      <c r="P310" s="81">
        <v>0</v>
      </c>
      <c r="Q310" s="81">
        <v>0</v>
      </c>
      <c r="R310" s="81">
        <v>0</v>
      </c>
      <c r="S310" s="81">
        <v>0</v>
      </c>
      <c r="T310" s="81">
        <v>0</v>
      </c>
      <c r="U310" s="81">
        <v>0</v>
      </c>
      <c r="V310" s="81">
        <v>0</v>
      </c>
      <c r="W310" s="81">
        <v>0</v>
      </c>
      <c r="X310" s="81">
        <v>0</v>
      </c>
      <c r="Y310" s="81">
        <v>0</v>
      </c>
      <c r="Z310" s="81">
        <v>0</v>
      </c>
      <c r="AA310" s="81">
        <v>0</v>
      </c>
      <c r="AB310" s="81">
        <v>0</v>
      </c>
      <c r="AC310" s="190">
        <v>0</v>
      </c>
      <c r="AD310" s="81">
        <v>0</v>
      </c>
      <c r="AE310" s="81">
        <v>0</v>
      </c>
      <c r="AF310" s="81">
        <v>0</v>
      </c>
      <c r="AG310" s="81">
        <v>0</v>
      </c>
      <c r="AH310" s="81">
        <v>0</v>
      </c>
      <c r="AI310" s="81">
        <v>0</v>
      </c>
      <c r="AJ310" s="81">
        <v>0</v>
      </c>
      <c r="AK310" s="81">
        <v>0</v>
      </c>
      <c r="AL310" s="81">
        <v>0</v>
      </c>
      <c r="AM310" s="81">
        <v>0</v>
      </c>
      <c r="AN310" s="7"/>
      <c r="AO310" s="7"/>
      <c r="AP310" s="7"/>
      <c r="AQ310" s="7"/>
      <c r="AR310" s="7"/>
      <c r="AS310" s="7"/>
    </row>
    <row r="311" spans="1:45" s="3" customFormat="1">
      <c r="A311" s="125"/>
      <c r="B311" s="163"/>
      <c r="D311" s="2" t="s">
        <v>168</v>
      </c>
      <c r="E311" s="2"/>
      <c r="F311" s="2"/>
      <c r="G311" s="8"/>
      <c r="H311" s="8"/>
      <c r="I311" s="8"/>
      <c r="J311" s="8"/>
      <c r="K311" s="8"/>
      <c r="L311" s="8">
        <f>SUM(L306:L310)</f>
        <v>1293.0130000000001</v>
      </c>
      <c r="M311" s="8">
        <f t="shared" ref="M311:Y311" si="467">SUM(M306:M310)</f>
        <v>1489.2470000000001</v>
      </c>
      <c r="N311" s="8">
        <f t="shared" si="467"/>
        <v>1885.5730000000003</v>
      </c>
      <c r="O311" s="8">
        <f t="shared" si="467"/>
        <v>2333.1610000000001</v>
      </c>
      <c r="P311" s="8">
        <f t="shared" si="467"/>
        <v>2379.1869999999999</v>
      </c>
      <c r="Q311" s="8">
        <f t="shared" si="467"/>
        <v>2556.1909999999998</v>
      </c>
      <c r="R311" s="8">
        <f t="shared" si="467"/>
        <v>7125.5490000000009</v>
      </c>
      <c r="S311" s="8">
        <f t="shared" si="467"/>
        <v>8331.5429999999997</v>
      </c>
      <c r="T311" s="8">
        <f t="shared" si="467"/>
        <v>9888.7350000000006</v>
      </c>
      <c r="U311" s="8">
        <f t="shared" si="467"/>
        <v>11707.156999999999</v>
      </c>
      <c r="V311" s="8">
        <f t="shared" si="467"/>
        <v>13198.201000000001</v>
      </c>
      <c r="W311" s="8">
        <f t="shared" si="467"/>
        <v>14459.910999999998</v>
      </c>
      <c r="X311" s="8">
        <f t="shared" si="467"/>
        <v>16279.356</v>
      </c>
      <c r="Y311" s="8">
        <f t="shared" si="467"/>
        <v>17486.272000000001</v>
      </c>
      <c r="Z311" s="8">
        <f>SUM(Z306:Z310)</f>
        <v>18717.867000000002</v>
      </c>
      <c r="AA311" s="8">
        <f>SUM(AA306:AA310)</f>
        <v>21082.181999999997</v>
      </c>
      <c r="AB311" s="8">
        <f>SUM(AB306:AB310)</f>
        <v>21541.540999999997</v>
      </c>
      <c r="AC311" s="8">
        <f t="shared" ref="AC311:AL311" ca="1" si="468">SUM(AC306:AC310)</f>
        <v>23877.685098468024</v>
      </c>
      <c r="AD311" s="8">
        <f t="shared" ca="1" si="468"/>
        <v>25537.481010726846</v>
      </c>
      <c r="AE311" s="8">
        <f t="shared" ca="1" si="468"/>
        <v>27299.911435416067</v>
      </c>
      <c r="AF311" s="8">
        <f t="shared" ca="1" si="468"/>
        <v>29277.438484141428</v>
      </c>
      <c r="AG311" s="8">
        <f t="shared" ca="1" si="468"/>
        <v>31460.406900959846</v>
      </c>
      <c r="AH311" s="8">
        <f t="shared" ca="1" si="468"/>
        <v>33828.936162441765</v>
      </c>
      <c r="AI311" s="8">
        <f t="shared" ca="1" si="468"/>
        <v>36143.551862006672</v>
      </c>
      <c r="AJ311" s="8">
        <f t="shared" ca="1" si="468"/>
        <v>38692.799805700641</v>
      </c>
      <c r="AK311" s="8">
        <f t="shared" ca="1" si="468"/>
        <v>41463.190513003632</v>
      </c>
      <c r="AL311" s="8">
        <f t="shared" ca="1" si="468"/>
        <v>44447.392385787811</v>
      </c>
      <c r="AM311" s="8">
        <f ca="1">SUM(AM306:AM310)</f>
        <v>47558.118191500871</v>
      </c>
      <c r="AN311" s="65"/>
    </row>
    <row r="312" spans="1:45" s="101" customFormat="1">
      <c r="A312" s="127"/>
      <c r="B312" s="165"/>
      <c r="D312" s="86" t="s">
        <v>120</v>
      </c>
      <c r="E312" s="99"/>
      <c r="F312" s="99"/>
      <c r="G312" s="69"/>
      <c r="H312" s="69"/>
      <c r="I312" s="69"/>
      <c r="J312" s="69"/>
      <c r="K312" s="69"/>
      <c r="L312" s="87" t="b">
        <f t="shared" ref="L312:AL312" si="469">ABS(L311-L290)&lt;1</f>
        <v>1</v>
      </c>
      <c r="M312" s="87" t="b">
        <f t="shared" si="469"/>
        <v>1</v>
      </c>
      <c r="N312" s="87" t="b">
        <f t="shared" si="469"/>
        <v>1</v>
      </c>
      <c r="O312" s="87" t="b">
        <f t="shared" si="469"/>
        <v>1</v>
      </c>
      <c r="P312" s="87" t="b">
        <f t="shared" si="469"/>
        <v>1</v>
      </c>
      <c r="Q312" s="87" t="b">
        <f t="shared" si="469"/>
        <v>1</v>
      </c>
      <c r="R312" s="87" t="b">
        <f t="shared" si="469"/>
        <v>1</v>
      </c>
      <c r="S312" s="87" t="b">
        <f t="shared" si="469"/>
        <v>1</v>
      </c>
      <c r="T312" s="87" t="b">
        <f t="shared" si="469"/>
        <v>1</v>
      </c>
      <c r="U312" s="87" t="b">
        <f t="shared" si="469"/>
        <v>1</v>
      </c>
      <c r="V312" s="87" t="b">
        <f t="shared" si="469"/>
        <v>1</v>
      </c>
      <c r="W312" s="87" t="b">
        <f t="shared" si="469"/>
        <v>1</v>
      </c>
      <c r="X312" s="87" t="b">
        <f t="shared" si="469"/>
        <v>1</v>
      </c>
      <c r="Y312" s="87" t="b">
        <f t="shared" si="469"/>
        <v>1</v>
      </c>
      <c r="Z312" s="87" t="b">
        <f t="shared" si="469"/>
        <v>1</v>
      </c>
      <c r="AA312" s="87" t="b">
        <f t="shared" si="469"/>
        <v>1</v>
      </c>
      <c r="AB312" s="87" t="b">
        <f>ABS(AB311-AB290)&lt;1</f>
        <v>1</v>
      </c>
      <c r="AC312" s="87" t="b">
        <f t="shared" ca="1" si="469"/>
        <v>1</v>
      </c>
      <c r="AD312" s="87" t="b">
        <f t="shared" ca="1" si="469"/>
        <v>1</v>
      </c>
      <c r="AE312" s="87" t="b">
        <f t="shared" ca="1" si="469"/>
        <v>1</v>
      </c>
      <c r="AF312" s="87" t="b">
        <f t="shared" ca="1" si="469"/>
        <v>1</v>
      </c>
      <c r="AG312" s="87" t="b">
        <f t="shared" ca="1" si="469"/>
        <v>1</v>
      </c>
      <c r="AH312" s="87" t="b">
        <f t="shared" ca="1" si="469"/>
        <v>1</v>
      </c>
      <c r="AI312" s="87" t="b">
        <f t="shared" ca="1" si="469"/>
        <v>1</v>
      </c>
      <c r="AJ312" s="87" t="b">
        <f t="shared" ca="1" si="469"/>
        <v>1</v>
      </c>
      <c r="AK312" s="87" t="b">
        <f t="shared" ca="1" si="469"/>
        <v>1</v>
      </c>
      <c r="AL312" s="87" t="b">
        <f t="shared" ca="1" si="469"/>
        <v>1</v>
      </c>
      <c r="AM312" s="87" t="b">
        <f ca="1">ABS(AM311-AM290)&lt;1</f>
        <v>1</v>
      </c>
      <c r="AN312" s="100"/>
    </row>
    <row r="313" spans="1:45">
      <c r="G313" s="7"/>
      <c r="H313" s="7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69"/>
      <c r="AP313" s="69"/>
      <c r="AQ313" s="69"/>
      <c r="AR313" s="69"/>
    </row>
    <row r="314" spans="1:45">
      <c r="D314" t="s">
        <v>169</v>
      </c>
      <c r="G314" s="7"/>
      <c r="H314" s="7"/>
      <c r="I314" s="7"/>
      <c r="J314" s="7"/>
      <c r="K314" s="7"/>
      <c r="L314" s="7">
        <f t="shared" ref="L314:AB314" si="470">SUM(L276:L277,L279:L280)-SUM(L294:L295)</f>
        <v>599.54700000000003</v>
      </c>
      <c r="M314" s="7">
        <f t="shared" si="470"/>
        <v>646.04899999999998</v>
      </c>
      <c r="N314" s="7">
        <f t="shared" si="470"/>
        <v>807.28099999999995</v>
      </c>
      <c r="O314" s="7">
        <f t="shared" si="470"/>
        <v>979.89300000000003</v>
      </c>
      <c r="P314" s="7">
        <f t="shared" si="470"/>
        <v>854.05</v>
      </c>
      <c r="Q314" s="7">
        <f t="shared" si="470"/>
        <v>1190.31</v>
      </c>
      <c r="R314" s="7">
        <f t="shared" si="470"/>
        <v>993.21599999999989</v>
      </c>
      <c r="S314" s="7">
        <f t="shared" si="470"/>
        <v>956.99000000000024</v>
      </c>
      <c r="T314" s="7">
        <f t="shared" si="470"/>
        <v>1376.2249999999999</v>
      </c>
      <c r="U314" s="7">
        <f t="shared" si="470"/>
        <v>1385.2429999999999</v>
      </c>
      <c r="V314" s="7">
        <f t="shared" si="470"/>
        <v>1858.2149999999999</v>
      </c>
      <c r="W314" s="7">
        <f t="shared" si="470"/>
        <v>1746.7320000000002</v>
      </c>
      <c r="X314" s="7">
        <f t="shared" si="470"/>
        <v>2074.0969999999998</v>
      </c>
      <c r="Y314" s="7">
        <f t="shared" si="470"/>
        <v>2208.415</v>
      </c>
      <c r="Z314" s="7">
        <f t="shared" si="470"/>
        <v>2251.9159999999997</v>
      </c>
      <c r="AA314" s="7">
        <f t="shared" si="470"/>
        <v>2535.2050000000008</v>
      </c>
      <c r="AB314" s="7">
        <f t="shared" si="470"/>
        <v>2769.6790000000001</v>
      </c>
      <c r="AC314" s="70">
        <f t="shared" ref="AC314:AM314" ca="1" si="471">+AC315*AC205</f>
        <v>3300.7594262087036</v>
      </c>
      <c r="AD314" s="70">
        <f t="shared" ca="1" si="471"/>
        <v>3551.0580307401542</v>
      </c>
      <c r="AE314" s="70">
        <f t="shared" ca="1" si="471"/>
        <v>3845.8539261525025</v>
      </c>
      <c r="AF314" s="70">
        <f t="shared" ca="1" si="471"/>
        <v>4170.4991860401278</v>
      </c>
      <c r="AG314" s="70">
        <f t="shared" ca="1" si="471"/>
        <v>4515.4255288768081</v>
      </c>
      <c r="AH314" s="70">
        <f t="shared" ca="1" si="471"/>
        <v>4883.8417458724834</v>
      </c>
      <c r="AI314" s="70">
        <f t="shared" ca="1" si="471"/>
        <v>5276.3739579880375</v>
      </c>
      <c r="AJ314" s="70">
        <f t="shared" ca="1" si="471"/>
        <v>5694.5904032327689</v>
      </c>
      <c r="AK314" s="70">
        <f t="shared" ca="1" si="471"/>
        <v>6138.6794125333663</v>
      </c>
      <c r="AL314" s="70">
        <f t="shared" ca="1" si="471"/>
        <v>6610.1722369618401</v>
      </c>
      <c r="AM314" s="70">
        <f t="shared" ca="1" si="471"/>
        <v>7143.3940846626592</v>
      </c>
      <c r="AN314" s="7"/>
    </row>
    <row r="315" spans="1:45">
      <c r="D315" t="s">
        <v>397</v>
      </c>
      <c r="G315" s="75"/>
      <c r="H315" s="75"/>
      <c r="I315" s="75"/>
      <c r="J315" s="75"/>
      <c r="K315" s="75"/>
      <c r="L315" s="75">
        <f t="shared" ref="L315:AB315" si="472">+L314/L205</f>
        <v>0.11397581886964624</v>
      </c>
      <c r="M315" s="75">
        <f t="shared" si="472"/>
        <v>0.10320271565495208</v>
      </c>
      <c r="N315" s="75">
        <f t="shared" si="472"/>
        <v>0.10813343870552936</v>
      </c>
      <c r="O315" s="75">
        <f t="shared" si="472"/>
        <v>0.11950789082127962</v>
      </c>
      <c r="P315" s="75">
        <f t="shared" si="472"/>
        <v>0.12246024576647882</v>
      </c>
      <c r="Q315" s="75">
        <f t="shared" si="472"/>
        <v>0.15934111536505047</v>
      </c>
      <c r="R315" s="75">
        <f t="shared" si="472"/>
        <v>0.11065857055317252</v>
      </c>
      <c r="S315" s="75">
        <f t="shared" si="472"/>
        <v>9.5665517069025846E-2</v>
      </c>
      <c r="T315" s="75">
        <f t="shared" si="472"/>
        <v>0.12553475813881362</v>
      </c>
      <c r="U315" s="75">
        <f t="shared" si="472"/>
        <v>0.11016462148986425</v>
      </c>
      <c r="V315" s="75">
        <f t="shared" si="472"/>
        <v>0.13023015411354921</v>
      </c>
      <c r="W315" s="75">
        <f t="shared" si="472"/>
        <v>0.1152981247153409</v>
      </c>
      <c r="X315" s="75">
        <f t="shared" si="472"/>
        <v>0.13065013354162466</v>
      </c>
      <c r="Y315" s="75">
        <f t="shared" si="472"/>
        <v>0.12899394286315077</v>
      </c>
      <c r="Z315" s="75">
        <f t="shared" si="472"/>
        <v>0.12391479714523113</v>
      </c>
      <c r="AA315" s="75">
        <f t="shared" si="472"/>
        <v>0.12476402559055121</v>
      </c>
      <c r="AB315" s="75">
        <f t="shared" si="472"/>
        <v>0.14616028834381731</v>
      </c>
      <c r="AC315" s="84">
        <v>0.14000000000000001</v>
      </c>
      <c r="AD315" s="84">
        <f t="shared" ref="AD315:AM315" si="473">+AC315</f>
        <v>0.14000000000000001</v>
      </c>
      <c r="AE315" s="84">
        <f t="shared" si="473"/>
        <v>0.14000000000000001</v>
      </c>
      <c r="AF315" s="84">
        <f t="shared" si="473"/>
        <v>0.14000000000000001</v>
      </c>
      <c r="AG315" s="84">
        <f t="shared" si="473"/>
        <v>0.14000000000000001</v>
      </c>
      <c r="AH315" s="84">
        <f t="shared" si="473"/>
        <v>0.14000000000000001</v>
      </c>
      <c r="AI315" s="84">
        <f t="shared" si="473"/>
        <v>0.14000000000000001</v>
      </c>
      <c r="AJ315" s="84">
        <f t="shared" si="473"/>
        <v>0.14000000000000001</v>
      </c>
      <c r="AK315" s="84">
        <f t="shared" si="473"/>
        <v>0.14000000000000001</v>
      </c>
      <c r="AL315" s="84">
        <f t="shared" si="473"/>
        <v>0.14000000000000001</v>
      </c>
      <c r="AM315" s="84">
        <f t="shared" si="473"/>
        <v>0.14000000000000001</v>
      </c>
      <c r="AN315" s="7"/>
    </row>
    <row r="316" spans="1:45">
      <c r="D316" t="s">
        <v>224</v>
      </c>
      <c r="G316" s="7"/>
      <c r="H316" s="7"/>
      <c r="I316" s="7"/>
      <c r="J316" s="7"/>
      <c r="K316" s="7"/>
      <c r="L316" s="7"/>
      <c r="M316" s="7">
        <f>+M314-L314</f>
        <v>46.501999999999953</v>
      </c>
      <c r="N316" s="7">
        <f t="shared" ref="N316:T316" si="474">+N314-M314</f>
        <v>161.23199999999997</v>
      </c>
      <c r="O316" s="7">
        <f t="shared" si="474"/>
        <v>172.61200000000008</v>
      </c>
      <c r="P316" s="7">
        <f t="shared" si="474"/>
        <v>-125.84300000000007</v>
      </c>
      <c r="Q316" s="7">
        <f t="shared" si="474"/>
        <v>336.26</v>
      </c>
      <c r="R316" s="7">
        <f t="shared" si="474"/>
        <v>-197.09400000000005</v>
      </c>
      <c r="S316" s="7">
        <f t="shared" si="474"/>
        <v>-36.225999999999658</v>
      </c>
      <c r="T316" s="7">
        <f t="shared" si="474"/>
        <v>419.23499999999967</v>
      </c>
      <c r="U316" s="7">
        <f>+U314-T314</f>
        <v>9.0180000000000291</v>
      </c>
      <c r="V316" s="7">
        <f t="shared" ref="V316:AM316" si="475">+V314-U314</f>
        <v>472.97199999999998</v>
      </c>
      <c r="W316" s="7">
        <f t="shared" si="475"/>
        <v>-111.48299999999972</v>
      </c>
      <c r="X316" s="7">
        <f t="shared" si="475"/>
        <v>327.36499999999955</v>
      </c>
      <c r="Y316" s="7">
        <f t="shared" si="475"/>
        <v>134.31800000000021</v>
      </c>
      <c r="Z316" s="7">
        <f t="shared" si="475"/>
        <v>43.500999999999749</v>
      </c>
      <c r="AA316" s="7">
        <f t="shared" si="475"/>
        <v>283.28900000000112</v>
      </c>
      <c r="AB316" s="7">
        <f t="shared" si="475"/>
        <v>234.47399999999925</v>
      </c>
      <c r="AC316" s="7">
        <f ca="1">+AC314-AB314</f>
        <v>531.08042620870356</v>
      </c>
      <c r="AD316" s="7">
        <f t="shared" ca="1" si="475"/>
        <v>250.29860453145056</v>
      </c>
      <c r="AE316" s="7">
        <f t="shared" ca="1" si="475"/>
        <v>294.79589541234827</v>
      </c>
      <c r="AF316" s="7">
        <f t="shared" ca="1" si="475"/>
        <v>324.64525988762534</v>
      </c>
      <c r="AG316" s="7">
        <f t="shared" ca="1" si="475"/>
        <v>344.92634283668031</v>
      </c>
      <c r="AH316" s="7">
        <f t="shared" ca="1" si="475"/>
        <v>368.41621699567531</v>
      </c>
      <c r="AI316" s="7">
        <f t="shared" ca="1" si="475"/>
        <v>392.5322121155541</v>
      </c>
      <c r="AJ316" s="7">
        <f t="shared" ca="1" si="475"/>
        <v>418.2164452447314</v>
      </c>
      <c r="AK316" s="7">
        <f t="shared" ca="1" si="475"/>
        <v>444.08900930059735</v>
      </c>
      <c r="AL316" s="7">
        <f t="shared" ca="1" si="475"/>
        <v>471.4928244284738</v>
      </c>
      <c r="AM316" s="7">
        <f t="shared" ca="1" si="475"/>
        <v>533.22184770081913</v>
      </c>
      <c r="AN316" s="7"/>
    </row>
    <row r="317" spans="1:45">
      <c r="G317" s="7"/>
      <c r="H317" s="7"/>
      <c r="I317" s="7"/>
      <c r="J317" s="7"/>
      <c r="K317" s="7"/>
      <c r="L317" s="7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7"/>
    </row>
    <row r="318" spans="1:45">
      <c r="C318" s="119"/>
      <c r="D318" s="120"/>
      <c r="E318" s="119"/>
      <c r="F318" s="119"/>
      <c r="G318" s="119"/>
      <c r="H318" s="119"/>
      <c r="I318" s="119"/>
      <c r="J318" s="119"/>
      <c r="K318" s="119"/>
      <c r="L318" s="119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12"/>
      <c r="AD318" s="212"/>
      <c r="AE318" s="212"/>
      <c r="AF318" s="119"/>
      <c r="AG318" s="119"/>
      <c r="AH318" s="119"/>
      <c r="AI318" s="119"/>
      <c r="AJ318" s="119"/>
      <c r="AK318" s="119"/>
      <c r="AL318" s="119"/>
      <c r="AM318" s="119"/>
    </row>
    <row r="319" spans="1:45" ht="5.15" customHeight="1">
      <c r="B319" s="162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7"/>
      <c r="AO319" s="1"/>
    </row>
    <row r="320" spans="1:45">
      <c r="D320" s="36" t="s">
        <v>142</v>
      </c>
      <c r="E320" s="36"/>
      <c r="F320" s="36"/>
      <c r="G320" s="93"/>
      <c r="H320" s="93"/>
      <c r="I320" s="93"/>
      <c r="J320" s="7"/>
      <c r="K320" s="7"/>
      <c r="L320" s="7">
        <f>+L328*L332</f>
        <v>0</v>
      </c>
      <c r="M320" s="7">
        <f t="shared" ref="M320:Y320" si="476">+M328*M332</f>
        <v>0</v>
      </c>
      <c r="N320" s="7">
        <f t="shared" si="476"/>
        <v>0</v>
      </c>
      <c r="O320" s="7">
        <f t="shared" si="476"/>
        <v>0</v>
      </c>
      <c r="P320" s="7">
        <f t="shared" si="476"/>
        <v>0</v>
      </c>
      <c r="Q320" s="7">
        <f t="shared" si="476"/>
        <v>0</v>
      </c>
      <c r="R320" s="7">
        <f t="shared" si="476"/>
        <v>0</v>
      </c>
      <c r="S320" s="7">
        <f t="shared" si="476"/>
        <v>0</v>
      </c>
      <c r="T320" s="7">
        <f t="shared" si="476"/>
        <v>0</v>
      </c>
      <c r="U320" s="7">
        <f t="shared" si="476"/>
        <v>0</v>
      </c>
      <c r="V320" s="7">
        <f t="shared" si="476"/>
        <v>0</v>
      </c>
      <c r="W320" s="7">
        <f t="shared" si="476"/>
        <v>0</v>
      </c>
      <c r="X320" s="7">
        <f t="shared" si="476"/>
        <v>0</v>
      </c>
      <c r="Y320" s="7">
        <f t="shared" si="476"/>
        <v>0</v>
      </c>
      <c r="Z320" s="7">
        <f>+Z328*Z332</f>
        <v>0</v>
      </c>
      <c r="AA320" s="7">
        <f>+AA328*AA332</f>
        <v>0</v>
      </c>
      <c r="AB320" s="7">
        <f>+AB328*AB332</f>
        <v>0</v>
      </c>
      <c r="AC320" s="7">
        <f t="shared" ref="AC320:AK320" ca="1" si="477">+AC328*AC332</f>
        <v>0</v>
      </c>
      <c r="AD320" s="7">
        <f t="shared" ca="1" si="477"/>
        <v>0</v>
      </c>
      <c r="AE320" s="7">
        <f t="shared" ca="1" si="477"/>
        <v>0</v>
      </c>
      <c r="AF320" s="7">
        <f t="shared" ca="1" si="477"/>
        <v>0</v>
      </c>
      <c r="AG320" s="7">
        <f t="shared" ca="1" si="477"/>
        <v>0</v>
      </c>
      <c r="AH320" s="7">
        <f t="shared" ca="1" si="477"/>
        <v>0</v>
      </c>
      <c r="AI320" s="7">
        <f t="shared" ca="1" si="477"/>
        <v>248.25631087597324</v>
      </c>
      <c r="AJ320" s="7">
        <f t="shared" ca="1" si="477"/>
        <v>271.65816004060173</v>
      </c>
      <c r="AK320" s="7">
        <f t="shared" ca="1" si="477"/>
        <v>296.74890594052334</v>
      </c>
      <c r="AL320" s="7">
        <f ca="1">+AL328*AL332</f>
        <v>322.72678540870834</v>
      </c>
      <c r="AM320" s="7">
        <f ca="1">+AM328*AM332</f>
        <v>352.10306177849526</v>
      </c>
      <c r="AN320" s="7"/>
    </row>
    <row r="321" spans="1:41">
      <c r="D321" s="36" t="s">
        <v>143</v>
      </c>
      <c r="E321" s="36"/>
      <c r="F321" s="36"/>
      <c r="G321" s="93"/>
      <c r="H321" s="93"/>
      <c r="I321" s="93"/>
      <c r="J321" s="7"/>
      <c r="K321" s="7"/>
      <c r="L321" s="7">
        <f t="shared" ref="L321:AB321" si="478">+L265</f>
        <v>0</v>
      </c>
      <c r="M321" s="7">
        <f t="shared" si="478"/>
        <v>0</v>
      </c>
      <c r="N321" s="7">
        <f t="shared" si="478"/>
        <v>0</v>
      </c>
      <c r="O321" s="7">
        <f t="shared" si="478"/>
        <v>0</v>
      </c>
      <c r="P321" s="7">
        <f t="shared" si="478"/>
        <v>0</v>
      </c>
      <c r="Q321" s="7">
        <f t="shared" si="478"/>
        <v>0</v>
      </c>
      <c r="R321" s="7">
        <f t="shared" si="478"/>
        <v>0</v>
      </c>
      <c r="S321" s="7">
        <f t="shared" si="478"/>
        <v>0</v>
      </c>
      <c r="T321" s="7">
        <f t="shared" si="478"/>
        <v>0</v>
      </c>
      <c r="U321" s="7">
        <f t="shared" si="478"/>
        <v>0</v>
      </c>
      <c r="V321" s="7">
        <f t="shared" si="478"/>
        <v>0</v>
      </c>
      <c r="W321" s="7">
        <f t="shared" si="478"/>
        <v>0</v>
      </c>
      <c r="X321" s="7">
        <f t="shared" si="478"/>
        <v>0</v>
      </c>
      <c r="Y321" s="7">
        <f t="shared" si="478"/>
        <v>0</v>
      </c>
      <c r="Z321" s="7">
        <f t="shared" si="478"/>
        <v>0</v>
      </c>
      <c r="AA321" s="7">
        <f t="shared" si="478"/>
        <v>0</v>
      </c>
      <c r="AB321" s="7">
        <f t="shared" si="478"/>
        <v>0</v>
      </c>
      <c r="AC321" s="70">
        <f t="shared" ref="AC321:AL321" ca="1" si="479">+AC320-AC322</f>
        <v>0</v>
      </c>
      <c r="AD321" s="70">
        <f t="shared" ca="1" si="479"/>
        <v>0</v>
      </c>
      <c r="AE321" s="70">
        <f t="shared" ca="1" si="479"/>
        <v>0</v>
      </c>
      <c r="AF321" s="70">
        <f t="shared" ca="1" si="479"/>
        <v>0</v>
      </c>
      <c r="AG321" s="70">
        <f t="shared" ca="1" si="479"/>
        <v>0</v>
      </c>
      <c r="AH321" s="70">
        <f t="shared" ca="1" si="479"/>
        <v>0</v>
      </c>
      <c r="AI321" s="70">
        <f t="shared" ca="1" si="479"/>
        <v>248.25631087597324</v>
      </c>
      <c r="AJ321" s="70">
        <f t="shared" ca="1" si="479"/>
        <v>271.65816004060173</v>
      </c>
      <c r="AK321" s="70">
        <f t="shared" ca="1" si="479"/>
        <v>296.74890594052334</v>
      </c>
      <c r="AL321" s="70">
        <f t="shared" ca="1" si="479"/>
        <v>322.72678540870834</v>
      </c>
      <c r="AM321" s="70">
        <f ca="1">+AM320-AM322</f>
        <v>352.10306177849526</v>
      </c>
      <c r="AN321" s="7"/>
    </row>
    <row r="322" spans="1:41">
      <c r="D322" s="36" t="s">
        <v>144</v>
      </c>
      <c r="E322" s="36"/>
      <c r="F322" s="36"/>
      <c r="G322" s="93"/>
      <c r="H322" s="93"/>
      <c r="I322" s="93"/>
      <c r="J322" s="7"/>
      <c r="K322" s="7"/>
      <c r="L322" s="7">
        <f>+L320-L321</f>
        <v>0</v>
      </c>
      <c r="M322" s="7">
        <f t="shared" ref="M322:Y322" si="480">+M320-M321</f>
        <v>0</v>
      </c>
      <c r="N322" s="7">
        <f t="shared" si="480"/>
        <v>0</v>
      </c>
      <c r="O322" s="7">
        <f t="shared" si="480"/>
        <v>0</v>
      </c>
      <c r="P322" s="7">
        <f t="shared" si="480"/>
        <v>0</v>
      </c>
      <c r="Q322" s="7">
        <f t="shared" si="480"/>
        <v>0</v>
      </c>
      <c r="R322" s="7">
        <f t="shared" si="480"/>
        <v>0</v>
      </c>
      <c r="S322" s="7">
        <f t="shared" si="480"/>
        <v>0</v>
      </c>
      <c r="T322" s="7">
        <f t="shared" si="480"/>
        <v>0</v>
      </c>
      <c r="U322" s="7">
        <f t="shared" si="480"/>
        <v>0</v>
      </c>
      <c r="V322" s="7">
        <f t="shared" si="480"/>
        <v>0</v>
      </c>
      <c r="W322" s="7">
        <f t="shared" si="480"/>
        <v>0</v>
      </c>
      <c r="X322" s="7">
        <f t="shared" si="480"/>
        <v>0</v>
      </c>
      <c r="Y322" s="7">
        <f t="shared" si="480"/>
        <v>0</v>
      </c>
      <c r="Z322" s="7">
        <f>+Z320-Z321</f>
        <v>0</v>
      </c>
      <c r="AA322" s="7">
        <f>+AA320-AA321</f>
        <v>0</v>
      </c>
      <c r="AB322" s="7">
        <f>+AB320-AB321</f>
        <v>0</v>
      </c>
      <c r="AC322" s="7">
        <f t="shared" ref="AC322:AL322" ca="1" si="481">+AC323*AC320</f>
        <v>0</v>
      </c>
      <c r="AD322" s="7">
        <f t="shared" ca="1" si="481"/>
        <v>0</v>
      </c>
      <c r="AE322" s="7">
        <f t="shared" ca="1" si="481"/>
        <v>0</v>
      </c>
      <c r="AF322" s="7">
        <f t="shared" ca="1" si="481"/>
        <v>0</v>
      </c>
      <c r="AG322" s="7">
        <f t="shared" ca="1" si="481"/>
        <v>0</v>
      </c>
      <c r="AH322" s="7">
        <f t="shared" ca="1" si="481"/>
        <v>0</v>
      </c>
      <c r="AI322" s="7">
        <f t="shared" ca="1" si="481"/>
        <v>0</v>
      </c>
      <c r="AJ322" s="7">
        <f t="shared" ca="1" si="481"/>
        <v>0</v>
      </c>
      <c r="AK322" s="7">
        <f t="shared" ca="1" si="481"/>
        <v>0</v>
      </c>
      <c r="AL322" s="7">
        <f t="shared" ca="1" si="481"/>
        <v>0</v>
      </c>
      <c r="AM322" s="7">
        <f ca="1">+AM323*AM320</f>
        <v>0</v>
      </c>
      <c r="AN322" s="7"/>
    </row>
    <row r="323" spans="1:41">
      <c r="D323" s="36" t="s">
        <v>145</v>
      </c>
      <c r="E323" s="36"/>
      <c r="F323" s="36"/>
      <c r="G323" s="182"/>
      <c r="H323" s="182"/>
      <c r="I323" s="182"/>
      <c r="J323" s="75"/>
      <c r="K323" s="75"/>
      <c r="L323" s="83" t="str">
        <f>IFERROR(L322/L320,"na")</f>
        <v>na</v>
      </c>
      <c r="M323" s="83" t="str">
        <f t="shared" ref="M323:Y323" si="482">IFERROR(M322/M320,"na")</f>
        <v>na</v>
      </c>
      <c r="N323" s="83" t="str">
        <f t="shared" si="482"/>
        <v>na</v>
      </c>
      <c r="O323" s="83" t="str">
        <f t="shared" si="482"/>
        <v>na</v>
      </c>
      <c r="P323" s="83" t="str">
        <f t="shared" si="482"/>
        <v>na</v>
      </c>
      <c r="Q323" s="83" t="str">
        <f t="shared" si="482"/>
        <v>na</v>
      </c>
      <c r="R323" s="83" t="str">
        <f t="shared" si="482"/>
        <v>na</v>
      </c>
      <c r="S323" s="83" t="str">
        <f t="shared" si="482"/>
        <v>na</v>
      </c>
      <c r="T323" s="83" t="str">
        <f t="shared" si="482"/>
        <v>na</v>
      </c>
      <c r="U323" s="83" t="str">
        <f t="shared" si="482"/>
        <v>na</v>
      </c>
      <c r="V323" s="83" t="str">
        <f t="shared" si="482"/>
        <v>na</v>
      </c>
      <c r="W323" s="83" t="str">
        <f t="shared" si="482"/>
        <v>na</v>
      </c>
      <c r="X323" s="83" t="str">
        <f t="shared" si="482"/>
        <v>na</v>
      </c>
      <c r="Y323" s="83" t="str">
        <f t="shared" si="482"/>
        <v>na</v>
      </c>
      <c r="Z323" s="83" t="str">
        <f>IFERROR(Z322/Z320,"na")</f>
        <v>na</v>
      </c>
      <c r="AA323" s="83" t="str">
        <f>IFERROR(AA322/AA320,"na")</f>
        <v>na</v>
      </c>
      <c r="AB323" s="83" t="str">
        <f>IFERROR(AB322/AB320,"na")</f>
        <v>na</v>
      </c>
      <c r="AC323" s="84">
        <v>0</v>
      </c>
      <c r="AD323" s="84">
        <v>0</v>
      </c>
      <c r="AE323" s="84">
        <v>0</v>
      </c>
      <c r="AF323" s="84">
        <v>0</v>
      </c>
      <c r="AG323" s="84">
        <v>0</v>
      </c>
      <c r="AH323" s="84">
        <v>0</v>
      </c>
      <c r="AI323" s="84">
        <v>0</v>
      </c>
      <c r="AJ323" s="84">
        <v>0</v>
      </c>
      <c r="AK323" s="84">
        <v>0</v>
      </c>
      <c r="AL323" s="84">
        <v>0</v>
      </c>
      <c r="AM323" s="84">
        <v>0</v>
      </c>
      <c r="AN323" s="7"/>
    </row>
    <row r="324" spans="1:41">
      <c r="D324" s="36" t="s">
        <v>146</v>
      </c>
      <c r="E324" s="36"/>
      <c r="F324" s="36"/>
      <c r="G324" s="155"/>
      <c r="H324" s="155"/>
      <c r="I324" s="155"/>
      <c r="J324" s="95"/>
      <c r="K324" s="95"/>
      <c r="L324" s="95">
        <f t="shared" ref="L324:AB324" si="483">+L325/L233</f>
        <v>0</v>
      </c>
      <c r="M324" s="95">
        <f t="shared" si="483"/>
        <v>0</v>
      </c>
      <c r="N324" s="95">
        <f t="shared" si="483"/>
        <v>0</v>
      </c>
      <c r="O324" s="95">
        <f t="shared" si="483"/>
        <v>0</v>
      </c>
      <c r="P324" s="95">
        <f t="shared" si="483"/>
        <v>0</v>
      </c>
      <c r="Q324" s="95">
        <f t="shared" si="483"/>
        <v>0</v>
      </c>
      <c r="R324" s="95">
        <f t="shared" si="483"/>
        <v>0</v>
      </c>
      <c r="S324" s="95">
        <f t="shared" si="483"/>
        <v>0</v>
      </c>
      <c r="T324" s="95">
        <f t="shared" si="483"/>
        <v>0</v>
      </c>
      <c r="U324" s="95">
        <f t="shared" si="483"/>
        <v>0</v>
      </c>
      <c r="V324" s="95">
        <f t="shared" si="483"/>
        <v>0</v>
      </c>
      <c r="W324" s="95">
        <f t="shared" si="483"/>
        <v>0</v>
      </c>
      <c r="X324" s="95">
        <f t="shared" si="483"/>
        <v>0</v>
      </c>
      <c r="Y324" s="95">
        <f t="shared" si="483"/>
        <v>0</v>
      </c>
      <c r="Z324" s="95">
        <f t="shared" si="483"/>
        <v>0</v>
      </c>
      <c r="AA324" s="95">
        <f t="shared" si="483"/>
        <v>0</v>
      </c>
      <c r="AB324" s="95">
        <f t="shared" si="483"/>
        <v>0</v>
      </c>
      <c r="AC324" s="96">
        <v>22</v>
      </c>
      <c r="AD324" s="96">
        <f ca="1">+AVERAGE(AC324,AE324)</f>
        <v>21.699999999999992</v>
      </c>
      <c r="AE324" s="96">
        <f t="shared" ref="AE324:AL324" ca="1" si="484">+AVERAGE(AD324,AF324)</f>
        <v>21.399999999999984</v>
      </c>
      <c r="AF324" s="96">
        <f t="shared" ca="1" si="484"/>
        <v>21.09999999999998</v>
      </c>
      <c r="AG324" s="96">
        <f t="shared" ca="1" si="484"/>
        <v>20.799999999999976</v>
      </c>
      <c r="AH324" s="96">
        <f t="shared" ca="1" si="484"/>
        <v>20.499999999999975</v>
      </c>
      <c r="AI324" s="96">
        <f t="shared" ca="1" si="484"/>
        <v>20.199999999999974</v>
      </c>
      <c r="AJ324" s="96">
        <f t="shared" ca="1" si="484"/>
        <v>19.899999999999977</v>
      </c>
      <c r="AK324" s="96">
        <f t="shared" ca="1" si="484"/>
        <v>19.599999999999984</v>
      </c>
      <c r="AL324" s="96">
        <f t="shared" ca="1" si="484"/>
        <v>19.29999999999999</v>
      </c>
      <c r="AM324" s="96">
        <v>19</v>
      </c>
    </row>
    <row r="325" spans="1:41">
      <c r="D325" s="36" t="s">
        <v>147</v>
      </c>
      <c r="E325" s="36"/>
      <c r="F325" s="36"/>
      <c r="G325" s="183"/>
      <c r="H325" s="183"/>
      <c r="I325" s="155"/>
      <c r="J325" s="95"/>
      <c r="K325" s="95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1">
        <f t="shared" ref="AC325:AM325" ca="1" si="485">+AC324*AC233</f>
        <v>126.61275814309562</v>
      </c>
      <c r="AD325" s="201">
        <f t="shared" ca="1" si="485"/>
        <v>145.70435574848119</v>
      </c>
      <c r="AE325" s="201">
        <f t="shared" ca="1" si="485"/>
        <v>162.28661015358676</v>
      </c>
      <c r="AF325" s="201">
        <f t="shared" ca="1" si="485"/>
        <v>183.72761108953833</v>
      </c>
      <c r="AG325" s="201">
        <f t="shared" ca="1" si="485"/>
        <v>207.21128912484966</v>
      </c>
      <c r="AH325" s="201">
        <f t="shared" ca="1" si="485"/>
        <v>231.45439150764227</v>
      </c>
      <c r="AI325" s="201">
        <f t="shared" ca="1" si="485"/>
        <v>257.17057801637088</v>
      </c>
      <c r="AJ325" s="201">
        <f t="shared" ca="1" si="485"/>
        <v>287.61924821867194</v>
      </c>
      <c r="AK325" s="201">
        <f t="shared" ca="1" si="485"/>
        <v>321.08640325223757</v>
      </c>
      <c r="AL325" s="201">
        <f t="shared" ca="1" si="485"/>
        <v>356.89669961347977</v>
      </c>
      <c r="AM325" s="201">
        <f t="shared" ca="1" si="485"/>
        <v>397.95883588296363</v>
      </c>
      <c r="AN325" s="77"/>
      <c r="AO325" s="77">
        <f ca="1">(AL325/AC325)^(1/9)-1</f>
        <v>0.12203713125009763</v>
      </c>
    </row>
    <row r="326" spans="1:41">
      <c r="D326" s="36" t="s">
        <v>614</v>
      </c>
      <c r="E326" s="36"/>
      <c r="F326" s="36"/>
      <c r="G326" s="184"/>
      <c r="H326" s="184"/>
      <c r="I326" s="184"/>
      <c r="J326" s="97"/>
      <c r="K326" s="97"/>
      <c r="L326" s="320">
        <f t="shared" ref="L326:AA326" si="486">+L328-K328</f>
        <v>208.1</v>
      </c>
      <c r="M326" s="320">
        <f t="shared" si="486"/>
        <v>1.1700000000000159</v>
      </c>
      <c r="N326" s="320">
        <f t="shared" si="486"/>
        <v>3.2299999999999898</v>
      </c>
      <c r="O326" s="320">
        <f t="shared" si="486"/>
        <v>3.5</v>
      </c>
      <c r="P326" s="320">
        <f t="shared" si="486"/>
        <v>1.5</v>
      </c>
      <c r="Q326" s="320">
        <f t="shared" si="486"/>
        <v>2</v>
      </c>
      <c r="R326" s="320">
        <f t="shared" si="486"/>
        <v>3.9000000000000057</v>
      </c>
      <c r="S326" s="320">
        <f t="shared" si="486"/>
        <v>2.882000000000005</v>
      </c>
      <c r="T326" s="320">
        <f t="shared" si="486"/>
        <v>1.8129999999999882</v>
      </c>
      <c r="U326" s="320">
        <f t="shared" si="486"/>
        <v>-4.5060000000000002</v>
      </c>
      <c r="V326" s="320">
        <f t="shared" si="486"/>
        <v>-7.9720000000000084</v>
      </c>
      <c r="W326" s="320">
        <f t="shared" si="486"/>
        <v>-12.341999999999985</v>
      </c>
      <c r="X326" s="320">
        <f t="shared" si="486"/>
        <v>-12.932000000000016</v>
      </c>
      <c r="Y326" s="320">
        <f t="shared" si="486"/>
        <v>-7.6829999999999927</v>
      </c>
      <c r="Z326" s="320">
        <f t="shared" si="486"/>
        <v>-8.1970000000000027</v>
      </c>
      <c r="AA326" s="320">
        <f t="shared" si="486"/>
        <v>-9.6269999999999811</v>
      </c>
      <c r="AB326" s="320">
        <f>+AB328-AA328</f>
        <v>-1.65300000000002</v>
      </c>
      <c r="AC326" s="97">
        <f t="shared" ref="AC326:AM326" ca="1" si="487">+AC263/AC325</f>
        <v>-1.5796196444434403</v>
      </c>
      <c r="AD326" s="97">
        <f t="shared" ca="1" si="487"/>
        <v>-5.4905702433562222</v>
      </c>
      <c r="AE326" s="97">
        <f t="shared" ca="1" si="487"/>
        <v>-5.4225052773434301</v>
      </c>
      <c r="AF326" s="97">
        <f t="shared" ca="1" si="487"/>
        <v>-5.2686691687742702</v>
      </c>
      <c r="AG326" s="97">
        <f t="shared" ca="1" si="487"/>
        <v>-5.0452849572790326</v>
      </c>
      <c r="AH326" s="97">
        <f t="shared" ca="1" si="487"/>
        <v>-4.878175750502967</v>
      </c>
      <c r="AI326" s="97">
        <f t="shared" ca="1" si="487"/>
        <v>-4.741604678908395</v>
      </c>
      <c r="AJ326" s="97">
        <f t="shared" ca="1" si="487"/>
        <v>-4.5788079950711227</v>
      </c>
      <c r="AK326" s="97">
        <f t="shared" ca="1" si="487"/>
        <v>-4.4296786283568341</v>
      </c>
      <c r="AL326" s="97">
        <f t="shared" ca="1" si="487"/>
        <v>-4.3040306796711434</v>
      </c>
      <c r="AM326" s="97">
        <f t="shared" ca="1" si="487"/>
        <v>-4.1687273722613591</v>
      </c>
    </row>
    <row r="327" spans="1:41">
      <c r="D327" s="36"/>
      <c r="E327" s="36"/>
      <c r="F327" s="36"/>
      <c r="G327" s="93"/>
      <c r="H327" s="93"/>
      <c r="I327" s="93"/>
      <c r="J327" s="7"/>
      <c r="K327" s="7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7"/>
    </row>
    <row r="328" spans="1:41" s="3" customFormat="1">
      <c r="A328" s="125"/>
      <c r="B328" s="36"/>
      <c r="C328"/>
      <c r="D328" s="168" t="s">
        <v>179</v>
      </c>
      <c r="E328" s="36"/>
      <c r="F328" s="36"/>
      <c r="G328" s="36"/>
      <c r="H328" s="36"/>
      <c r="I328" s="110"/>
      <c r="J328" s="109"/>
      <c r="K328" s="109"/>
      <c r="L328" s="81">
        <v>208.1</v>
      </c>
      <c r="M328" s="81">
        <v>209.27</v>
      </c>
      <c r="N328" s="81">
        <v>212.5</v>
      </c>
      <c r="O328" s="81">
        <v>216</v>
      </c>
      <c r="P328" s="81">
        <v>217.5</v>
      </c>
      <c r="Q328" s="81">
        <v>219.5</v>
      </c>
      <c r="R328" s="81">
        <v>223.4</v>
      </c>
      <c r="S328" s="81">
        <v>226.28200000000001</v>
      </c>
      <c r="T328" s="81">
        <v>228.095</v>
      </c>
      <c r="U328" s="81">
        <v>223.589</v>
      </c>
      <c r="V328" s="81">
        <v>215.61699999999999</v>
      </c>
      <c r="W328" s="81">
        <v>203.27500000000001</v>
      </c>
      <c r="X328" s="81">
        <v>190.34299999999999</v>
      </c>
      <c r="Y328" s="81">
        <v>182.66</v>
      </c>
      <c r="Z328" s="190">
        <v>174.46299999999999</v>
      </c>
      <c r="AA328" s="190">
        <v>164.83600000000001</v>
      </c>
      <c r="AB328" s="190">
        <v>163.18299999999999</v>
      </c>
      <c r="AC328" s="93">
        <f t="shared" ref="AC328:AM328" ca="1" si="488">+AB328+AC263/(AC230*AC324/AB328)</f>
        <v>161.60680906260481</v>
      </c>
      <c r="AD328" s="93">
        <f t="shared" ca="1" si="488"/>
        <v>155.9855475820533</v>
      </c>
      <c r="AE328" s="93">
        <f t="shared" ca="1" si="488"/>
        <v>150.42914904097151</v>
      </c>
      <c r="AF328" s="93">
        <f t="shared" ca="1" si="488"/>
        <v>145.02882730331697</v>
      </c>
      <c r="AG328" s="93">
        <f t="shared" ca="1" si="488"/>
        <v>139.85881924193581</v>
      </c>
      <c r="AH328" s="93">
        <f t="shared" ca="1" si="488"/>
        <v>134.85954869091685</v>
      </c>
      <c r="AI328" s="93">
        <f t="shared" ca="1" si="488"/>
        <v>129.99873517146418</v>
      </c>
      <c r="AJ328" s="93">
        <f t="shared" ca="1" si="488"/>
        <v>125.30448775362859</v>
      </c>
      <c r="AK328" s="93">
        <f t="shared" ca="1" si="488"/>
        <v>120.76248008028529</v>
      </c>
      <c r="AL328" s="93">
        <f t="shared" ca="1" si="488"/>
        <v>116.34789497328099</v>
      </c>
      <c r="AM328" s="93">
        <f t="shared" ca="1" si="488"/>
        <v>112.07119213722612</v>
      </c>
      <c r="AN328" s="65"/>
    </row>
    <row r="329" spans="1:41" s="3" customFormat="1">
      <c r="A329" s="125"/>
      <c r="B329" s="36"/>
      <c r="C329"/>
      <c r="D329" s="168" t="s">
        <v>180</v>
      </c>
      <c r="E329" s="36"/>
      <c r="F329" s="36"/>
      <c r="G329" s="36"/>
      <c r="H329" s="36"/>
      <c r="I329" s="110"/>
      <c r="J329" s="109"/>
      <c r="K329" s="109"/>
      <c r="L329" s="81">
        <v>212.8</v>
      </c>
      <c r="M329" s="81">
        <v>212.846</v>
      </c>
      <c r="N329" s="81">
        <v>216.6</v>
      </c>
      <c r="O329" s="81">
        <v>220</v>
      </c>
      <c r="P329" s="81">
        <v>219.4</v>
      </c>
      <c r="Q329" s="81">
        <v>222.2</v>
      </c>
      <c r="R329" s="81">
        <v>227.6</v>
      </c>
      <c r="S329" s="81">
        <v>230.721</v>
      </c>
      <c r="T329" s="81">
        <v>231.82300000000001</v>
      </c>
      <c r="U329" s="81">
        <v>227.584</v>
      </c>
      <c r="V329" s="81">
        <v>218.691</v>
      </c>
      <c r="W329" s="81">
        <v>205.54</v>
      </c>
      <c r="X329" s="81">
        <v>192.215</v>
      </c>
      <c r="Y329" s="81">
        <v>184.47</v>
      </c>
      <c r="Z329" s="81">
        <v>175.88399999999999</v>
      </c>
      <c r="AA329" s="81">
        <v>166.82</v>
      </c>
      <c r="AB329" s="81">
        <v>165.13300000000001</v>
      </c>
      <c r="AC329" s="93">
        <f t="shared" ref="AC329:AM329" ca="1" si="489">+AB329+AC263/(AC230*AC324/AB329)</f>
        <v>163.53797393683854</v>
      </c>
      <c r="AD329" s="93">
        <f t="shared" ca="1" si="489"/>
        <v>157.84953965098822</v>
      </c>
      <c r="AE329" s="93">
        <f t="shared" ca="1" si="489"/>
        <v>152.22674340208692</v>
      </c>
      <c r="AF329" s="93">
        <f t="shared" ca="1" si="489"/>
        <v>146.76188903916858</v>
      </c>
      <c r="AG329" s="93">
        <f t="shared" ca="1" si="489"/>
        <v>141.5301005489456</v>
      </c>
      <c r="AH329" s="93">
        <f t="shared" ca="1" si="489"/>
        <v>136.47108984377772</v>
      </c>
      <c r="AI329" s="93">
        <f t="shared" ca="1" si="489"/>
        <v>131.55219070043694</v>
      </c>
      <c r="AJ329" s="93">
        <f t="shared" ca="1" si="489"/>
        <v>126.80184808601361</v>
      </c>
      <c r="AK329" s="93">
        <f t="shared" ca="1" si="489"/>
        <v>122.20556444665043</v>
      </c>
      <c r="AL329" s="93">
        <f t="shared" ca="1" si="489"/>
        <v>117.73822604451944</v>
      </c>
      <c r="AM329" s="93">
        <f t="shared" ca="1" si="489"/>
        <v>113.41041757533914</v>
      </c>
      <c r="AN329" s="65"/>
    </row>
    <row r="330" spans="1:41" s="3" customFormat="1">
      <c r="A330" s="125"/>
      <c r="B330" s="36"/>
      <c r="C330"/>
      <c r="D330" s="168"/>
      <c r="E330" s="36"/>
      <c r="F330" s="36"/>
      <c r="G330" s="36"/>
      <c r="H330" s="36"/>
      <c r="I330" s="36"/>
      <c r="J330"/>
      <c r="K330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69"/>
      <c r="X330" s="69"/>
      <c r="Y330" s="69"/>
      <c r="Z330" s="69"/>
      <c r="AA330" s="69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65"/>
    </row>
    <row r="331" spans="1:41" s="3" customFormat="1">
      <c r="A331" s="125"/>
      <c r="B331" s="36"/>
      <c r="C331"/>
      <c r="D331" s="168" t="s">
        <v>181</v>
      </c>
      <c r="E331" s="36"/>
      <c r="F331" s="36"/>
      <c r="G331" s="36"/>
      <c r="H331" s="36"/>
      <c r="I331" s="111"/>
      <c r="J331" s="89"/>
      <c r="K331" s="89"/>
      <c r="L331" s="89">
        <f t="shared" ref="L331:AM331" si="490">+L233</f>
        <v>0.52770206766917205</v>
      </c>
      <c r="M331" s="89">
        <f t="shared" si="490"/>
        <v>0.63059676949531562</v>
      </c>
      <c r="N331" s="89">
        <f t="shared" si="490"/>
        <v>0.91688365650969506</v>
      </c>
      <c r="O331" s="89">
        <f t="shared" si="490"/>
        <v>0.82788636363636425</v>
      </c>
      <c r="P331" s="89">
        <f t="shared" si="490"/>
        <v>0.26963081130355676</v>
      </c>
      <c r="Q331" s="89">
        <f t="shared" si="490"/>
        <v>1.2504860486048626</v>
      </c>
      <c r="R331" s="89">
        <f t="shared" si="490"/>
        <v>1.6585588752196834</v>
      </c>
      <c r="S331" s="89">
        <f t="shared" si="490"/>
        <v>1.7936598749138624</v>
      </c>
      <c r="T331" s="89">
        <f t="shared" si="490"/>
        <v>1.8737959563977675</v>
      </c>
      <c r="U331" s="89">
        <f t="shared" si="490"/>
        <v>2.16462053571429</v>
      </c>
      <c r="V331" s="89">
        <f t="shared" si="490"/>
        <v>2.7315344481483019</v>
      </c>
      <c r="W331" s="89">
        <f t="shared" si="490"/>
        <v>3.0333122506568042</v>
      </c>
      <c r="X331" s="89">
        <f t="shared" si="490"/>
        <v>3.2619514606040081</v>
      </c>
      <c r="Y331" s="89">
        <f t="shared" si="490"/>
        <v>3.6001626280696017</v>
      </c>
      <c r="Z331" s="89">
        <f t="shared" si="490"/>
        <v>4.7895431079575195</v>
      </c>
      <c r="AA331" s="89">
        <f t="shared" si="490"/>
        <v>5.3250809255484919</v>
      </c>
      <c r="AB331" s="89">
        <f t="shared" si="490"/>
        <v>4.5227725530330032</v>
      </c>
      <c r="AC331" s="89">
        <f t="shared" ca="1" si="490"/>
        <v>5.7551253701407097</v>
      </c>
      <c r="AD331" s="89">
        <f t="shared" ca="1" si="490"/>
        <v>6.7144864400221769</v>
      </c>
      <c r="AE331" s="89">
        <f t="shared" ca="1" si="490"/>
        <v>7.5834864557750885</v>
      </c>
      <c r="AF331" s="89">
        <f t="shared" ca="1" si="490"/>
        <v>8.707469719883342</v>
      </c>
      <c r="AG331" s="89">
        <f t="shared" ca="1" si="490"/>
        <v>9.9620812079254755</v>
      </c>
      <c r="AH331" s="89">
        <f t="shared" ca="1" si="490"/>
        <v>11.290458122324027</v>
      </c>
      <c r="AI331" s="89">
        <f t="shared" ca="1" si="490"/>
        <v>12.731216733483723</v>
      </c>
      <c r="AJ331" s="89">
        <f t="shared" ca="1" si="490"/>
        <v>14.453228553702123</v>
      </c>
      <c r="AK331" s="89">
        <f t="shared" ca="1" si="490"/>
        <v>16.381959349603971</v>
      </c>
      <c r="AL331" s="89">
        <f t="shared" ca="1" si="490"/>
        <v>18.492056974791709</v>
      </c>
      <c r="AM331" s="89">
        <f t="shared" ca="1" si="490"/>
        <v>20.945201888577031</v>
      </c>
      <c r="AN331" s="65"/>
    </row>
    <row r="332" spans="1:41" s="3" customFormat="1">
      <c r="A332" s="125"/>
      <c r="B332" s="36"/>
      <c r="C332"/>
      <c r="D332" s="168" t="s">
        <v>124</v>
      </c>
      <c r="E332" s="36"/>
      <c r="F332" s="36"/>
      <c r="G332" s="36"/>
      <c r="H332" s="36"/>
      <c r="I332" s="185"/>
      <c r="J332" s="61"/>
      <c r="K332" s="61"/>
      <c r="L332" s="61">
        <v>0</v>
      </c>
      <c r="M332" s="61">
        <v>0</v>
      </c>
      <c r="N332" s="61">
        <v>0</v>
      </c>
      <c r="O332" s="61">
        <v>0</v>
      </c>
      <c r="P332" s="61">
        <v>0</v>
      </c>
      <c r="Q332" s="61">
        <v>0</v>
      </c>
      <c r="R332" s="61">
        <v>0</v>
      </c>
      <c r="S332" s="61">
        <v>0</v>
      </c>
      <c r="T332" s="61">
        <v>0</v>
      </c>
      <c r="U332" s="61">
        <v>0</v>
      </c>
      <c r="V332" s="61">
        <v>0</v>
      </c>
      <c r="W332" s="61">
        <v>0</v>
      </c>
      <c r="X332" s="61">
        <v>0</v>
      </c>
      <c r="Y332" s="61">
        <v>0</v>
      </c>
      <c r="Z332" s="61">
        <v>0</v>
      </c>
      <c r="AA332" s="61">
        <v>0</v>
      </c>
      <c r="AB332" s="61">
        <v>0</v>
      </c>
      <c r="AC332" s="61">
        <v>0</v>
      </c>
      <c r="AD332" s="61">
        <v>0</v>
      </c>
      <c r="AE332" s="61">
        <v>0</v>
      </c>
      <c r="AF332" s="61">
        <v>0</v>
      </c>
      <c r="AG332" s="61">
        <v>0</v>
      </c>
      <c r="AH332" s="61">
        <v>0</v>
      </c>
      <c r="AI332" s="216">
        <f ca="1">+AI331*AI333</f>
        <v>1.9096825100225585</v>
      </c>
      <c r="AJ332" s="216">
        <f ca="1">+AJ331*AJ333</f>
        <v>2.1679842830553184</v>
      </c>
      <c r="AK332" s="216">
        <f ca="1">+AK331*AK333</f>
        <v>2.4572939024405955</v>
      </c>
      <c r="AL332" s="216">
        <f ca="1">+AL331*AL333</f>
        <v>2.7738085462187563</v>
      </c>
      <c r="AM332" s="216">
        <f ca="1">+AM331*AM333</f>
        <v>3.1417802832865545</v>
      </c>
      <c r="AN332" s="65"/>
    </row>
    <row r="333" spans="1:41" s="3" customFormat="1">
      <c r="A333" s="125"/>
      <c r="B333" s="36"/>
      <c r="C333"/>
      <c r="D333" s="168" t="s">
        <v>182</v>
      </c>
      <c r="E333" s="36"/>
      <c r="F333" s="36"/>
      <c r="G333" s="36"/>
      <c r="H333" s="36"/>
      <c r="I333" s="182"/>
      <c r="J333" s="75"/>
      <c r="K333" s="75"/>
      <c r="L333" s="75">
        <f t="shared" ref="L333:X333" si="491">IFERROR(L332/L331,"na")</f>
        <v>0</v>
      </c>
      <c r="M333" s="75">
        <f t="shared" si="491"/>
        <v>0</v>
      </c>
      <c r="N333" s="75">
        <f t="shared" si="491"/>
        <v>0</v>
      </c>
      <c r="O333" s="75">
        <f t="shared" si="491"/>
        <v>0</v>
      </c>
      <c r="P333" s="75">
        <f t="shared" si="491"/>
        <v>0</v>
      </c>
      <c r="Q333" s="75">
        <f t="shared" si="491"/>
        <v>0</v>
      </c>
      <c r="R333" s="75">
        <f t="shared" si="491"/>
        <v>0</v>
      </c>
      <c r="S333" s="75">
        <f t="shared" si="491"/>
        <v>0</v>
      </c>
      <c r="T333" s="75">
        <f t="shared" si="491"/>
        <v>0</v>
      </c>
      <c r="U333" s="75">
        <f t="shared" si="491"/>
        <v>0</v>
      </c>
      <c r="V333" s="75">
        <f t="shared" si="491"/>
        <v>0</v>
      </c>
      <c r="W333" s="75">
        <f t="shared" si="491"/>
        <v>0</v>
      </c>
      <c r="X333" s="75">
        <f t="shared" si="491"/>
        <v>0</v>
      </c>
      <c r="Y333" s="75">
        <f t="shared" ref="Y333:AH333" si="492">IFERROR(Y332/Y331,"na")</f>
        <v>0</v>
      </c>
      <c r="Z333" s="75">
        <f t="shared" si="492"/>
        <v>0</v>
      </c>
      <c r="AA333" s="75">
        <f t="shared" si="492"/>
        <v>0</v>
      </c>
      <c r="AB333" s="75">
        <f t="shared" si="492"/>
        <v>0</v>
      </c>
      <c r="AC333" s="75">
        <f t="shared" ca="1" si="492"/>
        <v>0</v>
      </c>
      <c r="AD333" s="75">
        <f t="shared" ca="1" si="492"/>
        <v>0</v>
      </c>
      <c r="AE333" s="75">
        <f t="shared" ca="1" si="492"/>
        <v>0</v>
      </c>
      <c r="AF333" s="75">
        <f t="shared" ca="1" si="492"/>
        <v>0</v>
      </c>
      <c r="AG333" s="75">
        <f t="shared" ca="1" si="492"/>
        <v>0</v>
      </c>
      <c r="AH333" s="75">
        <f t="shared" ca="1" si="492"/>
        <v>0</v>
      </c>
      <c r="AI333" s="84">
        <v>0.15</v>
      </c>
      <c r="AJ333" s="84">
        <v>0.15</v>
      </c>
      <c r="AK333" s="84">
        <v>0.15</v>
      </c>
      <c r="AL333" s="84">
        <v>0.15</v>
      </c>
      <c r="AM333" s="84">
        <v>0.15</v>
      </c>
      <c r="AN333" s="65"/>
    </row>
    <row r="334" spans="1:41" s="3" customFormat="1">
      <c r="A334" s="125"/>
      <c r="B334" s="36"/>
      <c r="C334"/>
      <c r="D334" s="168"/>
      <c r="E334" s="36"/>
      <c r="F334" s="36"/>
      <c r="G334" s="36"/>
      <c r="H334" s="36"/>
      <c r="I334" s="36"/>
      <c r="J334"/>
      <c r="K334"/>
      <c r="L334"/>
      <c r="M334"/>
      <c r="N334"/>
      <c r="O334"/>
      <c r="P334"/>
      <c r="Q334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65"/>
    </row>
    <row r="335" spans="1:41">
      <c r="B335" s="161" t="s">
        <v>214</v>
      </c>
      <c r="C335" s="53" t="s">
        <v>214</v>
      </c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</row>
    <row r="336" spans="1:41">
      <c r="C336" s="119"/>
      <c r="D336" s="120" t="s">
        <v>173</v>
      </c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  <c r="AA336" s="119"/>
      <c r="AB336" s="119"/>
      <c r="AC336" s="119"/>
      <c r="AD336" s="119"/>
      <c r="AE336" s="119"/>
      <c r="AF336" s="119"/>
      <c r="AG336" s="119"/>
      <c r="AH336" s="119"/>
      <c r="AI336" s="119"/>
      <c r="AJ336" s="119"/>
      <c r="AK336" s="119"/>
      <c r="AL336" s="119"/>
      <c r="AM336" s="119"/>
    </row>
    <row r="337" spans="1:40" ht="5.15" customHeight="1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66"/>
      <c r="X337" s="66"/>
      <c r="Y337" s="66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"/>
    </row>
    <row r="338" spans="1:40" s="3" customFormat="1">
      <c r="A338" s="125"/>
      <c r="B338" s="36"/>
      <c r="C338"/>
      <c r="D338" s="168" t="s">
        <v>174</v>
      </c>
      <c r="E338"/>
      <c r="F338"/>
      <c r="G338"/>
      <c r="H338"/>
      <c r="I338" s="7"/>
      <c r="J338" s="7"/>
      <c r="K338" s="7"/>
      <c r="L338" s="76">
        <f t="shared" ref="L338:AA338" si="493">+L353</f>
        <v>193.94600000000003</v>
      </c>
      <c r="M338" s="76">
        <f t="shared" si="493"/>
        <v>195.012</v>
      </c>
      <c r="N338" s="76">
        <f t="shared" si="493"/>
        <v>185.477</v>
      </c>
      <c r="O338" s="76">
        <f t="shared" si="493"/>
        <v>327.83100000000002</v>
      </c>
      <c r="P338" s="76">
        <f t="shared" si="493"/>
        <v>337.04700000000003</v>
      </c>
      <c r="Q338" s="76">
        <f t="shared" si="493"/>
        <v>150.571</v>
      </c>
      <c r="R338" s="76">
        <f t="shared" si="493"/>
        <v>368.61900000000003</v>
      </c>
      <c r="S338" s="76">
        <f t="shared" si="493"/>
        <v>354.50899999999996</v>
      </c>
      <c r="T338" s="76">
        <f t="shared" si="493"/>
        <v>337.80700000000002</v>
      </c>
      <c r="U338" s="76">
        <f t="shared" si="493"/>
        <v>316.50700000000001</v>
      </c>
      <c r="V338" s="76">
        <f t="shared" si="493"/>
        <v>617.06899999999996</v>
      </c>
      <c r="W338" s="76">
        <f t="shared" si="493"/>
        <v>1114.6610000000001</v>
      </c>
      <c r="X338" s="76">
        <f t="shared" si="493"/>
        <v>1439.269</v>
      </c>
      <c r="Y338" s="76">
        <f t="shared" si="493"/>
        <v>1485.9749999999999</v>
      </c>
      <c r="Z338" s="76">
        <f t="shared" si="493"/>
        <v>1660.55</v>
      </c>
      <c r="AA338" s="76">
        <f t="shared" si="493"/>
        <v>1787.963</v>
      </c>
      <c r="AB338" s="76">
        <f>+AB353</f>
        <v>1332.3419999999999</v>
      </c>
      <c r="AC338" s="104">
        <f t="shared" ref="AC338:AK338" ca="1" si="494">+AC340*AC341</f>
        <v>1697.2760141277665</v>
      </c>
      <c r="AD338" s="104">
        <f t="shared" ca="1" si="494"/>
        <v>1979.7349239249888</v>
      </c>
      <c r="AE338" s="104">
        <f t="shared" ca="1" si="494"/>
        <v>2238.7318898880744</v>
      </c>
      <c r="AF338" s="104">
        <f t="shared" ca="1" si="494"/>
        <v>2562.7720255237168</v>
      </c>
      <c r="AG338" s="104">
        <f t="shared" ca="1" si="494"/>
        <v>2922.1892360329543</v>
      </c>
      <c r="AH338" s="104">
        <f t="shared" ca="1" si="494"/>
        <v>3300.3309076083683</v>
      </c>
      <c r="AI338" s="104">
        <f t="shared" ca="1" si="494"/>
        <v>3705.4739617384134</v>
      </c>
      <c r="AJ338" s="104">
        <f t="shared" ca="1" si="494"/>
        <v>4179.6863584903203</v>
      </c>
      <c r="AK338" s="104">
        <f t="shared" ca="1" si="494"/>
        <v>4703.2797336033582</v>
      </c>
      <c r="AL338" s="104">
        <f ca="1">+AL340*AL341</f>
        <v>5267.2089654650435</v>
      </c>
      <c r="AM338" s="104">
        <f ca="1">+AM340*AM341</f>
        <v>5732.2005306447909</v>
      </c>
      <c r="AN338" s="65"/>
    </row>
    <row r="339" spans="1:40" s="3" customFormat="1">
      <c r="A339" s="125"/>
      <c r="B339" s="36"/>
      <c r="C339"/>
      <c r="D339" s="168" t="s">
        <v>175</v>
      </c>
      <c r="E339"/>
      <c r="F339"/>
      <c r="G339"/>
      <c r="H339"/>
      <c r="I339" s="7"/>
      <c r="J339" s="7"/>
      <c r="K339" s="7"/>
      <c r="L339" s="7">
        <f t="shared" ref="L339:AM339" si="495">+L338-L275-L278-L285</f>
        <v>176.82200000000003</v>
      </c>
      <c r="M339" s="7">
        <f t="shared" si="495"/>
        <v>173.25299999999999</v>
      </c>
      <c r="N339" s="7">
        <f t="shared" si="495"/>
        <v>166.02199999999999</v>
      </c>
      <c r="O339" s="7">
        <f t="shared" si="495"/>
        <v>314.86600000000004</v>
      </c>
      <c r="P339" s="7">
        <f t="shared" si="495"/>
        <v>196.45000000000002</v>
      </c>
      <c r="Q339" s="7">
        <f t="shared" si="495"/>
        <v>132.29300000000001</v>
      </c>
      <c r="R339" s="7">
        <f t="shared" si="495"/>
        <v>327.49800000000005</v>
      </c>
      <c r="S339" s="7">
        <f t="shared" si="495"/>
        <v>-88.149000000000058</v>
      </c>
      <c r="T339" s="7">
        <f t="shared" si="495"/>
        <v>-111.55699999999996</v>
      </c>
      <c r="U339" s="7">
        <f t="shared" si="495"/>
        <v>-311.39399999999995</v>
      </c>
      <c r="V339" s="7">
        <f t="shared" si="495"/>
        <v>589.46299999999997</v>
      </c>
      <c r="W339" s="7">
        <f t="shared" si="495"/>
        <v>1077.2670000000001</v>
      </c>
      <c r="X339" s="7">
        <f t="shared" si="495"/>
        <v>1400.8530000000001</v>
      </c>
      <c r="Y339" s="7">
        <f t="shared" si="495"/>
        <v>1441.4499999999998</v>
      </c>
      <c r="Z339" s="7">
        <f t="shared" si="495"/>
        <v>1613.6119999999999</v>
      </c>
      <c r="AA339" s="7">
        <f t="shared" si="495"/>
        <v>1729.752</v>
      </c>
      <c r="AB339" s="7">
        <f t="shared" si="495"/>
        <v>1200.0229999999999</v>
      </c>
      <c r="AC339" s="7">
        <f t="shared" ca="1" si="495"/>
        <v>1693.392206158908</v>
      </c>
      <c r="AD339" s="7">
        <f t="shared" ca="1" si="495"/>
        <v>1915.6483997938183</v>
      </c>
      <c r="AE339" s="7">
        <f t="shared" ca="1" si="495"/>
        <v>2199.1625783369295</v>
      </c>
      <c r="AF339" s="7">
        <f t="shared" ca="1" si="495"/>
        <v>2487.0493227677448</v>
      </c>
      <c r="AG339" s="7">
        <f t="shared" ca="1" si="495"/>
        <v>2746.7722681556247</v>
      </c>
      <c r="AH339" s="7">
        <f t="shared" ca="1" si="495"/>
        <v>2991.7012021545152</v>
      </c>
      <c r="AI339" s="7">
        <f t="shared" ca="1" si="495"/>
        <v>3473.3333412236598</v>
      </c>
      <c r="AJ339" s="7">
        <f t="shared" ca="1" si="495"/>
        <v>3951.9702512828999</v>
      </c>
      <c r="AK339" s="7">
        <f t="shared" ca="1" si="495"/>
        <v>4424.2767910386528</v>
      </c>
      <c r="AL339" s="7">
        <f t="shared" ca="1" si="495"/>
        <v>4895.1920126962668</v>
      </c>
      <c r="AM339" s="7">
        <f t="shared" ca="1" si="495"/>
        <v>5420.4637558282848</v>
      </c>
      <c r="AN339" s="65"/>
    </row>
    <row r="340" spans="1:40" s="3" customFormat="1">
      <c r="A340" s="125"/>
      <c r="B340" s="36"/>
      <c r="C340"/>
      <c r="D340" s="168" t="s">
        <v>102</v>
      </c>
      <c r="E340"/>
      <c r="F340"/>
      <c r="G340" s="94"/>
      <c r="H340" s="94"/>
      <c r="I340" s="94"/>
      <c r="J340" s="94"/>
      <c r="K340" s="94"/>
      <c r="L340" s="94">
        <f t="shared" ref="L340:AM340" si="496">+L212</f>
        <v>206.84099999999984</v>
      </c>
      <c r="M340" s="94">
        <f t="shared" si="496"/>
        <v>248.38599999999994</v>
      </c>
      <c r="N340" s="94">
        <f t="shared" si="496"/>
        <v>363.27299999999991</v>
      </c>
      <c r="O340" s="94">
        <f t="shared" si="496"/>
        <v>348.74900000000014</v>
      </c>
      <c r="P340" s="94">
        <f t="shared" si="496"/>
        <v>157.56900000000036</v>
      </c>
      <c r="Q340" s="94">
        <f t="shared" si="496"/>
        <v>557.68800000000044</v>
      </c>
      <c r="R340" s="94">
        <f t="shared" si="496"/>
        <v>719.20099999999991</v>
      </c>
      <c r="S340" s="94">
        <f t="shared" si="496"/>
        <v>783.47600000000114</v>
      </c>
      <c r="T340" s="94">
        <f t="shared" si="496"/>
        <v>829.09599999999966</v>
      </c>
      <c r="U340" s="94">
        <f t="shared" si="496"/>
        <v>930.11400000000083</v>
      </c>
      <c r="V340" s="94">
        <f t="shared" si="496"/>
        <v>1108.9810000000002</v>
      </c>
      <c r="W340" s="94">
        <f t="shared" si="496"/>
        <v>1183.7009999999993</v>
      </c>
      <c r="X340" s="94">
        <f t="shared" si="496"/>
        <v>1231.7219999999993</v>
      </c>
      <c r="Y340" s="94">
        <f t="shared" si="496"/>
        <v>1314.3049999999996</v>
      </c>
      <c r="Z340" s="94">
        <f t="shared" si="496"/>
        <v>1370.8390000000002</v>
      </c>
      <c r="AA340" s="94">
        <f t="shared" si="496"/>
        <v>1459.7009999999993</v>
      </c>
      <c r="AB340" s="94">
        <f t="shared" si="496"/>
        <v>1293.5309999999988</v>
      </c>
      <c r="AC340" s="94">
        <f t="shared" ca="1" si="496"/>
        <v>1542.9781946616058</v>
      </c>
      <c r="AD340" s="94">
        <f t="shared" ca="1" si="496"/>
        <v>1729.8654675072726</v>
      </c>
      <c r="AE340" s="94">
        <f t="shared" ca="1" si="496"/>
        <v>1883.0455148591295</v>
      </c>
      <c r="AF340" s="94">
        <f t="shared" ca="1" si="496"/>
        <v>2077.9232639594211</v>
      </c>
      <c r="AG340" s="94">
        <f t="shared" ca="1" si="496"/>
        <v>2286.9307065113931</v>
      </c>
      <c r="AH340" s="94">
        <f t="shared" ca="1" si="496"/>
        <v>2496.0485856566856</v>
      </c>
      <c r="AI340" s="94">
        <f t="shared" ca="1" si="496"/>
        <v>2711.3224111059344</v>
      </c>
      <c r="AJ340" s="94">
        <f t="shared" ca="1" si="496"/>
        <v>2961.9824588460638</v>
      </c>
      <c r="AK340" s="94">
        <f t="shared" ca="1" si="496"/>
        <v>3231.2608857405921</v>
      </c>
      <c r="AL340" s="94">
        <f t="shared" ca="1" si="496"/>
        <v>3511.472643681619</v>
      </c>
      <c r="AM340" s="94">
        <f t="shared" ca="1" si="496"/>
        <v>3821.4670204615572</v>
      </c>
      <c r="AN340" s="65"/>
    </row>
    <row r="341" spans="1:40" s="3" customFormat="1">
      <c r="A341" s="125"/>
      <c r="B341" s="36"/>
      <c r="C341"/>
      <c r="D341" s="168" t="s">
        <v>176</v>
      </c>
      <c r="E341"/>
      <c r="F341"/>
      <c r="G341" s="169"/>
      <c r="H341" s="169"/>
      <c r="I341" s="169"/>
      <c r="J341" s="169"/>
      <c r="K341" s="169"/>
      <c r="L341" s="169">
        <f t="shared" ref="L341:U341" si="497">+L338/L340</f>
        <v>0.93765742768600124</v>
      </c>
      <c r="M341" s="169">
        <f t="shared" si="497"/>
        <v>0.78511671350237155</v>
      </c>
      <c r="N341" s="169">
        <f t="shared" si="497"/>
        <v>0.51057193901005593</v>
      </c>
      <c r="O341" s="169">
        <f t="shared" si="497"/>
        <v>0.94001989969863686</v>
      </c>
      <c r="P341" s="169">
        <f t="shared" si="497"/>
        <v>2.1390438474572999</v>
      </c>
      <c r="Q341" s="169">
        <f t="shared" si="497"/>
        <v>0.26999146476165864</v>
      </c>
      <c r="R341" s="169">
        <f t="shared" si="497"/>
        <v>0.51253960992823988</v>
      </c>
      <c r="S341" s="169">
        <f t="shared" si="497"/>
        <v>0.45248227131398977</v>
      </c>
      <c r="T341" s="169">
        <f t="shared" si="497"/>
        <v>0.40744015168327935</v>
      </c>
      <c r="U341" s="169">
        <f t="shared" si="497"/>
        <v>0.34028839475591133</v>
      </c>
      <c r="V341" s="169">
        <f t="shared" ref="V341:AA341" si="498">+V338/V340</f>
        <v>0.55642882970943586</v>
      </c>
      <c r="W341" s="169">
        <f t="shared" si="498"/>
        <v>0.9416744600198873</v>
      </c>
      <c r="X341" s="169">
        <f t="shared" si="498"/>
        <v>1.1685014962791935</v>
      </c>
      <c r="Y341" s="169">
        <f t="shared" si="498"/>
        <v>1.1306165616048027</v>
      </c>
      <c r="Z341" s="169">
        <f t="shared" si="498"/>
        <v>1.21133845768905</v>
      </c>
      <c r="AA341" s="169">
        <f t="shared" si="498"/>
        <v>1.224883041115955</v>
      </c>
      <c r="AB341" s="169">
        <f>+AB338/AB340</f>
        <v>1.030003919504056</v>
      </c>
      <c r="AC341" s="96">
        <v>1.1000000000000001</v>
      </c>
      <c r="AD341" s="96">
        <f t="shared" ref="AD341:AJ341" ca="1" si="499">+AVERAGE(AE341,AC341)</f>
        <v>1.1444444444444439</v>
      </c>
      <c r="AE341" s="96">
        <f t="shared" ca="1" si="499"/>
        <v>1.188888888888888</v>
      </c>
      <c r="AF341" s="96">
        <f t="shared" ca="1" si="499"/>
        <v>1.2333333333333321</v>
      </c>
      <c r="AG341" s="96">
        <f t="shared" ca="1" si="499"/>
        <v>1.2777777777777763</v>
      </c>
      <c r="AH341" s="96">
        <f t="shared" ca="1" si="499"/>
        <v>1.3222222222222209</v>
      </c>
      <c r="AI341" s="96">
        <f t="shared" ca="1" si="499"/>
        <v>1.3666666666666654</v>
      </c>
      <c r="AJ341" s="96">
        <f t="shared" ca="1" si="499"/>
        <v>1.4111111111111101</v>
      </c>
      <c r="AK341" s="96">
        <f ca="1">+AVERAGE(AL341,AJ341)</f>
        <v>1.455555555555555</v>
      </c>
      <c r="AL341" s="96">
        <v>1.5</v>
      </c>
      <c r="AM341" s="96">
        <f>+AL341</f>
        <v>1.5</v>
      </c>
      <c r="AN341" s="65"/>
    </row>
    <row r="342" spans="1:40" s="3" customFormat="1">
      <c r="A342" s="125"/>
      <c r="B342" s="36"/>
      <c r="C342"/>
      <c r="D342" s="168" t="s">
        <v>83</v>
      </c>
      <c r="E342"/>
      <c r="F342"/>
      <c r="G342" s="169"/>
      <c r="H342" s="169"/>
      <c r="I342" s="169"/>
      <c r="J342" s="169"/>
      <c r="K342" s="169"/>
      <c r="L342" s="169">
        <f t="shared" ref="L342:AB342" si="500">+L339/L340</f>
        <v>0.85486919904661152</v>
      </c>
      <c r="M342" s="169">
        <f t="shared" si="500"/>
        <v>0.69751515785913876</v>
      </c>
      <c r="N342" s="169">
        <f t="shared" si="500"/>
        <v>0.45701717441153084</v>
      </c>
      <c r="O342" s="169">
        <f t="shared" si="500"/>
        <v>0.90284416586140726</v>
      </c>
      <c r="P342" s="169">
        <f t="shared" si="500"/>
        <v>1.2467553897022865</v>
      </c>
      <c r="Q342" s="169">
        <f t="shared" si="500"/>
        <v>0.23721686677855702</v>
      </c>
      <c r="R342" s="169">
        <f t="shared" si="500"/>
        <v>0.45536366050659005</v>
      </c>
      <c r="S342" s="169">
        <f t="shared" si="500"/>
        <v>-0.11251014708810471</v>
      </c>
      <c r="T342" s="169">
        <f t="shared" si="500"/>
        <v>-0.13455257292279785</v>
      </c>
      <c r="U342" s="169">
        <f t="shared" si="500"/>
        <v>-0.33479121914087917</v>
      </c>
      <c r="V342" s="169">
        <f t="shared" si="500"/>
        <v>0.53153570710408915</v>
      </c>
      <c r="W342" s="169">
        <f t="shared" si="500"/>
        <v>0.9100837120184917</v>
      </c>
      <c r="X342" s="169">
        <f t="shared" si="500"/>
        <v>1.137312640352288</v>
      </c>
      <c r="Y342" s="169">
        <f t="shared" si="500"/>
        <v>1.0967393413248829</v>
      </c>
      <c r="Z342" s="169">
        <f t="shared" si="500"/>
        <v>1.1770981129074964</v>
      </c>
      <c r="AA342" s="169">
        <f t="shared" si="500"/>
        <v>1.1850043262284542</v>
      </c>
      <c r="AB342" s="169">
        <f t="shared" si="500"/>
        <v>0.92771104828566231</v>
      </c>
      <c r="AC342" s="169">
        <f t="shared" ref="AC342:AJ342" ca="1" si="501">+AC339/AC340</f>
        <v>1.0974829145464948</v>
      </c>
      <c r="AD342" s="169">
        <f t="shared" ca="1" si="501"/>
        <v>1.1073973298942477</v>
      </c>
      <c r="AE342" s="169">
        <f t="shared" ca="1" si="501"/>
        <v>1.1678754236067674</v>
      </c>
      <c r="AF342" s="169">
        <f t="shared" ca="1" si="501"/>
        <v>1.1968918034195095</v>
      </c>
      <c r="AG342" s="169">
        <f t="shared" ca="1" si="501"/>
        <v>1.2010736750068387</v>
      </c>
      <c r="AH342" s="169">
        <f t="shared" ca="1" si="501"/>
        <v>1.1985749072938932</v>
      </c>
      <c r="AI342" s="169">
        <f t="shared" ca="1" si="501"/>
        <v>1.2810477009286789</v>
      </c>
      <c r="AJ342" s="169">
        <f t="shared" ca="1" si="501"/>
        <v>1.3342314838766864</v>
      </c>
      <c r="AK342" s="169">
        <f ca="1">+AK339/AK340</f>
        <v>1.3692106417537457</v>
      </c>
      <c r="AL342" s="169">
        <f ca="1">+AL339/AL340</f>
        <v>1.3940567133576987</v>
      </c>
      <c r="AM342" s="169">
        <f ca="1">+AM339/AM340</f>
        <v>1.4184248422935757</v>
      </c>
      <c r="AN342" s="65"/>
    </row>
    <row r="343" spans="1:40" s="3" customFormat="1">
      <c r="A343" s="125"/>
      <c r="B343" s="36"/>
      <c r="C343"/>
      <c r="D343" s="168" t="s">
        <v>613</v>
      </c>
      <c r="E343"/>
      <c r="F343"/>
      <c r="G343" s="169"/>
      <c r="H343" s="169"/>
      <c r="I343" s="169"/>
      <c r="J343" s="169"/>
      <c r="K343" s="169"/>
      <c r="L343" s="318">
        <f t="shared" ref="L343:Y343" si="502">SUM(L300,L292,L26*8*0.33,L303)/SUM(L307:L310,L300,L292,L26*8*0.33,L303)</f>
        <v>0.19493588442109031</v>
      </c>
      <c r="M343" s="318">
        <f t="shared" si="502"/>
        <v>0.16887811214548604</v>
      </c>
      <c r="N343" s="318">
        <f t="shared" si="502"/>
        <v>0.12944602792193474</v>
      </c>
      <c r="O343" s="318">
        <f t="shared" si="502"/>
        <v>0.18044845843445217</v>
      </c>
      <c r="P343" s="318">
        <f t="shared" si="502"/>
        <v>0.17462543663224039</v>
      </c>
      <c r="Q343" s="318">
        <f t="shared" si="502"/>
        <v>0.24644683671135051</v>
      </c>
      <c r="R343" s="318">
        <f t="shared" si="502"/>
        <v>0.27468830288809742</v>
      </c>
      <c r="S343" s="318">
        <f t="shared" si="502"/>
        <v>0.24121508366012512</v>
      </c>
      <c r="T343" s="318">
        <f t="shared" si="502"/>
        <v>0.22280762270542717</v>
      </c>
      <c r="U343" s="318">
        <f t="shared" si="502"/>
        <v>0.21133842908554173</v>
      </c>
      <c r="V343" s="318">
        <f t="shared" si="502"/>
        <v>0.28526064970767734</v>
      </c>
      <c r="W343" s="318">
        <f t="shared" si="502"/>
        <v>0.38808362532285967</v>
      </c>
      <c r="X343" s="318">
        <f t="shared" si="502"/>
        <v>0.41808261048704787</v>
      </c>
      <c r="Y343" s="318">
        <f t="shared" si="502"/>
        <v>0.41741146077772873</v>
      </c>
      <c r="Z343" s="91">
        <f t="shared" ref="Z343:AM343" si="503">SUM(Z300,Z292,Z26*8*0.33)/SUM(Z307:Z310,Z300,Z292,Z26*8*0.33)</f>
        <v>0.43726919764342309</v>
      </c>
      <c r="AA343" s="91">
        <f t="shared" si="503"/>
        <v>0.42856126999760735</v>
      </c>
      <c r="AB343" s="91">
        <f t="shared" si="503"/>
        <v>0.35344612662113872</v>
      </c>
      <c r="AC343" s="91">
        <f t="shared" ca="1" si="503"/>
        <v>0.3555598789143799</v>
      </c>
      <c r="AD343" s="91">
        <f t="shared" ca="1" si="503"/>
        <v>0.37106300047909696</v>
      </c>
      <c r="AE343" s="91">
        <f t="shared" ca="1" si="503"/>
        <v>0.38256019158694859</v>
      </c>
      <c r="AF343" s="91">
        <f t="shared" ca="1" si="503"/>
        <v>0.39539479401247346</v>
      </c>
      <c r="AG343" s="91">
        <f t="shared" ca="1" si="503"/>
        <v>0.40649893706953893</v>
      </c>
      <c r="AH343" s="91">
        <f t="shared" ca="1" si="503"/>
        <v>0.41541932019382782</v>
      </c>
      <c r="AI343" s="91">
        <f t="shared" ca="1" si="503"/>
        <v>0.43157008201066166</v>
      </c>
      <c r="AJ343" s="91">
        <f t="shared" ca="1" si="503"/>
        <v>0.44776455350252364</v>
      </c>
      <c r="AK343" s="91">
        <f t="shared" ca="1" si="503"/>
        <v>0.46277952145997153</v>
      </c>
      <c r="AL343" s="91">
        <f t="shared" ca="1" si="503"/>
        <v>0.47634297954959642</v>
      </c>
      <c r="AM343" s="91">
        <f t="shared" ca="1" si="503"/>
        <v>0.48396864501288622</v>
      </c>
      <c r="AN343" s="65"/>
    </row>
    <row r="344" spans="1:40" s="3" customFormat="1">
      <c r="A344" s="125"/>
      <c r="B344" s="36"/>
      <c r="C344"/>
      <c r="D344"/>
      <c r="E344"/>
      <c r="F344"/>
      <c r="G344"/>
      <c r="H344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69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65"/>
    </row>
    <row r="345" spans="1:40" s="3" customFormat="1">
      <c r="A345" s="125"/>
      <c r="B345" s="36"/>
      <c r="C345"/>
      <c r="D345" s="168" t="s">
        <v>228</v>
      </c>
      <c r="E345" s="36"/>
      <c r="F345" s="17">
        <v>0.04</v>
      </c>
      <c r="G345" s="197"/>
      <c r="H345" s="36"/>
      <c r="I345" s="102"/>
      <c r="J345" s="102"/>
      <c r="K345" s="102"/>
      <c r="L345" s="81">
        <v>65.197000000000003</v>
      </c>
      <c r="M345" s="81">
        <v>159.26300000000001</v>
      </c>
      <c r="N345" s="81">
        <v>150.69</v>
      </c>
      <c r="O345" s="81">
        <v>300.2</v>
      </c>
      <c r="P345" s="81">
        <v>308.5</v>
      </c>
      <c r="Q345" s="81">
        <v>122.5</v>
      </c>
      <c r="R345" s="81">
        <v>0.1</v>
      </c>
      <c r="S345" s="81">
        <v>0.9</v>
      </c>
      <c r="T345" s="81">
        <v>0.35499999999999998</v>
      </c>
      <c r="U345" s="81">
        <v>0.58199999999999996</v>
      </c>
      <c r="V345" s="81">
        <v>10.785</v>
      </c>
      <c r="W345" s="81">
        <v>415.428</v>
      </c>
      <c r="X345" s="81">
        <v>155.06200000000001</v>
      </c>
      <c r="Y345" s="81">
        <v>197.62700000000001</v>
      </c>
      <c r="Z345" s="81">
        <v>366.529</v>
      </c>
      <c r="AA345" s="81">
        <v>452.74</v>
      </c>
      <c r="AB345" s="81">
        <v>0</v>
      </c>
      <c r="AC345" s="81">
        <v>0</v>
      </c>
      <c r="AD345" s="81">
        <v>0</v>
      </c>
      <c r="AE345" s="81">
        <v>0</v>
      </c>
      <c r="AF345" s="81">
        <v>0</v>
      </c>
      <c r="AG345" s="81">
        <v>0</v>
      </c>
      <c r="AH345" s="81">
        <v>0</v>
      </c>
      <c r="AI345" s="81">
        <v>0</v>
      </c>
      <c r="AJ345" s="81">
        <v>0</v>
      </c>
      <c r="AK345" s="81">
        <v>0</v>
      </c>
      <c r="AL345" s="81">
        <v>0</v>
      </c>
      <c r="AM345" s="81">
        <v>0</v>
      </c>
      <c r="AN345" s="65"/>
    </row>
    <row r="346" spans="1:40" s="3" customFormat="1">
      <c r="A346" s="125"/>
      <c r="B346" s="36"/>
      <c r="C346"/>
      <c r="D346" s="168" t="s">
        <v>405</v>
      </c>
      <c r="E346" s="36"/>
      <c r="F346" s="17">
        <v>0.04</v>
      </c>
      <c r="G346" s="197"/>
      <c r="H346" s="36"/>
      <c r="I346" s="102"/>
      <c r="J346" s="102"/>
      <c r="K346" s="102"/>
      <c r="L346" s="81">
        <v>100</v>
      </c>
      <c r="M346" s="81">
        <v>0</v>
      </c>
      <c r="N346" s="81">
        <v>0</v>
      </c>
      <c r="O346" s="81">
        <v>0</v>
      </c>
      <c r="P346" s="81">
        <v>0</v>
      </c>
      <c r="Q346" s="81">
        <v>0</v>
      </c>
      <c r="R346" s="81">
        <v>0</v>
      </c>
      <c r="S346" s="81">
        <v>0</v>
      </c>
      <c r="T346" s="81">
        <v>0</v>
      </c>
      <c r="U346" s="81">
        <v>0</v>
      </c>
      <c r="V346" s="81">
        <v>300</v>
      </c>
      <c r="W346" s="81">
        <v>300</v>
      </c>
      <c r="X346" s="81">
        <v>300</v>
      </c>
      <c r="Y346" s="81">
        <v>300</v>
      </c>
      <c r="Z346" s="81">
        <v>300</v>
      </c>
      <c r="AA346" s="81">
        <v>300</v>
      </c>
      <c r="AB346" s="81">
        <v>300</v>
      </c>
      <c r="AC346" s="76">
        <f>+AB346</f>
        <v>300</v>
      </c>
      <c r="AD346" s="76">
        <f t="shared" ref="AD346:AM346" si="504">+AC346</f>
        <v>300</v>
      </c>
      <c r="AE346" s="76">
        <f t="shared" si="504"/>
        <v>300</v>
      </c>
      <c r="AF346" s="76">
        <f t="shared" si="504"/>
        <v>300</v>
      </c>
      <c r="AG346" s="76">
        <f t="shared" si="504"/>
        <v>300</v>
      </c>
      <c r="AH346" s="76">
        <f t="shared" si="504"/>
        <v>300</v>
      </c>
      <c r="AI346" s="76">
        <f t="shared" si="504"/>
        <v>300</v>
      </c>
      <c r="AJ346" s="76">
        <f t="shared" si="504"/>
        <v>300</v>
      </c>
      <c r="AK346" s="76">
        <f t="shared" si="504"/>
        <v>300</v>
      </c>
      <c r="AL346" s="76">
        <f t="shared" si="504"/>
        <v>300</v>
      </c>
      <c r="AM346" s="76">
        <f t="shared" si="504"/>
        <v>300</v>
      </c>
      <c r="AN346" s="65"/>
    </row>
    <row r="347" spans="1:40" s="3" customFormat="1">
      <c r="A347" s="125"/>
      <c r="B347" s="36"/>
      <c r="C347"/>
      <c r="D347" s="168" t="s">
        <v>406</v>
      </c>
      <c r="E347"/>
      <c r="F347" s="17">
        <v>3.8600000000000002E-2</v>
      </c>
      <c r="G347"/>
      <c r="H347"/>
      <c r="I347" s="102"/>
      <c r="J347" s="102"/>
      <c r="K347" s="102"/>
      <c r="L347" s="81">
        <v>0</v>
      </c>
      <c r="M347" s="81">
        <v>0</v>
      </c>
      <c r="N347" s="81">
        <v>0</v>
      </c>
      <c r="O347" s="81">
        <v>0</v>
      </c>
      <c r="P347" s="81">
        <v>0</v>
      </c>
      <c r="Q347" s="81">
        <v>0</v>
      </c>
      <c r="R347" s="81">
        <v>0</v>
      </c>
      <c r="S347" s="81">
        <v>0</v>
      </c>
      <c r="T347" s="81">
        <v>0</v>
      </c>
      <c r="U347" s="81">
        <v>0</v>
      </c>
      <c r="V347" s="81">
        <v>0</v>
      </c>
      <c r="W347" s="81">
        <v>0</v>
      </c>
      <c r="X347" s="81">
        <v>100</v>
      </c>
      <c r="Y347" s="81">
        <v>100</v>
      </c>
      <c r="Z347" s="81">
        <v>100</v>
      </c>
      <c r="AA347" s="81">
        <v>100</v>
      </c>
      <c r="AB347" s="81">
        <v>100</v>
      </c>
      <c r="AC347" s="76">
        <f>+AB347</f>
        <v>100</v>
      </c>
      <c r="AD347" s="76">
        <f>+AC347</f>
        <v>100</v>
      </c>
      <c r="AE347" s="81">
        <v>0</v>
      </c>
      <c r="AF347" s="81">
        <v>0</v>
      </c>
      <c r="AG347" s="81">
        <v>0</v>
      </c>
      <c r="AH347" s="81">
        <v>0</v>
      </c>
      <c r="AI347" s="81">
        <v>0</v>
      </c>
      <c r="AJ347" s="81">
        <v>0</v>
      </c>
      <c r="AK347" s="81">
        <v>0</v>
      </c>
      <c r="AL347" s="81">
        <v>0</v>
      </c>
      <c r="AM347" s="81">
        <v>0</v>
      </c>
      <c r="AN347" s="65"/>
    </row>
    <row r="348" spans="1:40" s="3" customFormat="1">
      <c r="A348" s="125"/>
      <c r="B348" s="36"/>
      <c r="C348"/>
      <c r="D348" s="168" t="s">
        <v>407</v>
      </c>
      <c r="E348"/>
      <c r="F348" s="17">
        <v>4.1700000000000001E-2</v>
      </c>
      <c r="G348"/>
      <c r="H348"/>
      <c r="I348" s="102"/>
      <c r="J348" s="102"/>
      <c r="K348" s="102"/>
      <c r="L348" s="81">
        <v>0</v>
      </c>
      <c r="M348" s="81">
        <v>0</v>
      </c>
      <c r="N348" s="81">
        <v>0</v>
      </c>
      <c r="O348" s="81">
        <v>0</v>
      </c>
      <c r="P348" s="81">
        <v>0</v>
      </c>
      <c r="Q348" s="81">
        <v>0</v>
      </c>
      <c r="R348" s="81">
        <v>0</v>
      </c>
      <c r="S348" s="81">
        <v>0</v>
      </c>
      <c r="T348" s="81">
        <v>0</v>
      </c>
      <c r="U348" s="81">
        <v>0</v>
      </c>
      <c r="V348" s="81">
        <v>0</v>
      </c>
      <c r="W348" s="81">
        <v>0</v>
      </c>
      <c r="X348" s="81">
        <v>200</v>
      </c>
      <c r="Y348" s="81">
        <v>200</v>
      </c>
      <c r="Z348" s="81">
        <v>200</v>
      </c>
      <c r="AA348" s="81">
        <v>200</v>
      </c>
      <c r="AB348" s="81">
        <v>200</v>
      </c>
      <c r="AC348" s="76">
        <f>+AB348</f>
        <v>200</v>
      </c>
      <c r="AD348" s="76">
        <f>+AC348</f>
        <v>200</v>
      </c>
      <c r="AE348" s="76">
        <f t="shared" ref="AE348:AG349" si="505">+AD348</f>
        <v>200</v>
      </c>
      <c r="AF348" s="76">
        <f t="shared" si="505"/>
        <v>200</v>
      </c>
      <c r="AG348" s="76">
        <f t="shared" si="505"/>
        <v>200</v>
      </c>
      <c r="AH348" s="81">
        <v>0</v>
      </c>
      <c r="AI348" s="81">
        <v>0</v>
      </c>
      <c r="AJ348" s="81">
        <v>0</v>
      </c>
      <c r="AK348" s="81">
        <v>0</v>
      </c>
      <c r="AL348" s="81">
        <v>0</v>
      </c>
      <c r="AM348" s="81">
        <v>0</v>
      </c>
      <c r="AN348" s="65"/>
    </row>
    <row r="349" spans="1:40" s="3" customFormat="1">
      <c r="A349" s="125"/>
      <c r="B349" s="36"/>
      <c r="C349"/>
      <c r="D349" s="168" t="s">
        <v>408</v>
      </c>
      <c r="E349"/>
      <c r="F349" s="17">
        <v>4.2700000000000002E-2</v>
      </c>
      <c r="G349"/>
      <c r="H349"/>
      <c r="I349" s="102"/>
      <c r="J349" s="102"/>
      <c r="K349" s="102"/>
      <c r="L349" s="81">
        <v>0</v>
      </c>
      <c r="M349" s="81">
        <v>0</v>
      </c>
      <c r="N349" s="81">
        <v>0</v>
      </c>
      <c r="O349" s="81">
        <v>0</v>
      </c>
      <c r="P349" s="81">
        <v>0</v>
      </c>
      <c r="Q349" s="81">
        <v>0</v>
      </c>
      <c r="R349" s="81">
        <v>0</v>
      </c>
      <c r="S349" s="81">
        <v>0</v>
      </c>
      <c r="T349" s="81">
        <v>0</v>
      </c>
      <c r="U349" s="81">
        <v>0</v>
      </c>
      <c r="V349" s="81">
        <v>0</v>
      </c>
      <c r="W349" s="81">
        <v>0</v>
      </c>
      <c r="X349" s="81">
        <v>200</v>
      </c>
      <c r="Y349" s="81">
        <v>200</v>
      </c>
      <c r="Z349" s="81">
        <v>200</v>
      </c>
      <c r="AA349" s="81">
        <v>200</v>
      </c>
      <c r="AB349" s="81">
        <v>200</v>
      </c>
      <c r="AC349" s="76">
        <f>+AB349</f>
        <v>200</v>
      </c>
      <c r="AD349" s="76">
        <f>+AC349</f>
        <v>200</v>
      </c>
      <c r="AE349" s="76">
        <f t="shared" si="505"/>
        <v>200</v>
      </c>
      <c r="AF349" s="76">
        <f t="shared" si="505"/>
        <v>200</v>
      </c>
      <c r="AG349" s="76">
        <f t="shared" si="505"/>
        <v>200</v>
      </c>
      <c r="AH349" s="76">
        <f>+AG349</f>
        <v>200</v>
      </c>
      <c r="AI349" s="76">
        <f>+AH349</f>
        <v>200</v>
      </c>
      <c r="AJ349" s="81">
        <v>0</v>
      </c>
      <c r="AK349" s="81">
        <v>0</v>
      </c>
      <c r="AL349" s="81">
        <v>0</v>
      </c>
      <c r="AM349" s="81">
        <v>0</v>
      </c>
      <c r="AN349" s="65"/>
    </row>
    <row r="350" spans="1:40" s="3" customFormat="1">
      <c r="A350" s="125"/>
      <c r="B350" s="36"/>
      <c r="C350"/>
      <c r="D350" s="168" t="s">
        <v>409</v>
      </c>
      <c r="E350"/>
      <c r="F350" s="17">
        <v>4.7500000000000001E-2</v>
      </c>
      <c r="G350"/>
      <c r="H350"/>
      <c r="I350" s="102"/>
      <c r="J350" s="102"/>
      <c r="K350" s="102"/>
      <c r="L350" s="81">
        <v>0</v>
      </c>
      <c r="M350" s="81">
        <v>0</v>
      </c>
      <c r="N350" s="81">
        <v>0</v>
      </c>
      <c r="O350" s="81">
        <v>0</v>
      </c>
      <c r="P350" s="81">
        <v>0</v>
      </c>
      <c r="Q350" s="81">
        <v>0</v>
      </c>
      <c r="R350" s="81">
        <v>380.2</v>
      </c>
      <c r="S350" s="81">
        <v>367.7</v>
      </c>
      <c r="T350" s="81">
        <v>353.59100000000001</v>
      </c>
      <c r="U350" s="81">
        <v>334.38400000000001</v>
      </c>
      <c r="V350" s="81">
        <v>327.83800000000002</v>
      </c>
      <c r="W350" s="81">
        <v>416.654</v>
      </c>
      <c r="X350" s="81">
        <v>496.13600000000002</v>
      </c>
      <c r="Y350" s="81">
        <v>500.363</v>
      </c>
      <c r="Z350" s="81">
        <v>527.40599999999995</v>
      </c>
      <c r="AA350" s="81">
        <v>536.73900000000003</v>
      </c>
      <c r="AB350" s="81">
        <v>533.57799999999997</v>
      </c>
      <c r="AC350" s="273">
        <f ca="1">AC369</f>
        <v>572.78325828412073</v>
      </c>
      <c r="AD350" s="273">
        <f t="shared" ref="AD350:AM350" ca="1" si="506">AD369</f>
        <v>612.01153068752842</v>
      </c>
      <c r="AE350" s="273">
        <f t="shared" ca="1" si="506"/>
        <v>655.94924940459794</v>
      </c>
      <c r="AF350" s="273">
        <f t="shared" ca="1" si="506"/>
        <v>701.68004932479698</v>
      </c>
      <c r="AG350" s="273">
        <f t="shared" ca="1" si="506"/>
        <v>748.87341313946456</v>
      </c>
      <c r="AH350" s="273">
        <f t="shared" ca="1" si="506"/>
        <v>797.86003333847862</v>
      </c>
      <c r="AI350" s="273">
        <f t="shared" ca="1" si="506"/>
        <v>839.57070397558255</v>
      </c>
      <c r="AJ350" s="273">
        <f t="shared" ca="1" si="506"/>
        <v>877.11890403830694</v>
      </c>
      <c r="AK350" s="273">
        <f t="shared" ca="1" si="506"/>
        <v>915.12463643200988</v>
      </c>
      <c r="AL350" s="273">
        <f t="shared" ca="1" si="506"/>
        <v>953.62415697490587</v>
      </c>
      <c r="AM350" s="273">
        <f t="shared" ca="1" si="506"/>
        <v>996.91567430162172</v>
      </c>
      <c r="AN350" s="65"/>
    </row>
    <row r="351" spans="1:40" s="3" customFormat="1">
      <c r="A351" s="125"/>
      <c r="B351" s="36"/>
      <c r="C351"/>
      <c r="D351" s="168" t="s">
        <v>130</v>
      </c>
      <c r="E351"/>
      <c r="F351" s="17">
        <v>0.04</v>
      </c>
      <c r="G351"/>
      <c r="H351"/>
      <c r="I351" s="102"/>
      <c r="J351" s="102"/>
      <c r="K351" s="102"/>
      <c r="L351" s="76">
        <f t="shared" ref="L351:Y351" si="507">+SUM(L300,L292,L303)-SUM(L345:L350)</f>
        <v>28.749000000000024</v>
      </c>
      <c r="M351" s="76">
        <f t="shared" si="507"/>
        <v>35.748999999999995</v>
      </c>
      <c r="N351" s="76">
        <f t="shared" si="507"/>
        <v>34.787000000000006</v>
      </c>
      <c r="O351" s="76">
        <f t="shared" si="507"/>
        <v>27.631000000000029</v>
      </c>
      <c r="P351" s="76">
        <f t="shared" si="507"/>
        <v>28.547000000000025</v>
      </c>
      <c r="Q351" s="76">
        <f t="shared" si="507"/>
        <v>28.070999999999998</v>
      </c>
      <c r="R351" s="76">
        <f t="shared" si="507"/>
        <v>-11.680999999999983</v>
      </c>
      <c r="S351" s="76">
        <f t="shared" si="507"/>
        <v>-14.091000000000008</v>
      </c>
      <c r="T351" s="76">
        <f t="shared" si="507"/>
        <v>-16.13900000000001</v>
      </c>
      <c r="U351" s="76">
        <f t="shared" si="507"/>
        <v>-18.459000000000003</v>
      </c>
      <c r="V351" s="76">
        <f t="shared" si="507"/>
        <v>-21.554000000000087</v>
      </c>
      <c r="W351" s="76">
        <f t="shared" si="507"/>
        <v>-17.420999999999822</v>
      </c>
      <c r="X351" s="76">
        <f t="shared" si="507"/>
        <v>-11.929000000000087</v>
      </c>
      <c r="Y351" s="76">
        <f t="shared" si="507"/>
        <v>-12.0150000000001</v>
      </c>
      <c r="Z351" s="76">
        <f>+SUM(Z300,Z292,Z302)-SUM(Z345:Z350)</f>
        <v>-33.384999999999991</v>
      </c>
      <c r="AA351" s="76">
        <f>+SUM(AA300,AA292,AA302)-SUM(AA345:AA350)</f>
        <v>-1.5160000000000764</v>
      </c>
      <c r="AB351" s="76">
        <f>+SUM(AB300,AB292,AB302)-SUM(AB345:AB350)</f>
        <v>-1.2360000000001037</v>
      </c>
      <c r="AC351" s="81">
        <v>0</v>
      </c>
      <c r="AD351" s="81">
        <v>0</v>
      </c>
      <c r="AE351" s="81">
        <v>0</v>
      </c>
      <c r="AF351" s="81">
        <v>0</v>
      </c>
      <c r="AG351" s="81">
        <v>0</v>
      </c>
      <c r="AH351" s="81">
        <v>0</v>
      </c>
      <c r="AI351" s="81">
        <v>0</v>
      </c>
      <c r="AJ351" s="81">
        <v>0</v>
      </c>
      <c r="AK351" s="81">
        <v>0</v>
      </c>
      <c r="AL351" s="81">
        <v>0</v>
      </c>
      <c r="AM351" s="81">
        <v>0</v>
      </c>
      <c r="AN351" s="65"/>
    </row>
    <row r="352" spans="1:40" s="3" customFormat="1">
      <c r="A352" s="125"/>
      <c r="B352" s="36"/>
      <c r="C352"/>
      <c r="D352" s="168" t="s">
        <v>410</v>
      </c>
      <c r="E352"/>
      <c r="F352" s="203">
        <f>+DCF!C29</f>
        <v>0.04</v>
      </c>
      <c r="G352"/>
      <c r="H352"/>
      <c r="I352" s="102"/>
      <c r="J352" s="102"/>
      <c r="K352" s="102"/>
      <c r="L352" s="81">
        <v>0</v>
      </c>
      <c r="M352" s="81">
        <v>0</v>
      </c>
      <c r="N352" s="81">
        <v>0</v>
      </c>
      <c r="O352" s="81">
        <v>0</v>
      </c>
      <c r="P352" s="81">
        <v>0</v>
      </c>
      <c r="Q352" s="81">
        <v>0</v>
      </c>
      <c r="R352" s="81">
        <v>0</v>
      </c>
      <c r="S352" s="81">
        <v>0</v>
      </c>
      <c r="T352" s="81">
        <v>0</v>
      </c>
      <c r="U352" s="81">
        <v>0</v>
      </c>
      <c r="V352" s="81">
        <v>0</v>
      </c>
      <c r="W352" s="81">
        <v>0</v>
      </c>
      <c r="X352" s="81">
        <v>0</v>
      </c>
      <c r="Y352" s="81">
        <v>0</v>
      </c>
      <c r="Z352" s="81">
        <v>0</v>
      </c>
      <c r="AA352" s="81">
        <v>0</v>
      </c>
      <c r="AB352" s="81">
        <v>0</v>
      </c>
      <c r="AC352" s="92">
        <f ca="1">+AC353-SUM(AC345:AC351)</f>
        <v>324.49275584364591</v>
      </c>
      <c r="AD352" s="92">
        <f t="shared" ref="AD352:AM352" ca="1" si="508">+AD353-SUM(AD345:AD351)</f>
        <v>567.72339323746041</v>
      </c>
      <c r="AE352" s="92">
        <f t="shared" ca="1" si="508"/>
        <v>882.78264048347637</v>
      </c>
      <c r="AF352" s="92">
        <f t="shared" ca="1" si="508"/>
        <v>1161.0919761665941</v>
      </c>
      <c r="AG352" s="92">
        <f t="shared" ca="1" si="508"/>
        <v>1473.3158228135003</v>
      </c>
      <c r="AH352" s="92">
        <f t="shared" ca="1" si="508"/>
        <v>2002.4708741550091</v>
      </c>
      <c r="AI352" s="92">
        <f t="shared" ca="1" si="508"/>
        <v>2365.9032576318136</v>
      </c>
      <c r="AJ352" s="92">
        <f t="shared" ca="1" si="508"/>
        <v>3002.5674543244359</v>
      </c>
      <c r="AK352" s="92">
        <f t="shared" ca="1" si="508"/>
        <v>3488.1550970657267</v>
      </c>
      <c r="AL352" s="92">
        <f t="shared" ca="1" si="508"/>
        <v>4013.5848084194436</v>
      </c>
      <c r="AM352" s="92">
        <f t="shared" ca="1" si="508"/>
        <v>4435.2848562845975</v>
      </c>
      <c r="AN352" s="65"/>
    </row>
    <row r="353" spans="1:40" s="3" customFormat="1">
      <c r="A353" s="125"/>
      <c r="B353" s="36"/>
      <c r="C353"/>
      <c r="D353" s="170" t="s">
        <v>177</v>
      </c>
      <c r="E353" s="2"/>
      <c r="F353" s="2"/>
      <c r="G353" s="2"/>
      <c r="H353" s="2"/>
      <c r="I353" s="2"/>
      <c r="J353" s="2"/>
      <c r="K353" s="2"/>
      <c r="L353" s="106">
        <f t="shared" ref="L353:X353" si="509">SUM(L345:L352)</f>
        <v>193.94600000000003</v>
      </c>
      <c r="M353" s="106">
        <f t="shared" si="509"/>
        <v>195.012</v>
      </c>
      <c r="N353" s="106">
        <f t="shared" si="509"/>
        <v>185.477</v>
      </c>
      <c r="O353" s="106">
        <f t="shared" si="509"/>
        <v>327.83100000000002</v>
      </c>
      <c r="P353" s="106">
        <f t="shared" si="509"/>
        <v>337.04700000000003</v>
      </c>
      <c r="Q353" s="106">
        <f t="shared" si="509"/>
        <v>150.571</v>
      </c>
      <c r="R353" s="106">
        <f t="shared" si="509"/>
        <v>368.61900000000003</v>
      </c>
      <c r="S353" s="106">
        <f t="shared" si="509"/>
        <v>354.50899999999996</v>
      </c>
      <c r="T353" s="106">
        <f t="shared" si="509"/>
        <v>337.80700000000002</v>
      </c>
      <c r="U353" s="106">
        <f t="shared" si="509"/>
        <v>316.50700000000001</v>
      </c>
      <c r="V353" s="106">
        <f t="shared" si="509"/>
        <v>617.06899999999996</v>
      </c>
      <c r="W353" s="106">
        <f t="shared" si="509"/>
        <v>1114.6610000000001</v>
      </c>
      <c r="X353" s="106">
        <f t="shared" si="509"/>
        <v>1439.269</v>
      </c>
      <c r="Y353" s="106">
        <f>SUM(Y345:Y352)</f>
        <v>1485.9749999999999</v>
      </c>
      <c r="Z353" s="8">
        <f>SUM(Z345:Z352)</f>
        <v>1660.55</v>
      </c>
      <c r="AA353" s="8">
        <f>SUM(AA345:AA352)</f>
        <v>1787.963</v>
      </c>
      <c r="AB353" s="8">
        <f>SUM(AB345:AB352)</f>
        <v>1332.3419999999999</v>
      </c>
      <c r="AC353" s="106">
        <f t="shared" ref="AC353:AM353" ca="1" si="510">+AC338</f>
        <v>1697.2760141277665</v>
      </c>
      <c r="AD353" s="106">
        <f t="shared" ca="1" si="510"/>
        <v>1979.7349239249888</v>
      </c>
      <c r="AE353" s="106">
        <f t="shared" ca="1" si="510"/>
        <v>2238.7318898880744</v>
      </c>
      <c r="AF353" s="106">
        <f t="shared" ca="1" si="510"/>
        <v>2562.7720255237168</v>
      </c>
      <c r="AG353" s="106">
        <f t="shared" ca="1" si="510"/>
        <v>2922.1892360329543</v>
      </c>
      <c r="AH353" s="106">
        <f t="shared" ca="1" si="510"/>
        <v>3300.3309076083683</v>
      </c>
      <c r="AI353" s="106">
        <f t="shared" ca="1" si="510"/>
        <v>3705.4739617384134</v>
      </c>
      <c r="AJ353" s="106">
        <f t="shared" ca="1" si="510"/>
        <v>4179.6863584903203</v>
      </c>
      <c r="AK353" s="106">
        <f t="shared" ca="1" si="510"/>
        <v>4703.2797336033582</v>
      </c>
      <c r="AL353" s="106">
        <f t="shared" ca="1" si="510"/>
        <v>5267.2089654650435</v>
      </c>
      <c r="AM353" s="106">
        <f t="shared" ca="1" si="510"/>
        <v>5732.2005306447909</v>
      </c>
      <c r="AN353" s="65"/>
    </row>
    <row r="354" spans="1:40" s="101" customFormat="1">
      <c r="A354" s="127"/>
      <c r="B354" s="162"/>
      <c r="C354" s="64"/>
      <c r="D354" s="171" t="s">
        <v>120</v>
      </c>
      <c r="E354" s="99"/>
      <c r="F354" s="99"/>
      <c r="G354" s="99"/>
      <c r="H354" s="99"/>
      <c r="I354" s="107"/>
      <c r="J354" s="107"/>
      <c r="K354" s="107"/>
      <c r="L354" s="268" t="b">
        <f t="shared" ref="L354:Y354" si="511">ABS(L353-SUM(L300,L292,L303))&lt;1</f>
        <v>1</v>
      </c>
      <c r="M354" s="268" t="b">
        <f t="shared" si="511"/>
        <v>1</v>
      </c>
      <c r="N354" s="268" t="b">
        <f t="shared" si="511"/>
        <v>1</v>
      </c>
      <c r="O354" s="268" t="b">
        <f t="shared" si="511"/>
        <v>1</v>
      </c>
      <c r="P354" s="268" t="b">
        <f t="shared" si="511"/>
        <v>1</v>
      </c>
      <c r="Q354" s="268" t="b">
        <f t="shared" si="511"/>
        <v>1</v>
      </c>
      <c r="R354" s="268" t="b">
        <f t="shared" si="511"/>
        <v>1</v>
      </c>
      <c r="S354" s="268" t="b">
        <f t="shared" si="511"/>
        <v>1</v>
      </c>
      <c r="T354" s="268" t="b">
        <f t="shared" si="511"/>
        <v>1</v>
      </c>
      <c r="U354" s="268" t="b">
        <f t="shared" si="511"/>
        <v>1</v>
      </c>
      <c r="V354" s="268" t="b">
        <f t="shared" si="511"/>
        <v>1</v>
      </c>
      <c r="W354" s="268" t="b">
        <f t="shared" si="511"/>
        <v>1</v>
      </c>
      <c r="X354" s="268" t="b">
        <f t="shared" si="511"/>
        <v>1</v>
      </c>
      <c r="Y354" s="268" t="b">
        <f t="shared" si="511"/>
        <v>1</v>
      </c>
      <c r="Z354" s="107" t="b">
        <f t="shared" ref="Z354:AM354" si="512">ABS(Z353-SUM(Z300,Z292,Z302))&lt;1</f>
        <v>1</v>
      </c>
      <c r="AA354" s="107" t="b">
        <f t="shared" si="512"/>
        <v>1</v>
      </c>
      <c r="AB354" s="107" t="b">
        <f t="shared" si="512"/>
        <v>1</v>
      </c>
      <c r="AC354" s="107" t="b">
        <f t="shared" ca="1" si="512"/>
        <v>1</v>
      </c>
      <c r="AD354" s="107" t="b">
        <f t="shared" ca="1" si="512"/>
        <v>1</v>
      </c>
      <c r="AE354" s="107" t="b">
        <f t="shared" ca="1" si="512"/>
        <v>1</v>
      </c>
      <c r="AF354" s="107" t="b">
        <f t="shared" ca="1" si="512"/>
        <v>1</v>
      </c>
      <c r="AG354" s="107" t="b">
        <f t="shared" ca="1" si="512"/>
        <v>1</v>
      </c>
      <c r="AH354" s="107" t="b">
        <f t="shared" ca="1" si="512"/>
        <v>1</v>
      </c>
      <c r="AI354" s="107" t="b">
        <f t="shared" ca="1" si="512"/>
        <v>1</v>
      </c>
      <c r="AJ354" s="107" t="b">
        <f t="shared" ca="1" si="512"/>
        <v>1</v>
      </c>
      <c r="AK354" s="107" t="b">
        <f t="shared" ca="1" si="512"/>
        <v>1</v>
      </c>
      <c r="AL354" s="107" t="b">
        <f t="shared" ca="1" si="512"/>
        <v>1</v>
      </c>
      <c r="AM354" s="107" t="b">
        <f t="shared" ca="1" si="512"/>
        <v>1</v>
      </c>
      <c r="AN354" s="100"/>
    </row>
    <row r="355" spans="1:40" s="3" customFormat="1">
      <c r="A355" s="125"/>
      <c r="B355" s="36"/>
      <c r="C355"/>
      <c r="D355" s="168" t="s">
        <v>464</v>
      </c>
      <c r="E355"/>
      <c r="F355"/>
      <c r="G355"/>
      <c r="H355"/>
      <c r="I355" s="7"/>
      <c r="J355" s="7"/>
      <c r="K355" s="7"/>
      <c r="L355" s="7">
        <f t="shared" ref="L355:Z355" si="513">AVERAGE(K353:L353)</f>
        <v>193.94600000000003</v>
      </c>
      <c r="M355" s="7">
        <f t="shared" si="513"/>
        <v>194.47900000000001</v>
      </c>
      <c r="N355" s="7">
        <f t="shared" si="513"/>
        <v>190.24450000000002</v>
      </c>
      <c r="O355" s="7">
        <f t="shared" si="513"/>
        <v>256.654</v>
      </c>
      <c r="P355" s="7">
        <f t="shared" si="513"/>
        <v>332.43900000000002</v>
      </c>
      <c r="Q355" s="7">
        <f t="shared" si="513"/>
        <v>243.80900000000003</v>
      </c>
      <c r="R355" s="7">
        <f t="shared" si="513"/>
        <v>259.59500000000003</v>
      </c>
      <c r="S355" s="7">
        <f t="shared" si="513"/>
        <v>361.56399999999996</v>
      </c>
      <c r="T355" s="7">
        <f t="shared" si="513"/>
        <v>346.15800000000002</v>
      </c>
      <c r="U355" s="7">
        <f t="shared" si="513"/>
        <v>327.15700000000004</v>
      </c>
      <c r="V355" s="7">
        <f t="shared" si="513"/>
        <v>466.78800000000001</v>
      </c>
      <c r="W355" s="7">
        <f t="shared" si="513"/>
        <v>865.86500000000001</v>
      </c>
      <c r="X355" s="7">
        <f t="shared" si="513"/>
        <v>1276.9650000000001</v>
      </c>
      <c r="Y355" s="7">
        <f t="shared" si="513"/>
        <v>1462.6219999999998</v>
      </c>
      <c r="Z355" s="7">
        <f t="shared" si="513"/>
        <v>1573.2624999999998</v>
      </c>
      <c r="AA355" s="276">
        <f t="shared" ref="AA355:AM355" si="514">AVERAGE(Z353:AA353)+AVERAGE(Z371:AA371)</f>
        <v>1782.3429999999998</v>
      </c>
      <c r="AB355" s="276">
        <f t="shared" si="514"/>
        <v>1667.107</v>
      </c>
      <c r="AC355" s="276">
        <f t="shared" ca="1" si="514"/>
        <v>1642.5701197961121</v>
      </c>
      <c r="AD355" s="276">
        <f t="shared" ca="1" si="514"/>
        <v>1962.1176037397786</v>
      </c>
      <c r="AE355" s="276">
        <f t="shared" ca="1" si="514"/>
        <v>2227.8659494539588</v>
      </c>
      <c r="AF355" s="276">
        <f t="shared" ca="1" si="514"/>
        <v>2513.6812998470341</v>
      </c>
      <c r="AG355" s="276">
        <f t="shared" ca="1" si="514"/>
        <v>2848.6011356509343</v>
      </c>
      <c r="AH355" s="276">
        <f t="shared" ca="1" si="514"/>
        <v>3209.4363861747638</v>
      </c>
      <c r="AI355" s="276">
        <f t="shared" ca="1" si="514"/>
        <v>3596.506882617311</v>
      </c>
      <c r="AJ355" s="276">
        <f t="shared" ca="1" si="514"/>
        <v>4037.9518050040274</v>
      </c>
      <c r="AK355" s="276">
        <f t="shared" ca="1" si="514"/>
        <v>4541.052131628524</v>
      </c>
      <c r="AL355" s="276">
        <f t="shared" ca="1" si="514"/>
        <v>5089.0637269456965</v>
      </c>
      <c r="AM355" s="276">
        <f t="shared" ca="1" si="514"/>
        <v>5608.0680720147247</v>
      </c>
      <c r="AN355" s="65"/>
    </row>
    <row r="356" spans="1:40" s="3" customFormat="1">
      <c r="A356" s="125"/>
      <c r="B356" s="36"/>
      <c r="C356"/>
      <c r="D356" s="168" t="s">
        <v>446</v>
      </c>
      <c r="E356"/>
      <c r="F356"/>
      <c r="G356"/>
      <c r="H356"/>
      <c r="I356" s="7"/>
      <c r="J356" s="7"/>
      <c r="K356" s="7"/>
      <c r="L356" s="7"/>
      <c r="M356" s="7"/>
      <c r="N356" s="7"/>
      <c r="O356" s="7"/>
      <c r="P356" s="7"/>
      <c r="Q356" s="7"/>
      <c r="R356" s="108"/>
      <c r="S356" s="108">
        <f t="shared" ref="S356:AM356" si="515">IFERROR((AVERAGE(SUMPRODUCT(S345:S349,$F$345:$F$349),SUMPRODUCT(R345:R349,$F$345:$F$349))+AVERAGE(SUMPRODUCT(S351:S352,$F$351:$F$352),SUMPRODUCT(R351:R352,$F$351:$F$352))+S376)/S355,0)</f>
        <v>5.3445686652816793E-2</v>
      </c>
      <c r="T356" s="108">
        <f t="shared" si="515"/>
        <v>5.3384535460515935E-2</v>
      </c>
      <c r="U356" s="108">
        <f t="shared" si="515"/>
        <v>5.3034119446922254E-2</v>
      </c>
      <c r="V356" s="108">
        <f t="shared" si="515"/>
        <v>4.9482733214060409E-2</v>
      </c>
      <c r="W356" s="108">
        <f t="shared" si="515"/>
        <v>4.8740757809367159E-2</v>
      </c>
      <c r="X356" s="108">
        <f t="shared" si="515"/>
        <v>4.6935611016542762E-2</v>
      </c>
      <c r="Y356" s="108">
        <f t="shared" si="515"/>
        <v>4.5319346318954054E-2</v>
      </c>
      <c r="Z356" s="108">
        <f t="shared" si="515"/>
        <v>4.547425713872319E-2</v>
      </c>
      <c r="AA356" s="108">
        <f t="shared" si="515"/>
        <v>4.5782693061885392E-2</v>
      </c>
      <c r="AB356" s="108">
        <f t="shared" si="515"/>
        <v>4.667289802034303E-2</v>
      </c>
      <c r="AC356" s="108">
        <f t="shared" ca="1" si="515"/>
        <v>4.6583675928163398E-2</v>
      </c>
      <c r="AD356" s="108">
        <f t="shared" ca="1" si="515"/>
        <v>4.5360093953541535E-2</v>
      </c>
      <c r="AE356" s="108">
        <f t="shared" ca="1" si="515"/>
        <v>4.4660146557545834E-2</v>
      </c>
      <c r="AF356" s="108">
        <f t="shared" ca="1" si="515"/>
        <v>4.4020124348967862E-2</v>
      </c>
      <c r="AG356" s="108">
        <f t="shared" ca="1" si="515"/>
        <v>4.3396107607247839E-2</v>
      </c>
      <c r="AH356" s="108">
        <f t="shared" ca="1" si="515"/>
        <v>4.2806122941015615E-2</v>
      </c>
      <c r="AI356" s="108">
        <f t="shared" ca="1" si="515"/>
        <v>4.2323889164398713E-2</v>
      </c>
      <c r="AJ356" s="108">
        <f t="shared" ca="1" si="515"/>
        <v>4.2083662472285815E-2</v>
      </c>
      <c r="AK356" s="108">
        <f t="shared" ca="1" si="515"/>
        <v>4.1865340942519161E-2</v>
      </c>
      <c r="AL356" s="108">
        <f t="shared" ca="1" si="515"/>
        <v>4.1729672361069205E-2</v>
      </c>
      <c r="AM356" s="108">
        <f t="shared" ca="1" si="515"/>
        <v>4.1652915802007404E-2</v>
      </c>
      <c r="AN356" s="65"/>
    </row>
    <row r="357" spans="1:40" s="3" customFormat="1">
      <c r="A357" s="125"/>
      <c r="B357" s="36"/>
      <c r="C357"/>
      <c r="D357" s="168" t="s">
        <v>178</v>
      </c>
      <c r="E357"/>
      <c r="F357"/>
      <c r="G357"/>
      <c r="H35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108">
        <f t="shared" ref="S357:AB357" si="516">S359/S355</f>
        <v>9.3244902700490101E-2</v>
      </c>
      <c r="T357" s="108">
        <f t="shared" si="516"/>
        <v>9.3474656081904792E-2</v>
      </c>
      <c r="U357" s="108">
        <f t="shared" si="516"/>
        <v>9.4248327255721243E-2</v>
      </c>
      <c r="V357" s="108">
        <f t="shared" si="516"/>
        <v>5.2428511444167374E-2</v>
      </c>
      <c r="W357" s="108">
        <f t="shared" si="516"/>
        <v>4.1990379562633892E-2</v>
      </c>
      <c r="X357" s="108">
        <f t="shared" si="516"/>
        <v>4.4179754339390656E-2</v>
      </c>
      <c r="Y357" s="108">
        <f t="shared" si="516"/>
        <v>4.8368614720686556E-2</v>
      </c>
      <c r="Z357" s="108">
        <f t="shared" si="516"/>
        <v>4.8175050253851479E-2</v>
      </c>
      <c r="AA357" s="108">
        <f t="shared" si="516"/>
        <v>4.6571843915565084E-2</v>
      </c>
      <c r="AB357" s="108">
        <f t="shared" si="516"/>
        <v>5.1693142671706133E-2</v>
      </c>
      <c r="AC357" s="203">
        <f ca="1">AC356+AC358</f>
        <v>5.1583675928163396E-2</v>
      </c>
      <c r="AD357" s="203">
        <f t="shared" ref="AD357:AM357" ca="1" si="517">AD356+AD358</f>
        <v>5.0360093953541532E-2</v>
      </c>
      <c r="AE357" s="203">
        <f t="shared" ca="1" si="517"/>
        <v>4.9660146557545831E-2</v>
      </c>
      <c r="AF357" s="203">
        <f t="shared" ca="1" si="517"/>
        <v>4.902012434896786E-2</v>
      </c>
      <c r="AG357" s="203">
        <f t="shared" ca="1" si="517"/>
        <v>4.8396107607247836E-2</v>
      </c>
      <c r="AH357" s="203">
        <f t="shared" ca="1" si="517"/>
        <v>4.7806122941015612E-2</v>
      </c>
      <c r="AI357" s="203">
        <f t="shared" ca="1" si="517"/>
        <v>4.7323889164398711E-2</v>
      </c>
      <c r="AJ357" s="203">
        <f t="shared" ca="1" si="517"/>
        <v>4.7083662472285813E-2</v>
      </c>
      <c r="AK357" s="203">
        <f t="shared" ca="1" si="517"/>
        <v>4.6865340942519158E-2</v>
      </c>
      <c r="AL357" s="203">
        <f t="shared" ca="1" si="517"/>
        <v>4.6729672361069202E-2</v>
      </c>
      <c r="AM357" s="203">
        <f t="shared" ca="1" si="517"/>
        <v>4.6652915802007401E-2</v>
      </c>
      <c r="AN357" s="65"/>
    </row>
    <row r="358" spans="1:40" s="3" customFormat="1">
      <c r="A358" s="125"/>
      <c r="B358" s="36"/>
      <c r="C358"/>
      <c r="D358" s="168" t="s">
        <v>447</v>
      </c>
      <c r="E358"/>
      <c r="F358"/>
      <c r="G358"/>
      <c r="H358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108">
        <f t="shared" ref="S358:AA358" si="518">S357-S356</f>
        <v>3.9799216047673308E-2</v>
      </c>
      <c r="T358" s="108">
        <f t="shared" si="518"/>
        <v>4.0090120621388857E-2</v>
      </c>
      <c r="U358" s="108">
        <f t="shared" si="518"/>
        <v>4.1214207808798989E-2</v>
      </c>
      <c r="V358" s="108">
        <f t="shared" si="518"/>
        <v>2.9457782301069643E-3</v>
      </c>
      <c r="W358" s="108">
        <f t="shared" si="518"/>
        <v>-6.7503782467332671E-3</v>
      </c>
      <c r="X358" s="108">
        <f t="shared" si="518"/>
        <v>-2.7558566771521062E-3</v>
      </c>
      <c r="Y358" s="108">
        <f t="shared" si="518"/>
        <v>3.0492684017325022E-3</v>
      </c>
      <c r="Z358" s="108">
        <f t="shared" si="518"/>
        <v>2.7007931151282888E-3</v>
      </c>
      <c r="AA358" s="108">
        <f t="shared" si="518"/>
        <v>7.8915085367969179E-4</v>
      </c>
      <c r="AB358" s="108">
        <f>AB357-AB356</f>
        <v>5.0202446513631024E-3</v>
      </c>
      <c r="AC358" s="17">
        <v>5.0000000000000001E-3</v>
      </c>
      <c r="AD358" s="17">
        <f>AC358</f>
        <v>5.0000000000000001E-3</v>
      </c>
      <c r="AE358" s="17">
        <f t="shared" ref="AE358:AM358" si="519">AD358</f>
        <v>5.0000000000000001E-3</v>
      </c>
      <c r="AF358" s="17">
        <f t="shared" si="519"/>
        <v>5.0000000000000001E-3</v>
      </c>
      <c r="AG358" s="17">
        <f t="shared" si="519"/>
        <v>5.0000000000000001E-3</v>
      </c>
      <c r="AH358" s="17">
        <f t="shared" si="519"/>
        <v>5.0000000000000001E-3</v>
      </c>
      <c r="AI358" s="17">
        <f t="shared" si="519"/>
        <v>5.0000000000000001E-3</v>
      </c>
      <c r="AJ358" s="17">
        <f t="shared" si="519"/>
        <v>5.0000000000000001E-3</v>
      </c>
      <c r="AK358" s="17">
        <f t="shared" si="519"/>
        <v>5.0000000000000001E-3</v>
      </c>
      <c r="AL358" s="17">
        <f t="shared" si="519"/>
        <v>5.0000000000000001E-3</v>
      </c>
      <c r="AM358" s="17">
        <f t="shared" si="519"/>
        <v>5.0000000000000001E-3</v>
      </c>
      <c r="AN358" s="65"/>
    </row>
    <row r="359" spans="1:40" s="3" customFormat="1">
      <c r="A359" s="125"/>
      <c r="B359" s="36"/>
      <c r="C359"/>
      <c r="D359" s="168" t="s">
        <v>109</v>
      </c>
      <c r="E359"/>
      <c r="F359"/>
      <c r="G359"/>
      <c r="H359"/>
      <c r="I359" s="7"/>
      <c r="J359" s="7"/>
      <c r="K359" s="7"/>
      <c r="L359" s="76">
        <f t="shared" ref="L359:AB359" si="520">-L16</f>
        <v>2.806</v>
      </c>
      <c r="M359" s="76">
        <f t="shared" si="520"/>
        <v>4.093</v>
      </c>
      <c r="N359" s="76">
        <f t="shared" si="520"/>
        <v>5.3730000000000002</v>
      </c>
      <c r="O359" s="76">
        <f t="shared" si="520"/>
        <v>4.9550000000000001</v>
      </c>
      <c r="P359" s="76">
        <f t="shared" si="520"/>
        <v>6.0860000000000003</v>
      </c>
      <c r="Q359" s="76">
        <f t="shared" si="520"/>
        <v>35.994</v>
      </c>
      <c r="R359" s="76">
        <f t="shared" si="520"/>
        <v>34.68</v>
      </c>
      <c r="S359" s="76">
        <f t="shared" si="520"/>
        <v>33.713999999999999</v>
      </c>
      <c r="T359" s="76">
        <f t="shared" si="520"/>
        <v>32.356999999999999</v>
      </c>
      <c r="U359" s="76">
        <f t="shared" si="520"/>
        <v>30.834</v>
      </c>
      <c r="V359" s="76">
        <f t="shared" si="520"/>
        <v>24.472999999999999</v>
      </c>
      <c r="W359" s="76">
        <f t="shared" si="520"/>
        <v>36.357999999999997</v>
      </c>
      <c r="X359" s="76">
        <f t="shared" si="520"/>
        <v>56.415999999999997</v>
      </c>
      <c r="Y359" s="76">
        <f t="shared" si="520"/>
        <v>70.745000000000005</v>
      </c>
      <c r="Z359" s="76">
        <f t="shared" si="520"/>
        <v>75.792000000000002</v>
      </c>
      <c r="AA359" s="76">
        <f t="shared" si="520"/>
        <v>83.007000000000005</v>
      </c>
      <c r="AB359" s="76">
        <f t="shared" si="520"/>
        <v>86.177999999999997</v>
      </c>
      <c r="AC359" s="70">
        <f t="shared" ref="AC359:AM359" ca="1" si="521">AC357*AC355</f>
        <v>84.729804748847172</v>
      </c>
      <c r="AD359" s="70">
        <f t="shared" ca="1" si="521"/>
        <v>98.812426872233019</v>
      </c>
      <c r="AE359" s="70">
        <f t="shared" ca="1" si="521"/>
        <v>110.63614956044958</v>
      </c>
      <c r="AF359" s="70">
        <f t="shared" ca="1" si="521"/>
        <v>123.22096989217678</v>
      </c>
      <c r="AG359" s="70">
        <f t="shared" ca="1" si="521"/>
        <v>137.86120709109102</v>
      </c>
      <c r="AH359" s="70">
        <f t="shared" ca="1" si="521"/>
        <v>153.43071044883962</v>
      </c>
      <c r="AI359" s="70">
        <f t="shared" ca="1" si="521"/>
        <v>170.20069309197876</v>
      </c>
      <c r="AJ359" s="70">
        <f t="shared" ca="1" si="521"/>
        <v>190.12155986616688</v>
      </c>
      <c r="AK359" s="70">
        <f t="shared" ca="1" si="521"/>
        <v>212.81795638652417</v>
      </c>
      <c r="AL359" s="70">
        <f t="shared" ca="1" si="521"/>
        <v>237.81028058477415</v>
      </c>
      <c r="AM359" s="70">
        <f t="shared" ca="1" si="521"/>
        <v>261.63272757562891</v>
      </c>
      <c r="AN359" s="65"/>
    </row>
    <row r="360" spans="1:40" s="3" customFormat="1">
      <c r="A360" s="125"/>
      <c r="B360" s="36"/>
      <c r="C360"/>
      <c r="D360" s="168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65"/>
    </row>
    <row r="361" spans="1:40" s="3" customFormat="1">
      <c r="A361" s="125"/>
      <c r="B361" s="36"/>
      <c r="C361"/>
      <c r="D361" s="270" t="s">
        <v>457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 s="7"/>
      <c r="S361" s="7">
        <f>R364</f>
        <v>380.2</v>
      </c>
      <c r="T361" s="7">
        <f t="shared" ref="T361:AM361" si="522">S364</f>
        <v>367.7</v>
      </c>
      <c r="U361" s="7">
        <f t="shared" si="522"/>
        <v>353.59100000000001</v>
      </c>
      <c r="V361" s="7">
        <f t="shared" si="522"/>
        <v>334.38400000000001</v>
      </c>
      <c r="W361" s="7">
        <f t="shared" si="522"/>
        <v>327.83800000000002</v>
      </c>
      <c r="X361" s="7">
        <f t="shared" si="522"/>
        <v>416.654</v>
      </c>
      <c r="Y361" s="7">
        <f t="shared" si="522"/>
        <v>496.13600000000002</v>
      </c>
      <c r="Z361" s="7">
        <f t="shared" si="522"/>
        <v>500.363</v>
      </c>
      <c r="AA361" s="7">
        <f t="shared" si="522"/>
        <v>527.40599999999995</v>
      </c>
      <c r="AB361" s="7">
        <f t="shared" si="522"/>
        <v>621.13200000000006</v>
      </c>
      <c r="AC361" s="7">
        <f t="shared" si="522"/>
        <v>663.09399999999994</v>
      </c>
      <c r="AD361" s="7">
        <f t="shared" ca="1" si="522"/>
        <v>698.7894837485785</v>
      </c>
      <c r="AE361" s="7">
        <f t="shared" ca="1" si="522"/>
        <v>733.22957464987223</v>
      </c>
      <c r="AF361" s="7">
        <f t="shared" ca="1" si="522"/>
        <v>771.99629053710771</v>
      </c>
      <c r="AG361" s="7">
        <f t="shared" ca="1" si="522"/>
        <v>811.4916924745645</v>
      </c>
      <c r="AH361" s="7">
        <f t="shared" ca="1" si="522"/>
        <v>851.30277973489422</v>
      </c>
      <c r="AI361" s="7">
        <f t="shared" ca="1" si="522"/>
        <v>891.78329545125416</v>
      </c>
      <c r="AJ361" s="7">
        <f t="shared" ca="1" si="522"/>
        <v>932.8563377506473</v>
      </c>
      <c r="AK361" s="7">
        <f t="shared" ca="1" si="522"/>
        <v>974.57656004256319</v>
      </c>
      <c r="AL361" s="7">
        <f t="shared" ca="1" si="522"/>
        <v>1016.805151591122</v>
      </c>
      <c r="AM361" s="7">
        <f t="shared" ca="1" si="522"/>
        <v>1059.5823966387843</v>
      </c>
      <c r="AN361" s="65"/>
    </row>
    <row r="362" spans="1:40" s="3" customFormat="1">
      <c r="A362" s="125"/>
      <c r="B362" s="36"/>
      <c r="C362"/>
      <c r="D362" s="168" t="s">
        <v>455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 s="7"/>
      <c r="S362" s="7">
        <f>-S361/S367</f>
        <v>-17.500180505415162</v>
      </c>
      <c r="T362" s="7">
        <f t="shared" ref="T362:AM362" si="523">-T361/T367</f>
        <v>-16.924819494584835</v>
      </c>
      <c r="U362" s="7">
        <f t="shared" si="523"/>
        <v>-16.275398014440434</v>
      </c>
      <c r="V362" s="7">
        <f t="shared" si="523"/>
        <v>-15.391321299638989</v>
      </c>
      <c r="W362" s="7">
        <f t="shared" si="523"/>
        <v>-15.090016245487364</v>
      </c>
      <c r="X362" s="7">
        <f t="shared" si="523"/>
        <v>-19.178117328519853</v>
      </c>
      <c r="Y362" s="7">
        <f t="shared" si="523"/>
        <v>-22.836584837545125</v>
      </c>
      <c r="Z362" s="7">
        <f t="shared" si="523"/>
        <v>-23.031148916967506</v>
      </c>
      <c r="AA362" s="7">
        <f t="shared" si="523"/>
        <v>-26.365709179727258</v>
      </c>
      <c r="AB362" s="7">
        <f t="shared" si="523"/>
        <v>-33.11555320932198</v>
      </c>
      <c r="AC362" s="7">
        <f t="shared" si="523"/>
        <v>-36.320973984732802</v>
      </c>
      <c r="AD362" s="7">
        <f t="shared" ca="1" si="523"/>
        <v>-39.354001843809556</v>
      </c>
      <c r="AE362" s="7">
        <f t="shared" ca="1" si="523"/>
        <v>-42.490042168863219</v>
      </c>
      <c r="AF362" s="7">
        <f t="shared" ca="1" si="523"/>
        <v>-46.071441823931011</v>
      </c>
      <c r="AG362" s="7">
        <f t="shared" ca="1" si="523"/>
        <v>-49.917971408237626</v>
      </c>
      <c r="AH362" s="7">
        <f t="shared" ca="1" si="523"/>
        <v>-54.028659523960741</v>
      </c>
      <c r="AI362" s="7">
        <f t="shared" ca="1" si="523"/>
        <v>-58.452664283570584</v>
      </c>
      <c r="AJ362" s="7">
        <f t="shared" ca="1" si="523"/>
        <v>-63.216622964964856</v>
      </c>
      <c r="AK362" s="7">
        <f t="shared" ca="1" si="523"/>
        <v>-68.360137443864275</v>
      </c>
      <c r="AL362" s="7">
        <f t="shared" ca="1" si="523"/>
        <v>-73.914503677895013</v>
      </c>
      <c r="AM362" s="7">
        <f t="shared" ca="1" si="523"/>
        <v>-79.929249195919837</v>
      </c>
      <c r="AN362" s="65"/>
    </row>
    <row r="363" spans="1:40" s="3" customFormat="1">
      <c r="A363" s="125"/>
      <c r="B363" s="36"/>
      <c r="C363"/>
      <c r="D363" s="168" t="s">
        <v>442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 s="7"/>
      <c r="S363" s="7">
        <f t="shared" ref="S363:Z363" si="524">S364-SUM(S361:S362)</f>
        <v>5.0001805054151873</v>
      </c>
      <c r="T363" s="7">
        <f t="shared" si="524"/>
        <v>2.8158194945848436</v>
      </c>
      <c r="U363" s="7">
        <f t="shared" si="524"/>
        <v>-2.9316019855595528</v>
      </c>
      <c r="V363" s="7">
        <f t="shared" si="524"/>
        <v>8.8453212996390107</v>
      </c>
      <c r="W363" s="7">
        <f t="shared" si="524"/>
        <v>103.90601624548736</v>
      </c>
      <c r="X363" s="7">
        <f t="shared" si="524"/>
        <v>98.660117328519902</v>
      </c>
      <c r="Y363" s="7">
        <f t="shared" si="524"/>
        <v>27.063584837545079</v>
      </c>
      <c r="Z363" s="7">
        <f t="shared" si="524"/>
        <v>50.074148916967431</v>
      </c>
      <c r="AA363" s="7">
        <f>AA364-SUM(AA361:AA362)</f>
        <v>120.09170917972739</v>
      </c>
      <c r="AB363" s="7">
        <f>AB364-SUM(AB361:AB362)</f>
        <v>75.077553209321877</v>
      </c>
      <c r="AC363" s="7">
        <f t="shared" ref="AC363:AM363" ca="1" si="525">AC364-SUM(AC361:AC362)</f>
        <v>72.016457733311427</v>
      </c>
      <c r="AD363" s="7">
        <f t="shared" ca="1" si="525"/>
        <v>73.794092745103285</v>
      </c>
      <c r="AE363" s="7">
        <f t="shared" ca="1" si="525"/>
        <v>81.256758056098647</v>
      </c>
      <c r="AF363" s="7">
        <f t="shared" ca="1" si="525"/>
        <v>85.566843761387759</v>
      </c>
      <c r="AG363" s="7">
        <f t="shared" ca="1" si="525"/>
        <v>89.729058668567291</v>
      </c>
      <c r="AH363" s="7">
        <f t="shared" ca="1" si="525"/>
        <v>94.509175240320701</v>
      </c>
      <c r="AI363" s="7">
        <f t="shared" ca="1" si="525"/>
        <v>99.525706582963721</v>
      </c>
      <c r="AJ363" s="7">
        <f t="shared" ca="1" si="525"/>
        <v>104.9368452568807</v>
      </c>
      <c r="AK363" s="7">
        <f t="shared" ca="1" si="525"/>
        <v>110.58872899242306</v>
      </c>
      <c r="AL363" s="7">
        <f t="shared" ca="1" si="525"/>
        <v>116.69174872555732</v>
      </c>
      <c r="AM363" s="7">
        <f t="shared" ca="1" si="525"/>
        <v>128.03093511449299</v>
      </c>
      <c r="AN363" s="65"/>
    </row>
    <row r="364" spans="1:40" s="3" customFormat="1">
      <c r="A364" s="125"/>
      <c r="B364" s="163"/>
      <c r="D364" s="215" t="s">
        <v>456</v>
      </c>
      <c r="E364" s="2"/>
      <c r="F364" s="2"/>
      <c r="G364" s="2"/>
      <c r="H364" s="2"/>
      <c r="I364" s="2"/>
      <c r="J364" s="113"/>
      <c r="K364" s="113"/>
      <c r="L364" s="195"/>
      <c r="M364" s="195"/>
      <c r="N364" s="195"/>
      <c r="O364" s="114"/>
      <c r="P364" s="114"/>
      <c r="Q364" s="114"/>
      <c r="R364" s="195">
        <f t="shared" ref="R364:Z364" si="526">R350</f>
        <v>380.2</v>
      </c>
      <c r="S364" s="195">
        <f t="shared" si="526"/>
        <v>367.7</v>
      </c>
      <c r="T364" s="195">
        <f t="shared" si="526"/>
        <v>353.59100000000001</v>
      </c>
      <c r="U364" s="195">
        <f t="shared" si="526"/>
        <v>334.38400000000001</v>
      </c>
      <c r="V364" s="195">
        <f t="shared" si="526"/>
        <v>327.83800000000002</v>
      </c>
      <c r="W364" s="195">
        <f t="shared" si="526"/>
        <v>416.654</v>
      </c>
      <c r="X364" s="195">
        <f t="shared" si="526"/>
        <v>496.13600000000002</v>
      </c>
      <c r="Y364" s="195">
        <f t="shared" si="526"/>
        <v>500.363</v>
      </c>
      <c r="Z364" s="195">
        <f t="shared" si="526"/>
        <v>527.40599999999995</v>
      </c>
      <c r="AA364" s="278">
        <f>AA350+AA371</f>
        <v>621.13200000000006</v>
      </c>
      <c r="AB364" s="278">
        <f>AB350+AB371</f>
        <v>663.09399999999994</v>
      </c>
      <c r="AC364" s="114">
        <f t="shared" ref="AC364:AM364" ca="1" si="527">AC401*AC366</f>
        <v>698.7894837485785</v>
      </c>
      <c r="AD364" s="114">
        <f t="shared" ca="1" si="527"/>
        <v>733.22957464987223</v>
      </c>
      <c r="AE364" s="114">
        <f t="shared" ca="1" si="527"/>
        <v>771.99629053710771</v>
      </c>
      <c r="AF364" s="114">
        <f t="shared" ca="1" si="527"/>
        <v>811.49169248078465</v>
      </c>
      <c r="AG364" s="114">
        <f t="shared" ca="1" si="527"/>
        <v>851.30277974445846</v>
      </c>
      <c r="AH364" s="114">
        <f t="shared" ca="1" si="527"/>
        <v>891.78329546144562</v>
      </c>
      <c r="AI364" s="114">
        <f t="shared" ca="1" si="527"/>
        <v>932.8563377593689</v>
      </c>
      <c r="AJ364" s="114">
        <f t="shared" ca="1" si="527"/>
        <v>974.57656004855687</v>
      </c>
      <c r="AK364" s="114">
        <f t="shared" ca="1" si="527"/>
        <v>1016.8051515939777</v>
      </c>
      <c r="AL364" s="114">
        <f t="shared" ca="1" si="527"/>
        <v>1059.5823966387841</v>
      </c>
      <c r="AM364" s="114">
        <f t="shared" ca="1" si="527"/>
        <v>1107.6840825573572</v>
      </c>
      <c r="AN364"/>
    </row>
    <row r="365" spans="1:40" s="3" customFormat="1">
      <c r="A365" s="125"/>
      <c r="B365" s="36"/>
      <c r="C365"/>
      <c r="D365" s="168" t="s">
        <v>443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 s="41">
        <f t="shared" ref="R365:AM365" si="528">R364/R205</f>
        <v>4.2359757116595176E-2</v>
      </c>
      <c r="S365" s="41">
        <f t="shared" si="528"/>
        <v>3.6757135002749033E-2</v>
      </c>
      <c r="T365" s="41">
        <f t="shared" si="528"/>
        <v>3.2253418347335104E-2</v>
      </c>
      <c r="U365" s="41">
        <f t="shared" si="528"/>
        <v>2.659265326896925E-2</v>
      </c>
      <c r="V365" s="41">
        <f t="shared" si="528"/>
        <v>2.2976024445114131E-2</v>
      </c>
      <c r="W365" s="41">
        <f t="shared" si="528"/>
        <v>2.7502458794563586E-2</v>
      </c>
      <c r="X365" s="41">
        <f t="shared" si="528"/>
        <v>3.1252267687966136E-2</v>
      </c>
      <c r="Y365" s="41">
        <f t="shared" si="528"/>
        <v>2.9226298604580529E-2</v>
      </c>
      <c r="Z365" s="41">
        <f t="shared" si="528"/>
        <v>2.9021245687307063E-2</v>
      </c>
      <c r="AA365" s="41">
        <f t="shared" si="528"/>
        <v>3.0567519685039367E-2</v>
      </c>
      <c r="AB365" s="41">
        <f t="shared" si="528"/>
        <v>3.4992506438130622E-2</v>
      </c>
      <c r="AC365" s="41">
        <f t="shared" ca="1" si="528"/>
        <v>2.9638793711533971E-2</v>
      </c>
      <c r="AD365" s="41">
        <f t="shared" ca="1" si="528"/>
        <v>2.8907480407912717E-2</v>
      </c>
      <c r="AE365" s="41">
        <f t="shared" ca="1" si="528"/>
        <v>2.8102856413821407E-2</v>
      </c>
      <c r="AF365" s="41">
        <f t="shared" ca="1" si="528"/>
        <v>2.724106440964948E-2</v>
      </c>
      <c r="AG365" s="41">
        <f t="shared" ca="1" si="528"/>
        <v>2.6394497794733931E-2</v>
      </c>
      <c r="AH365" s="41">
        <f t="shared" ca="1" si="528"/>
        <v>2.5563822060802339E-2</v>
      </c>
      <c r="AI365" s="41">
        <f t="shared" ca="1" si="528"/>
        <v>2.4751825463127597E-2</v>
      </c>
      <c r="AJ365" s="41">
        <f t="shared" ca="1" si="528"/>
        <v>2.3959707151078289E-2</v>
      </c>
      <c r="AK365" s="41">
        <f t="shared" ca="1" si="528"/>
        <v>2.3189469860979344E-2</v>
      </c>
      <c r="AL365" s="41">
        <f t="shared" ca="1" si="528"/>
        <v>2.2441402464515862E-2</v>
      </c>
      <c r="AM365" s="41">
        <f t="shared" ca="1" si="528"/>
        <v>2.1708976114167913E-2</v>
      </c>
      <c r="AN365" s="65"/>
    </row>
    <row r="366" spans="1:40" s="3" customFormat="1">
      <c r="A366" s="125"/>
      <c r="B366" s="36"/>
      <c r="C366"/>
      <c r="D366" s="168" t="s">
        <v>444</v>
      </c>
      <c r="E366"/>
      <c r="F366"/>
      <c r="G366"/>
      <c r="H366"/>
      <c r="I366"/>
      <c r="J366"/>
      <c r="K366"/>
      <c r="L366"/>
      <c r="M366"/>
      <c r="N366"/>
      <c r="O366"/>
      <c r="P366"/>
      <c r="Q366"/>
      <c r="R366" s="228">
        <f t="shared" ref="R366:AB366" si="529">R364/R401</f>
        <v>0.3234871953694195</v>
      </c>
      <c r="S366" s="228">
        <f t="shared" si="529"/>
        <v>0.28755272842728913</v>
      </c>
      <c r="T366" s="228">
        <f t="shared" si="529"/>
        <v>0.24744466293904002</v>
      </c>
      <c r="U366" s="228">
        <f t="shared" si="529"/>
        <v>0.20229198591389957</v>
      </c>
      <c r="V366" s="228">
        <f t="shared" si="529"/>
        <v>0.17601681146908144</v>
      </c>
      <c r="W366" s="228">
        <f t="shared" si="529"/>
        <v>0.1927438522864896</v>
      </c>
      <c r="X366" s="228">
        <f t="shared" si="529"/>
        <v>0.19700499485187578</v>
      </c>
      <c r="Y366" s="228">
        <f t="shared" si="529"/>
        <v>0.18760838241045105</v>
      </c>
      <c r="Z366" s="228">
        <f t="shared" si="529"/>
        <v>0.18649051752121065</v>
      </c>
      <c r="AA366" s="228">
        <f t="shared" si="529"/>
        <v>0.20238232551410806</v>
      </c>
      <c r="AB366" s="228">
        <f t="shared" si="529"/>
        <v>0.21701205309790697</v>
      </c>
      <c r="AC366" s="52">
        <f ca="1">AB366+(AC411-AB411)*0.4</f>
        <v>0.21252911531975072</v>
      </c>
      <c r="AD366" s="52">
        <f t="shared" ref="AD366:AM366" ca="1" si="530">AC366+(AD411-AC411)*0.4</f>
        <v>0.2079705052263057</v>
      </c>
      <c r="AE366" s="52">
        <f t="shared" ca="1" si="530"/>
        <v>0.20291799207405667</v>
      </c>
      <c r="AF366" s="52">
        <f t="shared" ca="1" si="530"/>
        <v>0.19817140188509455</v>
      </c>
      <c r="AG366" s="52">
        <f t="shared" ca="1" si="530"/>
        <v>0.19378477470010491</v>
      </c>
      <c r="AH366" s="52">
        <f t="shared" ca="1" si="530"/>
        <v>0.18966878384132188</v>
      </c>
      <c r="AI366" s="52">
        <f t="shared" ca="1" si="530"/>
        <v>0.18581730507095745</v>
      </c>
      <c r="AJ366" s="52">
        <f t="shared" ca="1" si="530"/>
        <v>0.1822032384039545</v>
      </c>
      <c r="AK366" s="52">
        <f t="shared" ca="1" si="530"/>
        <v>0.17882877731024849</v>
      </c>
      <c r="AL366" s="52">
        <f t="shared" ca="1" si="530"/>
        <v>0.17566987775326243</v>
      </c>
      <c r="AM366" s="52">
        <f t="shared" ca="1" si="530"/>
        <v>0.172577148272992</v>
      </c>
      <c r="AN366" s="65"/>
    </row>
    <row r="367" spans="1:40" s="3" customFormat="1">
      <c r="A367" s="125"/>
      <c r="B367" s="36"/>
      <c r="C367"/>
      <c r="D367" s="168" t="s">
        <v>438</v>
      </c>
      <c r="E367"/>
      <c r="F367"/>
      <c r="G367"/>
      <c r="H367"/>
      <c r="I367"/>
      <c r="J367"/>
      <c r="K367"/>
      <c r="L367"/>
      <c r="M367"/>
      <c r="N367"/>
      <c r="O367"/>
      <c r="P367"/>
      <c r="Q367"/>
      <c r="R367" s="61">
        <f t="shared" ref="R367:X367" si="531">S367</f>
        <v>21.725490196078432</v>
      </c>
      <c r="S367" s="61">
        <f t="shared" si="531"/>
        <v>21.725490196078432</v>
      </c>
      <c r="T367" s="61">
        <f t="shared" si="531"/>
        <v>21.725490196078432</v>
      </c>
      <c r="U367" s="61">
        <f t="shared" si="531"/>
        <v>21.725490196078432</v>
      </c>
      <c r="V367" s="61">
        <f t="shared" si="531"/>
        <v>21.725490196078432</v>
      </c>
      <c r="W367" s="61">
        <f t="shared" si="531"/>
        <v>21.725490196078432</v>
      </c>
      <c r="X367" s="61">
        <f t="shared" si="531"/>
        <v>21.725490196078432</v>
      </c>
      <c r="Y367" s="61">
        <f>Z367</f>
        <v>21.725490196078432</v>
      </c>
      <c r="Z367" s="61">
        <f>+(1068+40)/(45+6)</f>
        <v>21.725490196078432</v>
      </c>
      <c r="AA367" s="61">
        <f>(+(1156)/55*AA369+AA371*13.55)/SUM(AA369,AA371)</f>
        <v>20.003482417439596</v>
      </c>
      <c r="AB367" s="61">
        <f>+((1121)/56*AB369+13.56*AB371)/SUM(AB369,AB371)</f>
        <v>18.756503811784498</v>
      </c>
      <c r="AC367" s="61">
        <f>AB367-0.5</f>
        <v>18.256503811784498</v>
      </c>
      <c r="AD367" s="61">
        <f t="shared" ref="AD367:AM367" si="532">AC367-0.5</f>
        <v>17.756503811784498</v>
      </c>
      <c r="AE367" s="61">
        <f t="shared" si="532"/>
        <v>17.256503811784498</v>
      </c>
      <c r="AF367" s="61">
        <f t="shared" si="532"/>
        <v>16.756503811784498</v>
      </c>
      <c r="AG367" s="61">
        <f t="shared" si="532"/>
        <v>16.256503811784498</v>
      </c>
      <c r="AH367" s="61">
        <f t="shared" si="532"/>
        <v>15.756503811784498</v>
      </c>
      <c r="AI367" s="61">
        <f t="shared" si="532"/>
        <v>15.256503811784498</v>
      </c>
      <c r="AJ367" s="61">
        <f t="shared" si="532"/>
        <v>14.756503811784498</v>
      </c>
      <c r="AK367" s="61">
        <f t="shared" si="532"/>
        <v>14.256503811784498</v>
      </c>
      <c r="AL367" s="61">
        <f t="shared" si="532"/>
        <v>13.756503811784498</v>
      </c>
      <c r="AM367" s="61">
        <f t="shared" si="532"/>
        <v>13.256503811784498</v>
      </c>
      <c r="AN367" s="65"/>
    </row>
    <row r="368" spans="1:40" s="3" customFormat="1">
      <c r="A368" s="125"/>
      <c r="B368" s="36"/>
      <c r="C368"/>
      <c r="D368" s="1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5"/>
    </row>
    <row r="369" spans="1:40" s="3" customFormat="1">
      <c r="A369" s="125"/>
      <c r="B369" s="36"/>
      <c r="C369"/>
      <c r="D369" s="168" t="s">
        <v>458</v>
      </c>
      <c r="E369"/>
      <c r="F369"/>
      <c r="G369"/>
      <c r="H369"/>
      <c r="I369"/>
      <c r="J369"/>
      <c r="K369"/>
      <c r="L369"/>
      <c r="M369"/>
      <c r="N369"/>
      <c r="O369"/>
      <c r="P369"/>
      <c r="Q369"/>
      <c r="R369" s="61"/>
      <c r="S369" s="61"/>
      <c r="T369" s="61"/>
      <c r="U369" s="61"/>
      <c r="V369" s="61"/>
      <c r="W369" s="61"/>
      <c r="X369" s="61"/>
      <c r="Y369" s="61"/>
      <c r="Z369" s="81">
        <v>495.62599999999998</v>
      </c>
      <c r="AA369" s="81">
        <f>AA350</f>
        <v>536.73900000000003</v>
      </c>
      <c r="AB369" s="81">
        <f>AB350</f>
        <v>533.57799999999997</v>
      </c>
      <c r="AC369" s="273">
        <f ca="1">AC370*AC364</f>
        <v>572.78325828412073</v>
      </c>
      <c r="AD369" s="273">
        <f t="shared" ref="AD369:AM369" ca="1" si="533">AD370*AD364</f>
        <v>612.01153068752842</v>
      </c>
      <c r="AE369" s="273">
        <f t="shared" ca="1" si="533"/>
        <v>655.94924940459794</v>
      </c>
      <c r="AF369" s="273">
        <f t="shared" ca="1" si="533"/>
        <v>701.68004933017539</v>
      </c>
      <c r="AG369" s="273">
        <f t="shared" ca="1" si="533"/>
        <v>748.87341314787807</v>
      </c>
      <c r="AH369" s="273">
        <f t="shared" ca="1" si="533"/>
        <v>797.86003334759675</v>
      </c>
      <c r="AI369" s="273">
        <f t="shared" ca="1" si="533"/>
        <v>839.57070398343205</v>
      </c>
      <c r="AJ369" s="273">
        <f t="shared" ca="1" si="533"/>
        <v>877.11890404370115</v>
      </c>
      <c r="AK369" s="273">
        <f t="shared" ca="1" si="533"/>
        <v>915.12463643458</v>
      </c>
      <c r="AL369" s="273">
        <f t="shared" ca="1" si="533"/>
        <v>953.62415697490565</v>
      </c>
      <c r="AM369" s="273">
        <f t="shared" ca="1" si="533"/>
        <v>996.91567430162149</v>
      </c>
      <c r="AN369" s="65"/>
    </row>
    <row r="370" spans="1:40" s="3" customFormat="1">
      <c r="A370" s="125"/>
      <c r="B370" s="36"/>
      <c r="C370"/>
      <c r="D370" s="271" t="s">
        <v>459</v>
      </c>
      <c r="E370"/>
      <c r="F370"/>
      <c r="G370"/>
      <c r="H370"/>
      <c r="I370"/>
      <c r="J370"/>
      <c r="K370"/>
      <c r="L370"/>
      <c r="M370"/>
      <c r="N370"/>
      <c r="O370"/>
      <c r="P370"/>
      <c r="Q370"/>
      <c r="R370" s="61"/>
      <c r="S370" s="61"/>
      <c r="T370" s="61"/>
      <c r="U370" s="61"/>
      <c r="V370" s="61"/>
      <c r="W370" s="61"/>
      <c r="X370" s="61"/>
      <c r="Y370" s="61"/>
      <c r="Z370" s="41">
        <f t="shared" ref="Z370:AA370" si="534">Z369/Z364</f>
        <v>0.93974281672942672</v>
      </c>
      <c r="AA370" s="41">
        <f t="shared" si="534"/>
        <v>0.86413032978497317</v>
      </c>
      <c r="AB370" s="41">
        <f>AB369/AB364</f>
        <v>0.80467927624137758</v>
      </c>
      <c r="AC370" s="275">
        <f>1-AC372</f>
        <v>0.8196792762413776</v>
      </c>
      <c r="AD370" s="275">
        <f t="shared" ref="AD370:AM370" si="535">1-AD372</f>
        <v>0.8346792762413775</v>
      </c>
      <c r="AE370" s="275">
        <f t="shared" si="535"/>
        <v>0.84967927624137762</v>
      </c>
      <c r="AF370" s="275">
        <f t="shared" si="535"/>
        <v>0.86467927624137753</v>
      </c>
      <c r="AG370" s="275">
        <f t="shared" si="535"/>
        <v>0.87967927624137754</v>
      </c>
      <c r="AH370" s="275">
        <f t="shared" si="535"/>
        <v>0.89467927624137755</v>
      </c>
      <c r="AI370" s="275">
        <f t="shared" si="535"/>
        <v>0.9</v>
      </c>
      <c r="AJ370" s="275">
        <f t="shared" si="535"/>
        <v>0.9</v>
      </c>
      <c r="AK370" s="275">
        <f t="shared" si="535"/>
        <v>0.9</v>
      </c>
      <c r="AL370" s="275">
        <f t="shared" si="535"/>
        <v>0.9</v>
      </c>
      <c r="AM370" s="275">
        <f t="shared" si="535"/>
        <v>0.9</v>
      </c>
      <c r="AN370" s="65"/>
    </row>
    <row r="371" spans="1:40" s="3" customFormat="1">
      <c r="A371" s="125"/>
      <c r="B371" s="36"/>
      <c r="C371"/>
      <c r="D371" s="168" t="s">
        <v>453</v>
      </c>
      <c r="E371"/>
      <c r="F371"/>
      <c r="G371"/>
      <c r="H371"/>
      <c r="I371"/>
      <c r="J371"/>
      <c r="K371"/>
      <c r="L371"/>
      <c r="M371"/>
      <c r="N371"/>
      <c r="O371"/>
      <c r="P371"/>
      <c r="Q371"/>
      <c r="R371" s="61"/>
      <c r="S371" s="7"/>
      <c r="T371" s="7"/>
      <c r="U371" s="7"/>
      <c r="V371" s="7"/>
      <c r="W371" s="7"/>
      <c r="X371" s="7"/>
      <c r="Y371" s="7"/>
      <c r="Z371" s="81">
        <f>Z364-Z369</f>
        <v>31.779999999999973</v>
      </c>
      <c r="AA371" s="81">
        <f>5.066+79.327</f>
        <v>84.393000000000001</v>
      </c>
      <c r="AB371" s="81">
        <f>9.422+120.094</f>
        <v>129.51599999999999</v>
      </c>
      <c r="AC371" s="7">
        <f t="shared" ref="AC371:AM371" ca="1" si="536">AC364*AC372</f>
        <v>126.00622546445783</v>
      </c>
      <c r="AD371" s="7">
        <f t="shared" ca="1" si="536"/>
        <v>121.21804396234376</v>
      </c>
      <c r="AE371" s="7">
        <f t="shared" ca="1" si="536"/>
        <v>116.04704113250979</v>
      </c>
      <c r="AF371" s="7">
        <f t="shared" ca="1" si="536"/>
        <v>109.81164315060923</v>
      </c>
      <c r="AG371" s="7">
        <f t="shared" ca="1" si="536"/>
        <v>102.42936659658037</v>
      </c>
      <c r="AH371" s="7">
        <f t="shared" ca="1" si="536"/>
        <v>93.923262113848878</v>
      </c>
      <c r="AI371" s="7">
        <f t="shared" ca="1" si="536"/>
        <v>93.285633775936901</v>
      </c>
      <c r="AJ371" s="7">
        <f t="shared" ca="1" si="536"/>
        <v>97.457656004855693</v>
      </c>
      <c r="AK371" s="7">
        <f t="shared" ca="1" si="536"/>
        <v>101.68051515939777</v>
      </c>
      <c r="AL371" s="7">
        <f t="shared" ca="1" si="536"/>
        <v>105.95823966387842</v>
      </c>
      <c r="AM371" s="7">
        <f t="shared" ca="1" si="536"/>
        <v>110.76840825573572</v>
      </c>
      <c r="AN371" s="65"/>
    </row>
    <row r="372" spans="1:40" s="3" customFormat="1">
      <c r="A372" s="125"/>
      <c r="B372" s="36"/>
      <c r="C372"/>
      <c r="D372" s="271" t="s">
        <v>454</v>
      </c>
      <c r="E372"/>
      <c r="F372"/>
      <c r="G372"/>
      <c r="H372"/>
      <c r="I372"/>
      <c r="J372"/>
      <c r="K372"/>
      <c r="L372"/>
      <c r="M372"/>
      <c r="N372"/>
      <c r="O372"/>
      <c r="P372"/>
      <c r="Q372"/>
      <c r="R372" s="61"/>
      <c r="S372" s="275"/>
      <c r="T372" s="275"/>
      <c r="U372" s="275"/>
      <c r="V372" s="275"/>
      <c r="W372" s="275"/>
      <c r="X372" s="275"/>
      <c r="Y372" s="275"/>
      <c r="Z372" s="228">
        <f>Z371/Z364</f>
        <v>6.0257183270573292E-2</v>
      </c>
      <c r="AA372" s="228">
        <f>AA371/AA364</f>
        <v>0.13586967021502674</v>
      </c>
      <c r="AB372" s="228">
        <f>AB371/AB364</f>
        <v>0.19532072375862247</v>
      </c>
      <c r="AC372" s="275">
        <f>MAX(AB372-0.015,0.1)</f>
        <v>0.18032072375862246</v>
      </c>
      <c r="AD372" s="275">
        <f t="shared" ref="AD372:AM372" si="537">MAX(AC372-0.015,0.1)</f>
        <v>0.16532072375862245</v>
      </c>
      <c r="AE372" s="275">
        <f t="shared" si="537"/>
        <v>0.15032072375862243</v>
      </c>
      <c r="AF372" s="275">
        <f t="shared" si="537"/>
        <v>0.13532072375862242</v>
      </c>
      <c r="AG372" s="275">
        <f t="shared" si="537"/>
        <v>0.12032072375862242</v>
      </c>
      <c r="AH372" s="275">
        <f t="shared" si="537"/>
        <v>0.10532072375862242</v>
      </c>
      <c r="AI372" s="275">
        <f t="shared" si="537"/>
        <v>0.1</v>
      </c>
      <c r="AJ372" s="275">
        <f t="shared" si="537"/>
        <v>0.1</v>
      </c>
      <c r="AK372" s="275">
        <f t="shared" si="537"/>
        <v>0.1</v>
      </c>
      <c r="AL372" s="275">
        <f t="shared" si="537"/>
        <v>0.1</v>
      </c>
      <c r="AM372" s="275">
        <f t="shared" si="537"/>
        <v>0.1</v>
      </c>
      <c r="AN372" s="65"/>
    </row>
    <row r="373" spans="1:40" s="3" customFormat="1">
      <c r="A373" s="125"/>
      <c r="B373" s="36"/>
      <c r="C373"/>
      <c r="D373" s="271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 s="61"/>
      <c r="S373" s="275"/>
      <c r="T373" s="275"/>
      <c r="U373" s="275"/>
      <c r="V373" s="275"/>
      <c r="W373" s="275"/>
      <c r="X373" s="275"/>
      <c r="Y373" s="275"/>
      <c r="Z373" s="228"/>
      <c r="AA373" s="228"/>
      <c r="AB373" s="228"/>
      <c r="AC373" s="275"/>
      <c r="AD373" s="275"/>
      <c r="AE373" s="275"/>
      <c r="AF373" s="275"/>
      <c r="AG373" s="275"/>
      <c r="AH373" s="275"/>
      <c r="AI373" s="275"/>
      <c r="AJ373" s="275"/>
      <c r="AK373" s="275"/>
      <c r="AL373" s="275"/>
      <c r="AM373" s="275"/>
      <c r="AN373" s="65"/>
    </row>
    <row r="374" spans="1:40" s="3" customFormat="1">
      <c r="A374" s="125"/>
      <c r="B374" s="36"/>
      <c r="C374"/>
      <c r="D374" s="168" t="s">
        <v>460</v>
      </c>
      <c r="E374"/>
      <c r="F374"/>
      <c r="G374"/>
      <c r="H374"/>
      <c r="I374"/>
      <c r="J374"/>
      <c r="K374"/>
      <c r="L374"/>
      <c r="M374"/>
      <c r="N374"/>
      <c r="O374"/>
      <c r="P374"/>
      <c r="Q374"/>
      <c r="R374" s="61"/>
      <c r="S374" s="275"/>
      <c r="T374" s="275"/>
      <c r="U374" s="275"/>
      <c r="V374" s="275"/>
      <c r="W374" s="275"/>
      <c r="X374" s="275"/>
      <c r="Y374" s="275"/>
      <c r="Z374" s="228"/>
      <c r="AA374" s="81">
        <f>AA369*$F$350</f>
        <v>25.495102500000002</v>
      </c>
      <c r="AB374" s="81">
        <f>AB369*$F$350</f>
        <v>25.344954999999999</v>
      </c>
      <c r="AC374" s="275"/>
      <c r="AD374" s="275"/>
      <c r="AE374" s="275"/>
      <c r="AF374" s="275"/>
      <c r="AG374" s="275"/>
      <c r="AH374" s="275"/>
      <c r="AI374" s="275"/>
      <c r="AJ374" s="275"/>
      <c r="AK374" s="275"/>
      <c r="AL374" s="275"/>
      <c r="AM374" s="275"/>
      <c r="AN374" s="65"/>
    </row>
    <row r="375" spans="1:40" s="3" customFormat="1">
      <c r="A375" s="125"/>
      <c r="B375" s="36"/>
      <c r="C375"/>
      <c r="D375" s="168" t="s">
        <v>468</v>
      </c>
      <c r="E375"/>
      <c r="F375"/>
      <c r="G375"/>
      <c r="H375"/>
      <c r="I375"/>
      <c r="J375"/>
      <c r="K375"/>
      <c r="L375"/>
      <c r="M375"/>
      <c r="N375"/>
      <c r="O375"/>
      <c r="P375"/>
      <c r="Q375"/>
      <c r="R375" s="98"/>
      <c r="S375" s="98"/>
      <c r="T375" s="98"/>
      <c r="U375" s="98"/>
      <c r="V375" s="98"/>
      <c r="W375" s="98"/>
      <c r="X375" s="98"/>
      <c r="Y375" s="98"/>
      <c r="Z375" s="98"/>
      <c r="AA375" s="109">
        <v>7.6779999999999999</v>
      </c>
      <c r="AB375" s="109">
        <v>10.724</v>
      </c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65"/>
    </row>
    <row r="376" spans="1:40" s="3" customFormat="1">
      <c r="A376" s="125"/>
      <c r="B376" s="36"/>
      <c r="C376"/>
      <c r="D376" s="279" t="s">
        <v>461</v>
      </c>
      <c r="E376" s="280"/>
      <c r="F376" s="280"/>
      <c r="G376" s="280"/>
      <c r="H376" s="280"/>
      <c r="I376" s="280"/>
      <c r="J376" s="280"/>
      <c r="K376" s="280"/>
      <c r="L376" s="280"/>
      <c r="M376" s="280"/>
      <c r="N376" s="280"/>
      <c r="O376" s="280"/>
      <c r="P376" s="280"/>
      <c r="Q376" s="280"/>
      <c r="R376" s="281"/>
      <c r="S376" s="281">
        <f t="shared" ref="S376:Y376" si="538">S364*S377</f>
        <v>19.819476248939047</v>
      </c>
      <c r="T376" s="281">
        <f t="shared" si="538"/>
        <v>19.058984025941275</v>
      </c>
      <c r="U376" s="281">
        <f t="shared" si="538"/>
        <v>18.023703415896748</v>
      </c>
      <c r="V376" s="281">
        <f t="shared" si="538"/>
        <v>17.670866071524831</v>
      </c>
      <c r="W376" s="281">
        <f t="shared" si="538"/>
        <v>22.458156260607694</v>
      </c>
      <c r="X376" s="281">
        <f t="shared" si="538"/>
        <v>26.742332521739527</v>
      </c>
      <c r="Y376" s="281">
        <f t="shared" si="538"/>
        <v>26.97017295172121</v>
      </c>
      <c r="Z376" s="281">
        <f>Z364*Z377</f>
        <v>28.427823471710486</v>
      </c>
      <c r="AA376" s="283">
        <f>SUM(AA374:AA375)</f>
        <v>33.173102499999999</v>
      </c>
      <c r="AB376" s="283">
        <f>SUM(AB374:AB375)</f>
        <v>36.068955000000003</v>
      </c>
      <c r="AC376" s="282">
        <f ca="1">AC364*AC377</f>
        <v>37.311819032993711</v>
      </c>
      <c r="AD376" s="282">
        <f t="shared" ref="AD376:AM376" ca="1" si="539">AD364*AD377</f>
        <v>38.417515871912009</v>
      </c>
      <c r="AE376" s="282">
        <f t="shared" ca="1" si="539"/>
        <v>39.676699138761059</v>
      </c>
      <c r="AF376" s="282">
        <f t="shared" ca="1" si="539"/>
        <v>40.89507106025367</v>
      </c>
      <c r="AG376" s="282">
        <f t="shared" ca="1" si="539"/>
        <v>42.05004543370687</v>
      </c>
      <c r="AH376" s="282">
        <f t="shared" ca="1" si="539"/>
        <v>43.157794579088808</v>
      </c>
      <c r="AI376" s="282">
        <f t="shared" ca="1" si="539"/>
        <v>44.310676043570027</v>
      </c>
      <c r="AJ376" s="282">
        <f t="shared" ca="1" si="539"/>
        <v>46.292386602306451</v>
      </c>
      <c r="AK376" s="282">
        <f t="shared" ca="1" si="539"/>
        <v>48.298244700713944</v>
      </c>
      <c r="AL376" s="282">
        <f t="shared" ca="1" si="539"/>
        <v>50.330163840342244</v>
      </c>
      <c r="AM376" s="282">
        <f t="shared" ca="1" si="539"/>
        <v>52.614993921474465</v>
      </c>
      <c r="AN376" s="65"/>
    </row>
    <row r="377" spans="1:40" s="3" customFormat="1">
      <c r="A377" s="125"/>
      <c r="B377" s="36"/>
      <c r="C377"/>
      <c r="D377" s="271" t="s">
        <v>452</v>
      </c>
      <c r="E377"/>
      <c r="F377"/>
      <c r="G377"/>
      <c r="H377"/>
      <c r="I377"/>
      <c r="J377"/>
      <c r="K377"/>
      <c r="L377"/>
      <c r="M377"/>
      <c r="N377"/>
      <c r="O377"/>
      <c r="P377"/>
      <c r="Q377"/>
      <c r="R377" s="173"/>
      <c r="S377" s="173">
        <f t="shared" ref="S377:X377" si="540">T377</f>
        <v>5.390121362235259E-2</v>
      </c>
      <c r="T377" s="173">
        <f t="shared" si="540"/>
        <v>5.390121362235259E-2</v>
      </c>
      <c r="U377" s="173">
        <f t="shared" si="540"/>
        <v>5.390121362235259E-2</v>
      </c>
      <c r="V377" s="173">
        <f t="shared" si="540"/>
        <v>5.390121362235259E-2</v>
      </c>
      <c r="W377" s="173">
        <f t="shared" si="540"/>
        <v>5.390121362235259E-2</v>
      </c>
      <c r="X377" s="173">
        <f t="shared" si="540"/>
        <v>5.390121362235259E-2</v>
      </c>
      <c r="Y377" s="173">
        <f>Z377</f>
        <v>5.390121362235259E-2</v>
      </c>
      <c r="Z377" s="173">
        <f>AVERAGE(AA377:AB377)</f>
        <v>5.390121362235259E-2</v>
      </c>
      <c r="AA377" s="48">
        <f>AA376/AA364</f>
        <v>5.3407492288273663E-2</v>
      </c>
      <c r="AB377" s="48">
        <f>AB376/AB364</f>
        <v>5.4394934956431523E-2</v>
      </c>
      <c r="AC377" s="173">
        <f>MAX(AB377-0.001,$F$350)</f>
        <v>5.3394934956431522E-2</v>
      </c>
      <c r="AD377" s="173">
        <f t="shared" ref="AD377:AM377" si="541">MAX(AC377-0.001,$F$350)</f>
        <v>5.2394934956431521E-2</v>
      </c>
      <c r="AE377" s="173">
        <f t="shared" si="541"/>
        <v>5.1394934956431521E-2</v>
      </c>
      <c r="AF377" s="173">
        <f t="shared" si="541"/>
        <v>5.039493495643152E-2</v>
      </c>
      <c r="AG377" s="173">
        <f t="shared" si="541"/>
        <v>4.9394934956431519E-2</v>
      </c>
      <c r="AH377" s="173">
        <f t="shared" si="541"/>
        <v>4.8394934956431518E-2</v>
      </c>
      <c r="AI377" s="173">
        <f t="shared" si="541"/>
        <v>4.7500000000000001E-2</v>
      </c>
      <c r="AJ377" s="173">
        <f t="shared" si="541"/>
        <v>4.7500000000000001E-2</v>
      </c>
      <c r="AK377" s="173">
        <f t="shared" si="541"/>
        <v>4.7500000000000001E-2</v>
      </c>
      <c r="AL377" s="173">
        <f t="shared" si="541"/>
        <v>4.7500000000000001E-2</v>
      </c>
      <c r="AM377" s="173">
        <f t="shared" si="541"/>
        <v>4.7500000000000001E-2</v>
      </c>
      <c r="AN377" s="65"/>
    </row>
    <row r="378" spans="1:40" s="3" customFormat="1">
      <c r="A378" s="125"/>
      <c r="B378" s="36"/>
      <c r="C378"/>
      <c r="D378" s="271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 s="173"/>
      <c r="S378" s="173"/>
      <c r="T378" s="173"/>
      <c r="U378" s="173"/>
      <c r="V378" s="173"/>
      <c r="W378" s="173"/>
      <c r="X378" s="173"/>
      <c r="Y378" s="173"/>
      <c r="Z378" s="173"/>
      <c r="AA378" s="48"/>
      <c r="AB378" s="48"/>
      <c r="AC378" s="173"/>
      <c r="AD378" s="173"/>
      <c r="AE378" s="173"/>
      <c r="AF378" s="173"/>
      <c r="AG378" s="173"/>
      <c r="AH378" s="173"/>
      <c r="AI378" s="173"/>
      <c r="AJ378" s="173"/>
      <c r="AK378" s="173"/>
      <c r="AL378" s="173"/>
      <c r="AM378" s="173"/>
      <c r="AN378" s="65"/>
    </row>
    <row r="379" spans="1:40" s="3" customFormat="1">
      <c r="A379" s="125"/>
      <c r="B379" s="36"/>
      <c r="C379"/>
      <c r="D379" s="168" t="s">
        <v>467</v>
      </c>
      <c r="E379"/>
      <c r="F379"/>
      <c r="G379"/>
      <c r="H379"/>
      <c r="I379"/>
      <c r="J379"/>
      <c r="K379"/>
      <c r="L379"/>
      <c r="M379"/>
      <c r="N379"/>
      <c r="O379"/>
      <c r="P379"/>
      <c r="Q379"/>
      <c r="R379" s="228"/>
      <c r="S379" s="93">
        <f t="shared" ref="S379:AA379" si="542">S376-S362</f>
        <v>37.319656754354213</v>
      </c>
      <c r="T379" s="93">
        <f t="shared" si="542"/>
        <v>35.983803520526109</v>
      </c>
      <c r="U379" s="93">
        <f t="shared" si="542"/>
        <v>34.299101430337181</v>
      </c>
      <c r="V379" s="93">
        <f t="shared" si="542"/>
        <v>33.062187371163816</v>
      </c>
      <c r="W379" s="93">
        <f t="shared" si="542"/>
        <v>37.548172506095057</v>
      </c>
      <c r="X379" s="93">
        <f t="shared" si="542"/>
        <v>45.920449850259381</v>
      </c>
      <c r="Y379" s="93">
        <f t="shared" si="542"/>
        <v>49.806757789266335</v>
      </c>
      <c r="Z379" s="93">
        <f t="shared" si="542"/>
        <v>51.458972388677992</v>
      </c>
      <c r="AA379" s="93">
        <f t="shared" si="542"/>
        <v>59.53881167972726</v>
      </c>
      <c r="AB379" s="93">
        <f>AB376-AB362</f>
        <v>69.18450820932199</v>
      </c>
      <c r="AC379" s="93">
        <f t="shared" ref="AC379:AM379" ca="1" si="543">AC376-AC362</f>
        <v>73.632793017726513</v>
      </c>
      <c r="AD379" s="93">
        <f t="shared" ca="1" si="543"/>
        <v>77.771517715721558</v>
      </c>
      <c r="AE379" s="93">
        <f t="shared" ca="1" si="543"/>
        <v>82.166741307624278</v>
      </c>
      <c r="AF379" s="93">
        <f t="shared" ca="1" si="543"/>
        <v>86.966512884184681</v>
      </c>
      <c r="AG379" s="93">
        <f t="shared" ca="1" si="543"/>
        <v>91.96801684194449</v>
      </c>
      <c r="AH379" s="93">
        <f t="shared" ca="1" si="543"/>
        <v>97.186454103049556</v>
      </c>
      <c r="AI379" s="93">
        <f t="shared" ca="1" si="543"/>
        <v>102.76334032714061</v>
      </c>
      <c r="AJ379" s="93">
        <f t="shared" ca="1" si="543"/>
        <v>109.50900956727131</v>
      </c>
      <c r="AK379" s="93">
        <f t="shared" ca="1" si="543"/>
        <v>116.65838214457821</v>
      </c>
      <c r="AL379" s="93">
        <f t="shared" ca="1" si="543"/>
        <v>124.24466751823726</v>
      </c>
      <c r="AM379" s="93">
        <f t="shared" ca="1" si="543"/>
        <v>132.5442431173943</v>
      </c>
      <c r="AN379" s="65"/>
    </row>
    <row r="380" spans="1:40" s="3" customFormat="1">
      <c r="A380" s="125"/>
      <c r="B380" s="36"/>
      <c r="C380"/>
      <c r="D380" s="168" t="s">
        <v>465</v>
      </c>
      <c r="E380"/>
      <c r="F380"/>
      <c r="G380"/>
      <c r="H380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41"/>
      <c r="X380" s="41"/>
      <c r="Y380" s="7">
        <f t="shared" ref="Y380:AM380" si="544">-Y362-Y381</f>
        <v>22.313584837545125</v>
      </c>
      <c r="Z380" s="7">
        <f t="shared" si="544"/>
        <v>22.137148916967508</v>
      </c>
      <c r="AA380" s="7">
        <f t="shared" si="544"/>
        <v>22.214709179727258</v>
      </c>
      <c r="AB380" s="7">
        <f t="shared" si="544"/>
        <v>25.691553209321981</v>
      </c>
      <c r="AC380" s="7">
        <f t="shared" si="544"/>
        <v>28.896973984732803</v>
      </c>
      <c r="AD380" s="7">
        <f t="shared" ca="1" si="544"/>
        <v>31.930001843809556</v>
      </c>
      <c r="AE380" s="7">
        <f t="shared" ca="1" si="544"/>
        <v>35.06604216886322</v>
      </c>
      <c r="AF380" s="7">
        <f t="shared" ca="1" si="544"/>
        <v>38.647441823931011</v>
      </c>
      <c r="AG380" s="7">
        <f t="shared" ca="1" si="544"/>
        <v>42.493971408237627</v>
      </c>
      <c r="AH380" s="7">
        <f t="shared" ca="1" si="544"/>
        <v>46.604659523960741</v>
      </c>
      <c r="AI380" s="7">
        <f t="shared" ca="1" si="544"/>
        <v>51.028664283570585</v>
      </c>
      <c r="AJ380" s="7">
        <f t="shared" ca="1" si="544"/>
        <v>55.792622964964856</v>
      </c>
      <c r="AK380" s="7">
        <f t="shared" ca="1" si="544"/>
        <v>60.936137443864276</v>
      </c>
      <c r="AL380" s="7">
        <f t="shared" ca="1" si="544"/>
        <v>66.490503677895006</v>
      </c>
      <c r="AM380" s="7">
        <f t="shared" ca="1" si="544"/>
        <v>72.505249195919831</v>
      </c>
      <c r="AN380" s="65"/>
    </row>
    <row r="381" spans="1:40" s="3" customFormat="1">
      <c r="A381" s="125"/>
      <c r="B381" s="36"/>
      <c r="C381"/>
      <c r="D381" s="168" t="s">
        <v>466</v>
      </c>
      <c r="E381"/>
      <c r="F381"/>
      <c r="G381"/>
      <c r="H381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109"/>
      <c r="T381" s="109"/>
      <c r="U381" s="109"/>
      <c r="V381" s="109"/>
      <c r="W381" s="109"/>
      <c r="X381" s="109"/>
      <c r="Y381" s="109">
        <v>0.52300000000000002</v>
      </c>
      <c r="Z381" s="109">
        <v>0.89400000000000002</v>
      </c>
      <c r="AA381" s="109">
        <v>4.1509999999999998</v>
      </c>
      <c r="AB381" s="109">
        <v>7.4240000000000004</v>
      </c>
      <c r="AC381" s="109">
        <f>AB381</f>
        <v>7.4240000000000004</v>
      </c>
      <c r="AD381" s="109">
        <f t="shared" ref="AD381:AM381" si="545">AC381</f>
        <v>7.4240000000000004</v>
      </c>
      <c r="AE381" s="109">
        <f t="shared" si="545"/>
        <v>7.4240000000000004</v>
      </c>
      <c r="AF381" s="109">
        <f t="shared" si="545"/>
        <v>7.4240000000000004</v>
      </c>
      <c r="AG381" s="109">
        <f t="shared" si="545"/>
        <v>7.4240000000000004</v>
      </c>
      <c r="AH381" s="109">
        <f t="shared" si="545"/>
        <v>7.4240000000000004</v>
      </c>
      <c r="AI381" s="109">
        <f t="shared" si="545"/>
        <v>7.4240000000000004</v>
      </c>
      <c r="AJ381" s="109">
        <f t="shared" si="545"/>
        <v>7.4240000000000004</v>
      </c>
      <c r="AK381" s="109">
        <f t="shared" si="545"/>
        <v>7.4240000000000004</v>
      </c>
      <c r="AL381" s="109">
        <f t="shared" si="545"/>
        <v>7.4240000000000004</v>
      </c>
      <c r="AM381" s="109">
        <f t="shared" si="545"/>
        <v>7.4240000000000004</v>
      </c>
      <c r="AN381" s="65"/>
    </row>
    <row r="382" spans="1:40" s="3" customFormat="1">
      <c r="A382" s="125"/>
      <c r="B382" s="36"/>
      <c r="C382"/>
      <c r="D382" s="271" t="s">
        <v>469</v>
      </c>
      <c r="E382"/>
      <c r="F382"/>
      <c r="G382"/>
      <c r="H382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109"/>
      <c r="T382" s="109"/>
      <c r="U382" s="109"/>
      <c r="V382" s="109"/>
      <c r="W382" s="109"/>
      <c r="X382" s="109"/>
      <c r="Y382" s="109"/>
      <c r="Z382" s="41">
        <f>Z381/Z371</f>
        <v>2.8130899937067362E-2</v>
      </c>
      <c r="AA382" s="41">
        <f t="shared" ref="AA382:AM382" si="546">AA381/AA371</f>
        <v>4.9186543907670063E-2</v>
      </c>
      <c r="AB382" s="41">
        <f t="shared" si="546"/>
        <v>5.7321103184162579E-2</v>
      </c>
      <c r="AC382" s="41">
        <f t="shared" ca="1" si="546"/>
        <v>5.8917723887333365E-2</v>
      </c>
      <c r="AD382" s="41">
        <f t="shared" ca="1" si="546"/>
        <v>6.1245007404229827E-2</v>
      </c>
      <c r="AE382" s="41">
        <f t="shared" ca="1" si="546"/>
        <v>6.3974056792390002E-2</v>
      </c>
      <c r="AF382" s="41">
        <f t="shared" ca="1" si="546"/>
        <v>6.7606674365283934E-2</v>
      </c>
      <c r="AG382" s="41">
        <f t="shared" ca="1" si="546"/>
        <v>7.2479214181217569E-2</v>
      </c>
      <c r="AH382" s="41">
        <f t="shared" ca="1" si="546"/>
        <v>7.9043251191605921E-2</v>
      </c>
      <c r="AI382" s="41">
        <f t="shared" ca="1" si="546"/>
        <v>7.9583529633638253E-2</v>
      </c>
      <c r="AJ382" s="41">
        <f t="shared" ca="1" si="546"/>
        <v>7.6176673073587053E-2</v>
      </c>
      <c r="AK382" s="41">
        <f t="shared" ca="1" si="546"/>
        <v>7.3013005376319051E-2</v>
      </c>
      <c r="AL382" s="41">
        <f t="shared" ca="1" si="546"/>
        <v>7.006533917088914E-2</v>
      </c>
      <c r="AM382" s="41">
        <f t="shared" ca="1" si="546"/>
        <v>6.7022719897354643E-2</v>
      </c>
      <c r="AN382" s="65"/>
    </row>
    <row r="383" spans="1:40" s="3" customFormat="1">
      <c r="A383" s="125"/>
      <c r="B383" s="36"/>
      <c r="C383"/>
      <c r="D383" s="168"/>
      <c r="E383"/>
      <c r="F383"/>
      <c r="G383"/>
      <c r="H383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41"/>
      <c r="X383" s="41"/>
      <c r="Y383" s="7"/>
      <c r="Z383" s="7"/>
      <c r="AA383" s="7"/>
      <c r="AB383" s="7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65"/>
    </row>
    <row r="384" spans="1:40">
      <c r="C384" s="119"/>
      <c r="D384" s="120" t="s">
        <v>183</v>
      </c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  <c r="AA384" s="119"/>
      <c r="AB384" s="119"/>
      <c r="AC384" s="119"/>
      <c r="AD384" s="119"/>
      <c r="AE384" s="119"/>
      <c r="AF384" s="119"/>
      <c r="AG384" s="119"/>
      <c r="AH384" s="119"/>
      <c r="AI384" s="119"/>
      <c r="AJ384" s="119"/>
      <c r="AK384" s="119"/>
      <c r="AL384" s="119"/>
      <c r="AM384" s="119"/>
    </row>
    <row r="385" spans="1:45" ht="5.15" customHeight="1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66"/>
      <c r="X385" s="66"/>
      <c r="Y385" s="66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"/>
      <c r="AS385" s="3"/>
    </row>
    <row r="386" spans="1:45" s="3" customFormat="1">
      <c r="A386" s="125"/>
      <c r="B386" s="36"/>
      <c r="C386"/>
      <c r="D386" s="164" t="s">
        <v>422</v>
      </c>
      <c r="E386"/>
      <c r="F386"/>
      <c r="G386"/>
      <c r="H386"/>
      <c r="I386"/>
      <c r="J386" s="112"/>
      <c r="K386" s="112"/>
      <c r="L386" s="7"/>
      <c r="M386" s="7"/>
      <c r="N386" s="7"/>
      <c r="O386" s="7"/>
      <c r="P386" s="7"/>
      <c r="Q386" s="81"/>
      <c r="R386" s="81"/>
      <c r="S386" s="81"/>
      <c r="T386" s="81"/>
      <c r="U386" s="81"/>
      <c r="V386" s="81">
        <v>398.28800000000001</v>
      </c>
      <c r="W386" s="81">
        <v>510.06799999999998</v>
      </c>
      <c r="X386" s="81">
        <v>627.78399999999999</v>
      </c>
      <c r="Y386" s="81">
        <v>722.173</v>
      </c>
      <c r="Z386" s="81">
        <v>789.125</v>
      </c>
      <c r="AA386" s="81">
        <v>847.39099999999996</v>
      </c>
      <c r="AB386" s="81">
        <v>868.221</v>
      </c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/>
    </row>
    <row r="387" spans="1:45" s="3" customFormat="1">
      <c r="A387" s="125"/>
      <c r="B387" s="36"/>
      <c r="C387"/>
      <c r="D387" s="164" t="s">
        <v>423</v>
      </c>
      <c r="E387"/>
      <c r="F387"/>
      <c r="G387"/>
      <c r="H387"/>
      <c r="I387"/>
      <c r="J387" s="112"/>
      <c r="K387" s="112"/>
      <c r="L387" s="7"/>
      <c r="M387" s="7"/>
      <c r="N387" s="7"/>
      <c r="O387" s="7"/>
      <c r="P387" s="7"/>
      <c r="Q387" s="81"/>
      <c r="R387" s="81"/>
      <c r="S387" s="81"/>
      <c r="T387" s="81"/>
      <c r="U387" s="81"/>
      <c r="V387" s="81">
        <v>151.30600000000001</v>
      </c>
      <c r="W387" s="81">
        <v>85.126999999999995</v>
      </c>
      <c r="X387" s="81">
        <v>98.215999999999994</v>
      </c>
      <c r="Y387" s="81">
        <v>77.144999999999996</v>
      </c>
      <c r="Z387" s="81">
        <v>81.099999999999994</v>
      </c>
      <c r="AA387" s="81">
        <v>73.268000000000001</v>
      </c>
      <c r="AB387" s="81">
        <v>78.959999999999994</v>
      </c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/>
    </row>
    <row r="388" spans="1:45" s="3" customFormat="1">
      <c r="A388" s="125"/>
      <c r="B388" s="36"/>
      <c r="C388"/>
      <c r="D388" s="164" t="s">
        <v>424</v>
      </c>
      <c r="E388"/>
      <c r="F388"/>
      <c r="G388"/>
      <c r="H388"/>
      <c r="I388"/>
      <c r="J388" s="112"/>
      <c r="K388" s="112"/>
      <c r="L388" s="7"/>
      <c r="M388" s="7"/>
      <c r="N388" s="7"/>
      <c r="O388" s="7"/>
      <c r="P388" s="7"/>
      <c r="Q388" s="81"/>
      <c r="R388" s="81"/>
      <c r="S388" s="81"/>
      <c r="T388" s="81"/>
      <c r="U388" s="81"/>
      <c r="V388" s="81">
        <v>1390.8019999999999</v>
      </c>
      <c r="W388" s="81">
        <v>1650.1679999999999</v>
      </c>
      <c r="X388" s="81">
        <v>1934.73</v>
      </c>
      <c r="Y388" s="81">
        <v>2081.7849999999999</v>
      </c>
      <c r="Z388" s="81">
        <v>2211.9290000000001</v>
      </c>
      <c r="AA388" s="81">
        <v>2165.4050000000002</v>
      </c>
      <c r="AB388" s="81">
        <v>2198.1819999999998</v>
      </c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/>
    </row>
    <row r="389" spans="1:45" s="3" customFormat="1">
      <c r="A389" s="125"/>
      <c r="B389" s="36"/>
      <c r="C389"/>
      <c r="D389" s="164" t="s">
        <v>425</v>
      </c>
      <c r="E389"/>
      <c r="F389"/>
      <c r="G389"/>
      <c r="H389"/>
      <c r="I389"/>
      <c r="J389" s="112"/>
      <c r="K389" s="112"/>
      <c r="L389" s="7"/>
      <c r="M389" s="7"/>
      <c r="N389" s="7"/>
      <c r="O389" s="7"/>
      <c r="P389" s="7"/>
      <c r="Q389" s="81"/>
      <c r="R389" s="81"/>
      <c r="S389" s="81"/>
      <c r="T389" s="81"/>
      <c r="U389" s="81"/>
      <c r="V389" s="81">
        <v>146.13999999999999</v>
      </c>
      <c r="W389" s="81">
        <v>174.495</v>
      </c>
      <c r="X389" s="81">
        <v>193.97200000000001</v>
      </c>
      <c r="Y389" s="81">
        <v>215.114</v>
      </c>
      <c r="Z389" s="81">
        <v>247.12100000000001</v>
      </c>
      <c r="AA389" s="81">
        <v>278.78100000000001</v>
      </c>
      <c r="AB389" s="81">
        <v>291.12900000000002</v>
      </c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/>
    </row>
    <row r="390" spans="1:45" s="3" customFormat="1">
      <c r="A390" s="125"/>
      <c r="B390" s="36"/>
      <c r="C390"/>
      <c r="D390" s="164" t="s">
        <v>426</v>
      </c>
      <c r="E390"/>
      <c r="F390"/>
      <c r="G390"/>
      <c r="H390"/>
      <c r="I390"/>
      <c r="J390" s="112"/>
      <c r="K390" s="112"/>
      <c r="L390" s="7"/>
      <c r="M390" s="7"/>
      <c r="N390" s="7"/>
      <c r="O390" s="7"/>
      <c r="P390" s="7"/>
      <c r="Q390" s="81"/>
      <c r="R390" s="81"/>
      <c r="S390" s="81"/>
      <c r="T390" s="81"/>
      <c r="U390" s="81"/>
      <c r="V390" s="81">
        <v>389.65</v>
      </c>
      <c r="W390" s="81">
        <v>443.05</v>
      </c>
      <c r="X390" s="81">
        <v>525.17700000000002</v>
      </c>
      <c r="Y390" s="81">
        <v>600.73900000000003</v>
      </c>
      <c r="Z390" s="81">
        <v>671.16600000000005</v>
      </c>
      <c r="AA390" s="81">
        <v>715.50699999999995</v>
      </c>
      <c r="AB390" s="81">
        <v>750.27800000000002</v>
      </c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/>
    </row>
    <row r="391" spans="1:45" s="3" customFormat="1">
      <c r="A391" s="125"/>
      <c r="B391" s="36"/>
      <c r="C391"/>
      <c r="D391" s="164" t="s">
        <v>427</v>
      </c>
      <c r="E391"/>
      <c r="F391"/>
      <c r="G391"/>
      <c r="H391"/>
      <c r="I391"/>
      <c r="J391" s="112"/>
      <c r="K391" s="112"/>
      <c r="L391" s="7"/>
      <c r="M391" s="7"/>
      <c r="N391" s="7"/>
      <c r="O391" s="7"/>
      <c r="P391" s="7"/>
      <c r="Q391" s="81"/>
      <c r="R391" s="81"/>
      <c r="S391" s="81"/>
      <c r="T391" s="81"/>
      <c r="U391" s="81"/>
      <c r="V391" s="81">
        <v>209.05799999999999</v>
      </c>
      <c r="W391" s="81">
        <v>224.10900000000001</v>
      </c>
      <c r="X391" s="81">
        <v>179.89099999999999</v>
      </c>
      <c r="Y391" s="81">
        <v>134.35400000000001</v>
      </c>
      <c r="Z391" s="81">
        <v>125.01</v>
      </c>
      <c r="AA391" s="81">
        <v>171.23599999999999</v>
      </c>
      <c r="AB391" s="81">
        <v>155.91499999999999</v>
      </c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/>
    </row>
    <row r="392" spans="1:45" s="3" customFormat="1">
      <c r="A392" s="125"/>
      <c r="B392" s="36"/>
      <c r="C392"/>
      <c r="D392" s="164" t="s">
        <v>428</v>
      </c>
      <c r="E392"/>
      <c r="F392"/>
      <c r="G392"/>
      <c r="H392"/>
      <c r="I392"/>
      <c r="J392" s="112"/>
      <c r="K392" s="112"/>
      <c r="L392" s="7"/>
      <c r="M392" s="7"/>
      <c r="N392" s="7"/>
      <c r="O392" s="7"/>
      <c r="P392" s="7"/>
      <c r="Q392" s="81"/>
      <c r="R392" s="81"/>
      <c r="S392" s="81"/>
      <c r="T392" s="81"/>
      <c r="U392" s="81"/>
      <c r="V392" s="81">
        <v>0</v>
      </c>
      <c r="W392" s="81">
        <v>0</v>
      </c>
      <c r="X392" s="81">
        <v>0</v>
      </c>
      <c r="Y392" s="81">
        <v>0</v>
      </c>
      <c r="Z392" s="81">
        <v>0</v>
      </c>
      <c r="AA392" s="81">
        <v>84.433999999999997</v>
      </c>
      <c r="AB392" s="81">
        <v>127.142</v>
      </c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/>
    </row>
    <row r="393" spans="1:45" s="3" customFormat="1">
      <c r="A393" s="125"/>
      <c r="B393" s="163"/>
      <c r="D393" s="215" t="s">
        <v>429</v>
      </c>
      <c r="E393" s="2"/>
      <c r="F393" s="2"/>
      <c r="G393" s="2"/>
      <c r="H393" s="2"/>
      <c r="I393" s="2"/>
      <c r="J393" s="113"/>
      <c r="K393" s="113"/>
      <c r="L393" s="195"/>
      <c r="M393" s="195"/>
      <c r="N393" s="195"/>
      <c r="O393" s="195"/>
      <c r="P393" s="195"/>
      <c r="Q393" s="195">
        <f t="shared" ref="Q393:AA393" si="547">SUM(Q386:Q392)</f>
        <v>0</v>
      </c>
      <c r="R393" s="195">
        <f t="shared" si="547"/>
        <v>0</v>
      </c>
      <c r="S393" s="195">
        <f t="shared" si="547"/>
        <v>0</v>
      </c>
      <c r="T393" s="195">
        <f t="shared" si="547"/>
        <v>0</v>
      </c>
      <c r="U393" s="195">
        <f t="shared" si="547"/>
        <v>0</v>
      </c>
      <c r="V393" s="195">
        <f t="shared" si="547"/>
        <v>2685.2440000000001</v>
      </c>
      <c r="W393" s="195">
        <f t="shared" si="547"/>
        <v>3087.0169999999998</v>
      </c>
      <c r="X393" s="195">
        <f t="shared" si="547"/>
        <v>3559.7700000000004</v>
      </c>
      <c r="Y393" s="195">
        <f>SUM(Y386:Y392)</f>
        <v>3831.31</v>
      </c>
      <c r="Z393" s="195">
        <f t="shared" si="547"/>
        <v>4125.451</v>
      </c>
      <c r="AA393" s="195">
        <f t="shared" si="547"/>
        <v>4336.0220000000008</v>
      </c>
      <c r="AB393" s="195">
        <f>SUM(AB386:AB392)</f>
        <v>4469.8269999999993</v>
      </c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/>
    </row>
    <row r="394" spans="1:45" s="3" customFormat="1">
      <c r="A394" s="125"/>
      <c r="B394" s="36"/>
      <c r="C394"/>
      <c r="D394" s="164" t="s">
        <v>430</v>
      </c>
      <c r="E394"/>
      <c r="F394"/>
      <c r="G394"/>
      <c r="H394"/>
      <c r="I394"/>
      <c r="J394" s="112"/>
      <c r="K394" s="112"/>
      <c r="L394" s="7"/>
      <c r="M394" s="7"/>
      <c r="N394" s="7"/>
      <c r="O394" s="7"/>
      <c r="P394" s="7"/>
      <c r="Q394" s="81"/>
      <c r="R394" s="81"/>
      <c r="S394" s="81"/>
      <c r="T394" s="81"/>
      <c r="U394" s="81"/>
      <c r="V394" s="81">
        <v>-822.70600000000002</v>
      </c>
      <c r="W394" s="81">
        <v>-925.31899999999996</v>
      </c>
      <c r="X394" s="81">
        <v>-1041.377</v>
      </c>
      <c r="Y394" s="81">
        <v>-1164.249</v>
      </c>
      <c r="Z394" s="81">
        <v>-1297.393</v>
      </c>
      <c r="AA394" s="81">
        <v>-1266.92</v>
      </c>
      <c r="AB394" s="81">
        <v>-1414.2639999999999</v>
      </c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/>
    </row>
    <row r="395" spans="1:45" s="3" customFormat="1">
      <c r="A395" s="125"/>
      <c r="B395" s="163"/>
      <c r="D395" s="215" t="s">
        <v>431</v>
      </c>
      <c r="E395" s="2"/>
      <c r="F395" s="2"/>
      <c r="G395" s="2"/>
      <c r="H395" s="2"/>
      <c r="I395" s="2"/>
      <c r="J395" s="113"/>
      <c r="K395" s="113"/>
      <c r="L395" s="195"/>
      <c r="M395" s="195"/>
      <c r="N395" s="195"/>
      <c r="O395" s="195"/>
      <c r="P395" s="195"/>
      <c r="Q395" s="195">
        <f t="shared" ref="Q395:AA395" si="548">+Q394+Q393</f>
        <v>0</v>
      </c>
      <c r="R395" s="195">
        <f t="shared" si="548"/>
        <v>0</v>
      </c>
      <c r="S395" s="195">
        <f t="shared" si="548"/>
        <v>0</v>
      </c>
      <c r="T395" s="195">
        <f t="shared" si="548"/>
        <v>0</v>
      </c>
      <c r="U395" s="195">
        <f t="shared" si="548"/>
        <v>0</v>
      </c>
      <c r="V395" s="195">
        <f t="shared" si="548"/>
        <v>1862.538</v>
      </c>
      <c r="W395" s="195">
        <f t="shared" si="548"/>
        <v>2161.6979999999999</v>
      </c>
      <c r="X395" s="195">
        <f t="shared" si="548"/>
        <v>2518.3930000000005</v>
      </c>
      <c r="Y395" s="195">
        <f>+Y394+Y393</f>
        <v>2667.0609999999997</v>
      </c>
      <c r="Z395" s="195">
        <f t="shared" si="548"/>
        <v>2828.058</v>
      </c>
      <c r="AA395" s="195">
        <f t="shared" si="548"/>
        <v>3069.1020000000008</v>
      </c>
      <c r="AB395" s="195">
        <f>+AB394+AB393</f>
        <v>3055.5629999999992</v>
      </c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/>
    </row>
    <row r="396" spans="1:45"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P396" s="1"/>
    </row>
    <row r="397" spans="1:45">
      <c r="D397" t="s">
        <v>412</v>
      </c>
      <c r="L397" s="190"/>
      <c r="M397" s="7"/>
      <c r="N397" s="7"/>
      <c r="O397" s="7">
        <f t="shared" ref="O397:AA397" si="549">+N401</f>
        <v>0</v>
      </c>
      <c r="P397" s="7">
        <f t="shared" si="549"/>
        <v>862.49699999999996</v>
      </c>
      <c r="Q397" s="7">
        <f t="shared" si="549"/>
        <v>938.25900000000001</v>
      </c>
      <c r="R397" s="7">
        <f t="shared" si="549"/>
        <v>893.45299999999997</v>
      </c>
      <c r="S397" s="7">
        <f t="shared" si="549"/>
        <v>1175.317</v>
      </c>
      <c r="T397" s="7">
        <f t="shared" si="549"/>
        <v>1278.722</v>
      </c>
      <c r="U397" s="7">
        <f t="shared" si="549"/>
        <v>1428.97</v>
      </c>
      <c r="V397" s="7">
        <f t="shared" si="549"/>
        <v>1652.9770000000001</v>
      </c>
      <c r="W397" s="7">
        <f t="shared" si="549"/>
        <v>1862.538</v>
      </c>
      <c r="X397" s="7">
        <f t="shared" si="549"/>
        <v>2161.6979999999999</v>
      </c>
      <c r="Y397" s="7">
        <f t="shared" si="549"/>
        <v>2518.393</v>
      </c>
      <c r="Z397" s="7">
        <f t="shared" si="549"/>
        <v>2667.0610000000001</v>
      </c>
      <c r="AA397" s="7">
        <f t="shared" si="549"/>
        <v>2828.058</v>
      </c>
      <c r="AB397" s="7">
        <f>+AA401</f>
        <v>3069.1019999999999</v>
      </c>
      <c r="AC397" s="7">
        <f t="shared" ref="AC397:AM397" si="550">+AB401</f>
        <v>3055.5630000000001</v>
      </c>
      <c r="AD397" s="7">
        <f t="shared" ca="1" si="550"/>
        <v>3287.9706043910619</v>
      </c>
      <c r="AE397" s="7">
        <f t="shared" ca="1" si="550"/>
        <v>3525.6421282046667</v>
      </c>
      <c r="AF397" s="7">
        <f t="shared" ca="1" si="550"/>
        <v>3804.4743230820113</v>
      </c>
      <c r="AG397" s="7">
        <f t="shared" ca="1" si="550"/>
        <v>4094.8980768694446</v>
      </c>
      <c r="AH397" s="7">
        <f t="shared" ca="1" si="550"/>
        <v>4393.0323269405144</v>
      </c>
      <c r="AI397" s="7">
        <f t="shared" ca="1" si="550"/>
        <v>4701.7926586543081</v>
      </c>
      <c r="AJ397" s="7">
        <f t="shared" ca="1" si="550"/>
        <v>5020.2877357658945</v>
      </c>
      <c r="AK397" s="7">
        <f t="shared" ca="1" si="550"/>
        <v>5348.843239955645</v>
      </c>
      <c r="AL397" s="7">
        <f t="shared" ca="1" si="550"/>
        <v>5685.9145763945035</v>
      </c>
      <c r="AM397" s="7">
        <f t="shared" ca="1" si="550"/>
        <v>6031.6680935306567</v>
      </c>
      <c r="AP397" s="1"/>
    </row>
    <row r="398" spans="1:45">
      <c r="D398" s="71" t="s">
        <v>293</v>
      </c>
      <c r="L398" s="93"/>
      <c r="M398" s="93"/>
      <c r="N398" s="93"/>
      <c r="O398" s="93">
        <f t="shared" ref="O398:AB398" si="551">-(+O253+O254)</f>
        <v>252.017</v>
      </c>
      <c r="P398" s="93">
        <f t="shared" si="551"/>
        <v>151.35899999999998</v>
      </c>
      <c r="Q398" s="93">
        <f t="shared" si="551"/>
        <v>21.772000000000002</v>
      </c>
      <c r="R398" s="93">
        <f t="shared" si="551"/>
        <v>76.572000000000003</v>
      </c>
      <c r="S398" s="93">
        <f t="shared" si="551"/>
        <v>172.608</v>
      </c>
      <c r="T398" s="93">
        <f t="shared" si="551"/>
        <v>235.70699999999999</v>
      </c>
      <c r="U398" s="93">
        <f t="shared" si="551"/>
        <v>305.22199999999998</v>
      </c>
      <c r="V398" s="93">
        <f t="shared" si="551"/>
        <v>303.94799999999998</v>
      </c>
      <c r="W398" s="93">
        <f t="shared" si="551"/>
        <v>314.04200000000003</v>
      </c>
      <c r="X398" s="93">
        <f t="shared" si="551"/>
        <v>416.91500000000002</v>
      </c>
      <c r="Y398" s="93">
        <f t="shared" si="551"/>
        <v>296.71899999999999</v>
      </c>
      <c r="Z398" s="93">
        <f t="shared" si="551"/>
        <v>303.94400000000002</v>
      </c>
      <c r="AA398" s="93">
        <f t="shared" si="551"/>
        <v>331.89300000000003</v>
      </c>
      <c r="AB398" s="93">
        <f t="shared" si="551"/>
        <v>132.779</v>
      </c>
      <c r="AC398" s="70">
        <f ca="1">+AC401-AC399-AC397-AC400</f>
        <v>357.52424343194411</v>
      </c>
      <c r="AD398" s="70">
        <f t="shared" ref="AD398:AM398" ca="1" si="552">+AD401-AD399-AD397-AD400</f>
        <v>377.07053234203465</v>
      </c>
      <c r="AE398" s="70">
        <f t="shared" ca="1" si="552"/>
        <v>427.32800111489212</v>
      </c>
      <c r="AF398" s="70">
        <f t="shared" ca="1" si="552"/>
        <v>454.0257423297021</v>
      </c>
      <c r="AG398" s="70">
        <f t="shared" ca="1" si="552"/>
        <v>477.94261659208928</v>
      </c>
      <c r="AH398" s="70">
        <f t="shared" ca="1" si="552"/>
        <v>504.86566844431434</v>
      </c>
      <c r="AI398" s="70">
        <f t="shared" ca="1" si="552"/>
        <v>531.57247800630159</v>
      </c>
      <c r="AJ398" s="70">
        <f t="shared" ca="1" si="552"/>
        <v>559.07449035035359</v>
      </c>
      <c r="AK398" s="70">
        <f t="shared" ca="1" si="552"/>
        <v>585.68856083476931</v>
      </c>
      <c r="AL398" s="70">
        <f t="shared" ca="1" si="552"/>
        <v>612.82282907639615</v>
      </c>
      <c r="AM398" s="70">
        <f t="shared" ca="1" si="552"/>
        <v>667.93020704285948</v>
      </c>
      <c r="AP398" s="1"/>
    </row>
    <row r="399" spans="1:45">
      <c r="D399" s="71" t="s">
        <v>7</v>
      </c>
      <c r="L399" s="93"/>
      <c r="M399" s="190"/>
      <c r="N399" s="190"/>
      <c r="O399" s="190">
        <f>+O14</f>
        <v>-46.615000000000002</v>
      </c>
      <c r="P399" s="190">
        <f>+P14</f>
        <v>-54.741</v>
      </c>
      <c r="Q399" s="190">
        <f>+Q14</f>
        <v>-75.227999999999994</v>
      </c>
      <c r="R399" s="190">
        <f>+R14</f>
        <v>-76.320999999999998</v>
      </c>
      <c r="S399" s="190">
        <f>+S14</f>
        <v>-82.811999999999998</v>
      </c>
      <c r="T399" s="190">
        <v>-82.3</v>
      </c>
      <c r="U399" s="190">
        <v>-90.4</v>
      </c>
      <c r="V399" s="190">
        <v>-105.7</v>
      </c>
      <c r="W399" s="190">
        <v>-127</v>
      </c>
      <c r="X399" s="190">
        <v>-140.69999999999999</v>
      </c>
      <c r="Y399" s="190">
        <v>-158.6</v>
      </c>
      <c r="Z399" s="190">
        <v>-169.8</v>
      </c>
      <c r="AA399" s="190">
        <v>-190.6</v>
      </c>
      <c r="AB399" s="190">
        <v>-195.3</v>
      </c>
      <c r="AC399" s="93">
        <f>-AC397/AC405</f>
        <v>-197.13309677419355</v>
      </c>
      <c r="AD399" s="93">
        <f t="shared" ref="AD399:AM399" ca="1" si="553">-AD397/AD405</f>
        <v>-213.19310127353296</v>
      </c>
      <c r="AE399" s="93">
        <f t="shared" ca="1" si="553"/>
        <v>-229.75256429364634</v>
      </c>
      <c r="AF399" s="93">
        <f t="shared" ca="1" si="553"/>
        <v>-249.16883229599344</v>
      </c>
      <c r="AG399" s="93">
        <f t="shared" ca="1" si="553"/>
        <v>-269.53742519155867</v>
      </c>
      <c r="AH399" s="93">
        <f t="shared" ca="1" si="553"/>
        <v>-290.61451198016192</v>
      </c>
      <c r="AI399" s="93">
        <f t="shared" ca="1" si="553"/>
        <v>-312.60310749105867</v>
      </c>
      <c r="AJ399" s="93">
        <f t="shared" ca="1" si="553"/>
        <v>-335.45583143147923</v>
      </c>
      <c r="AK399" s="93">
        <f t="shared" ca="1" si="553"/>
        <v>-359.20595340003865</v>
      </c>
      <c r="AL399" s="93">
        <f t="shared" ca="1" si="553"/>
        <v>-383.76106067331477</v>
      </c>
      <c r="AM399" s="93">
        <f t="shared" ca="1" si="553"/>
        <v>-409.14281589179438</v>
      </c>
      <c r="AP399" s="1"/>
    </row>
    <row r="400" spans="1:45">
      <c r="D400" s="71" t="s">
        <v>130</v>
      </c>
      <c r="L400" s="93"/>
      <c r="M400" s="93"/>
      <c r="N400" s="93"/>
      <c r="O400" s="93">
        <f t="shared" ref="O400:AA400" si="554">+O401-SUM(O397:O399)</f>
        <v>657.09500000000003</v>
      </c>
      <c r="P400" s="93">
        <f t="shared" si="554"/>
        <v>-20.855999999999995</v>
      </c>
      <c r="Q400" s="93">
        <f t="shared" si="554"/>
        <v>8.6499999999998636</v>
      </c>
      <c r="R400" s="93">
        <f t="shared" si="554"/>
        <v>281.61300000000006</v>
      </c>
      <c r="S400" s="93">
        <f t="shared" si="554"/>
        <v>13.608999999999924</v>
      </c>
      <c r="T400" s="93">
        <f t="shared" si="554"/>
        <v>-3.1590000000001055</v>
      </c>
      <c r="U400" s="93">
        <f t="shared" si="554"/>
        <v>9.1850000000001728</v>
      </c>
      <c r="V400" s="93">
        <f t="shared" si="554"/>
        <v>11.312999999999874</v>
      </c>
      <c r="W400" s="93">
        <f t="shared" si="554"/>
        <v>112.11799999999994</v>
      </c>
      <c r="X400" s="93">
        <f t="shared" si="554"/>
        <v>80.480000000000018</v>
      </c>
      <c r="Y400" s="93">
        <f t="shared" si="554"/>
        <v>10.548999999999978</v>
      </c>
      <c r="Z400" s="93">
        <f t="shared" si="554"/>
        <v>26.853000000000065</v>
      </c>
      <c r="AA400" s="93">
        <f t="shared" si="554"/>
        <v>99.750999999999749</v>
      </c>
      <c r="AB400" s="93">
        <f>+AB401-SUM(AB397:AB399)</f>
        <v>48.982000000000426</v>
      </c>
      <c r="AC400" s="70">
        <f t="shared" ref="AC400:AM400" ca="1" si="555">AC363</f>
        <v>72.016457733311427</v>
      </c>
      <c r="AD400" s="70">
        <f t="shared" ca="1" si="555"/>
        <v>73.794092745103285</v>
      </c>
      <c r="AE400" s="70">
        <f t="shared" ca="1" si="555"/>
        <v>81.256758056098647</v>
      </c>
      <c r="AF400" s="70">
        <f t="shared" ca="1" si="555"/>
        <v>85.566843761387759</v>
      </c>
      <c r="AG400" s="70">
        <f t="shared" ca="1" si="555"/>
        <v>89.729058668567291</v>
      </c>
      <c r="AH400" s="70">
        <f t="shared" ca="1" si="555"/>
        <v>94.509175240320701</v>
      </c>
      <c r="AI400" s="70">
        <f t="shared" ca="1" si="555"/>
        <v>99.525706582963721</v>
      </c>
      <c r="AJ400" s="70">
        <f t="shared" ca="1" si="555"/>
        <v>104.9368452568807</v>
      </c>
      <c r="AK400" s="70">
        <f t="shared" ca="1" si="555"/>
        <v>110.58872899242306</v>
      </c>
      <c r="AL400" s="70">
        <f t="shared" ca="1" si="555"/>
        <v>116.69174872555732</v>
      </c>
      <c r="AM400" s="70">
        <f t="shared" ca="1" si="555"/>
        <v>128.03093511449299</v>
      </c>
      <c r="AP400" s="1"/>
    </row>
    <row r="401" spans="1:42" s="3" customFormat="1">
      <c r="A401" s="125"/>
      <c r="B401" s="163"/>
      <c r="D401" s="215" t="s">
        <v>411</v>
      </c>
      <c r="E401" s="2"/>
      <c r="F401" s="2"/>
      <c r="G401" s="2"/>
      <c r="H401" s="2"/>
      <c r="I401" s="2"/>
      <c r="J401" s="113"/>
      <c r="K401" s="113"/>
      <c r="L401" s="195"/>
      <c r="M401" s="195"/>
      <c r="N401" s="195"/>
      <c r="O401" s="195">
        <f t="shared" ref="O401:AB401" si="556">+O282</f>
        <v>862.49699999999996</v>
      </c>
      <c r="P401" s="195">
        <f t="shared" si="556"/>
        <v>938.25900000000001</v>
      </c>
      <c r="Q401" s="195">
        <f t="shared" si="556"/>
        <v>893.45299999999997</v>
      </c>
      <c r="R401" s="195">
        <f t="shared" si="556"/>
        <v>1175.317</v>
      </c>
      <c r="S401" s="195">
        <f t="shared" si="556"/>
        <v>1278.722</v>
      </c>
      <c r="T401" s="195">
        <f t="shared" si="556"/>
        <v>1428.97</v>
      </c>
      <c r="U401" s="195">
        <f t="shared" si="556"/>
        <v>1652.9770000000001</v>
      </c>
      <c r="V401" s="195">
        <f t="shared" si="556"/>
        <v>1862.538</v>
      </c>
      <c r="W401" s="195">
        <f t="shared" si="556"/>
        <v>2161.6979999999999</v>
      </c>
      <c r="X401" s="195">
        <f t="shared" si="556"/>
        <v>2518.393</v>
      </c>
      <c r="Y401" s="195">
        <f t="shared" si="556"/>
        <v>2667.0610000000001</v>
      </c>
      <c r="Z401" s="195">
        <f t="shared" si="556"/>
        <v>2828.058</v>
      </c>
      <c r="AA401" s="195">
        <f t="shared" si="556"/>
        <v>3069.1019999999999</v>
      </c>
      <c r="AB401" s="195">
        <f t="shared" si="556"/>
        <v>3055.5630000000001</v>
      </c>
      <c r="AC401" s="114">
        <f t="shared" ref="AC401:AM401" ca="1" si="557">+(AC37/1000*AC410)*AC403</f>
        <v>3287.9706043910619</v>
      </c>
      <c r="AD401" s="114">
        <f t="shared" ca="1" si="557"/>
        <v>3525.6421282046667</v>
      </c>
      <c r="AE401" s="114">
        <f t="shared" ca="1" si="557"/>
        <v>3804.4743230820113</v>
      </c>
      <c r="AF401" s="114">
        <f t="shared" ca="1" si="557"/>
        <v>4094.8980769503778</v>
      </c>
      <c r="AG401" s="114">
        <f t="shared" ca="1" si="557"/>
        <v>4393.0323270735353</v>
      </c>
      <c r="AH401" s="114">
        <f t="shared" ca="1" si="557"/>
        <v>4701.7926588056262</v>
      </c>
      <c r="AI401" s="114">
        <f t="shared" ca="1" si="557"/>
        <v>5020.2877359039385</v>
      </c>
      <c r="AJ401" s="114">
        <f t="shared" ca="1" si="557"/>
        <v>5348.8432400566517</v>
      </c>
      <c r="AK401" s="114">
        <f t="shared" ca="1" si="557"/>
        <v>5685.9145764456525</v>
      </c>
      <c r="AL401" s="114">
        <f t="shared" ca="1" si="557"/>
        <v>6031.6680935306567</v>
      </c>
      <c r="AM401" s="114">
        <f t="shared" ca="1" si="557"/>
        <v>6418.4864197962152</v>
      </c>
      <c r="AN401"/>
    </row>
    <row r="402" spans="1:42">
      <c r="D402" t="s">
        <v>413</v>
      </c>
      <c r="L402" s="228"/>
      <c r="M402" s="228"/>
      <c r="N402" s="228"/>
      <c r="O402" s="228">
        <f t="shared" ref="O402:AM402" si="558">+O401/O7</f>
        <v>0.10519025782374319</v>
      </c>
      <c r="P402" s="228">
        <f t="shared" si="558"/>
        <v>0.13453477868112013</v>
      </c>
      <c r="Q402" s="228">
        <f t="shared" si="558"/>
        <v>0.11960228641803432</v>
      </c>
      <c r="R402" s="228">
        <f t="shared" si="558"/>
        <v>0.13094724527881454</v>
      </c>
      <c r="S402" s="228">
        <f t="shared" si="558"/>
        <v>0.12782746038886386</v>
      </c>
      <c r="T402" s="228">
        <f t="shared" si="558"/>
        <v>0.13034598509518466</v>
      </c>
      <c r="U402" s="228">
        <f t="shared" si="558"/>
        <v>0.13145678089436391</v>
      </c>
      <c r="V402" s="228">
        <f t="shared" si="558"/>
        <v>0.1305331249518176</v>
      </c>
      <c r="W402" s="228">
        <f t="shared" si="558"/>
        <v>0.14268916216162694</v>
      </c>
      <c r="X402" s="228">
        <f t="shared" si="558"/>
        <v>0.15863693055835518</v>
      </c>
      <c r="Y402" s="228">
        <f t="shared" si="558"/>
        <v>0.1557835435126721</v>
      </c>
      <c r="Z402" s="228">
        <f t="shared" si="558"/>
        <v>0.15561780873929051</v>
      </c>
      <c r="AA402" s="228">
        <f t="shared" si="558"/>
        <v>0.15103848425196847</v>
      </c>
      <c r="AB402" s="228">
        <f t="shared" si="558"/>
        <v>0.1612468337062524</v>
      </c>
      <c r="AC402" s="228">
        <f t="shared" ca="1" si="558"/>
        <v>0.13945756875213219</v>
      </c>
      <c r="AD402" s="228">
        <f t="shared" ca="1" si="558"/>
        <v>0.138997981355369</v>
      </c>
      <c r="AE402" s="228">
        <f t="shared" ca="1" si="558"/>
        <v>0.13849366498543425</v>
      </c>
      <c r="AF402" s="228">
        <f t="shared" ca="1" si="558"/>
        <v>0.13746213707270505</v>
      </c>
      <c r="AG402" s="228">
        <f t="shared" ca="1" si="558"/>
        <v>0.13620521960934204</v>
      </c>
      <c r="AH402" s="228">
        <f t="shared" ca="1" si="558"/>
        <v>0.13478138860439123</v>
      </c>
      <c r="AI402" s="228">
        <f t="shared" ca="1" si="558"/>
        <v>0.13320516866749058</v>
      </c>
      <c r="AJ402" s="228">
        <f t="shared" ca="1" si="558"/>
        <v>0.13149989737327245</v>
      </c>
      <c r="AK402" s="228">
        <f t="shared" ca="1" si="558"/>
        <v>0.12967415093825191</v>
      </c>
      <c r="AL402" s="228">
        <f t="shared" ca="1" si="558"/>
        <v>0.12774758399977934</v>
      </c>
      <c r="AM402" s="228">
        <f t="shared" ca="1" si="558"/>
        <v>0.12579287774432024</v>
      </c>
      <c r="AP402" s="1"/>
    </row>
    <row r="403" spans="1:42">
      <c r="D403" t="s">
        <v>419</v>
      </c>
      <c r="L403" s="7"/>
      <c r="M403" s="7"/>
      <c r="N403" s="7"/>
      <c r="O403" s="7">
        <f t="shared" ref="O403:AB403" si="559">+O401/(O37/1000*O410)</f>
        <v>1998.0928867515663</v>
      </c>
      <c r="P403" s="7">
        <f t="shared" si="559"/>
        <v>1595.5632458538284</v>
      </c>
      <c r="Q403" s="7">
        <f t="shared" si="559"/>
        <v>1519.3680728858883</v>
      </c>
      <c r="R403" s="7">
        <f t="shared" si="559"/>
        <v>1778.4680285300835</v>
      </c>
      <c r="S403" s="7">
        <f t="shared" si="559"/>
        <v>1792.0775474452555</v>
      </c>
      <c r="T403" s="7">
        <f t="shared" si="559"/>
        <v>1677.7956218905474</v>
      </c>
      <c r="U403" s="7">
        <f t="shared" si="559"/>
        <v>1596.6258576131718</v>
      </c>
      <c r="V403" s="7">
        <f t="shared" si="559"/>
        <v>1540.4479786340432</v>
      </c>
      <c r="W403" s="7">
        <f t="shared" si="559"/>
        <v>1867.0880495924694</v>
      </c>
      <c r="X403" s="7">
        <f t="shared" si="559"/>
        <v>1880.0932059028826</v>
      </c>
      <c r="Y403" s="7">
        <f t="shared" si="559"/>
        <v>1796.4543234823609</v>
      </c>
      <c r="Z403" s="7">
        <f t="shared" si="559"/>
        <v>1701.705197634609</v>
      </c>
      <c r="AA403" s="7">
        <f t="shared" si="559"/>
        <v>1700.7653836385048</v>
      </c>
      <c r="AB403" s="7">
        <f t="shared" si="559"/>
        <v>1669.0163159051212</v>
      </c>
      <c r="AC403" s="81">
        <f>+AB403*1.015</f>
        <v>1694.0515606436979</v>
      </c>
      <c r="AD403" s="70">
        <f>(1+AD404)*AC403</f>
        <v>1710.9920762501349</v>
      </c>
      <c r="AE403" s="70">
        <f t="shared" ref="AE403:AM403" si="560">(1+AE404)*AD403</f>
        <v>1728.1019970126363</v>
      </c>
      <c r="AF403" s="70">
        <f t="shared" si="560"/>
        <v>1745.3830169827627</v>
      </c>
      <c r="AG403" s="70">
        <f t="shared" si="560"/>
        <v>1762.8368471525903</v>
      </c>
      <c r="AH403" s="70">
        <f t="shared" si="560"/>
        <v>1780.4652156241161</v>
      </c>
      <c r="AI403" s="70">
        <f t="shared" si="560"/>
        <v>1798.2698677803573</v>
      </c>
      <c r="AJ403" s="70">
        <f t="shared" si="560"/>
        <v>1816.252566458161</v>
      </c>
      <c r="AK403" s="70">
        <f t="shared" si="560"/>
        <v>1834.4150921227426</v>
      </c>
      <c r="AL403" s="70">
        <f t="shared" si="560"/>
        <v>1852.7592430439702</v>
      </c>
      <c r="AM403" s="70">
        <f t="shared" si="560"/>
        <v>1871.2868354744098</v>
      </c>
      <c r="AP403" s="1"/>
    </row>
    <row r="404" spans="1:42" s="3" customFormat="1">
      <c r="A404" s="125"/>
      <c r="B404" s="36"/>
      <c r="C404"/>
      <c r="D404" s="71" t="s">
        <v>420</v>
      </c>
      <c r="E404"/>
      <c r="F404"/>
      <c r="G404"/>
      <c r="H404"/>
      <c r="I404"/>
      <c r="J404" s="112"/>
      <c r="K404" s="112"/>
      <c r="L404" s="112"/>
      <c r="M404" s="112"/>
      <c r="N404" s="112"/>
      <c r="O404" s="52"/>
      <c r="P404" s="217">
        <f t="shared" ref="P404:AA404" si="561">+P403/O403-1</f>
        <v>-0.2014569210304118</v>
      </c>
      <c r="Q404" s="217">
        <f t="shared" si="561"/>
        <v>-4.7754404700620978E-2</v>
      </c>
      <c r="R404" s="217">
        <f t="shared" si="561"/>
        <v>0.17053139411575269</v>
      </c>
      <c r="S404" s="217">
        <f t="shared" si="561"/>
        <v>7.6523832291888194E-3</v>
      </c>
      <c r="T404" s="217">
        <f t="shared" si="561"/>
        <v>-6.3770636330791497E-2</v>
      </c>
      <c r="U404" s="217">
        <f t="shared" si="561"/>
        <v>-4.8378815165766809E-2</v>
      </c>
      <c r="V404" s="217">
        <f t="shared" si="561"/>
        <v>-3.5185374651961365E-2</v>
      </c>
      <c r="W404" s="217">
        <f t="shared" si="561"/>
        <v>0.2120422601015497</v>
      </c>
      <c r="X404" s="217">
        <f t="shared" si="561"/>
        <v>6.9654756310244537E-3</v>
      </c>
      <c r="Y404" s="217">
        <f t="shared" si="561"/>
        <v>-4.4486561707644423E-2</v>
      </c>
      <c r="Z404" s="217">
        <f t="shared" si="561"/>
        <v>-5.2742296093609697E-2</v>
      </c>
      <c r="AA404" s="217">
        <f t="shared" si="561"/>
        <v>-5.522777960663694E-4</v>
      </c>
      <c r="AB404" s="217">
        <f>+AB403/AA403-1</f>
        <v>-1.8667517600494454E-2</v>
      </c>
      <c r="AC404" s="217">
        <f>+AC403/AB403-1</f>
        <v>1.4999999999999902E-2</v>
      </c>
      <c r="AD404" s="52">
        <v>0.01</v>
      </c>
      <c r="AE404" s="52">
        <v>0.01</v>
      </c>
      <c r="AF404" s="52">
        <v>0.01</v>
      </c>
      <c r="AG404" s="52">
        <v>0.01</v>
      </c>
      <c r="AH404" s="52">
        <v>0.01</v>
      </c>
      <c r="AI404" s="52">
        <v>0.01</v>
      </c>
      <c r="AJ404" s="52">
        <v>0.01</v>
      </c>
      <c r="AK404" s="52">
        <v>0.01</v>
      </c>
      <c r="AL404" s="52">
        <v>0.01</v>
      </c>
      <c r="AM404" s="52">
        <v>0.01</v>
      </c>
      <c r="AN404"/>
    </row>
    <row r="405" spans="1:42" s="3" customFormat="1">
      <c r="A405" s="125"/>
      <c r="B405" s="36"/>
      <c r="C405"/>
      <c r="D405" s="68" t="s">
        <v>421</v>
      </c>
      <c r="E405"/>
      <c r="F405"/>
      <c r="G405"/>
      <c r="H405"/>
      <c r="I405"/>
      <c r="J405" s="112"/>
      <c r="K405" s="112"/>
      <c r="L405" s="112"/>
      <c r="M405" s="112"/>
      <c r="N405" s="112"/>
      <c r="O405" s="52"/>
      <c r="P405" s="217"/>
      <c r="Q405" s="269">
        <f t="shared" ref="Q405:AA405" si="562">-Q397/Q399</f>
        <v>12.472204498325093</v>
      </c>
      <c r="R405" s="269">
        <f t="shared" si="562"/>
        <v>11.706515899948901</v>
      </c>
      <c r="S405" s="269">
        <f t="shared" si="562"/>
        <v>14.19259286093803</v>
      </c>
      <c r="T405" s="269">
        <f t="shared" si="562"/>
        <v>15.537326852976914</v>
      </c>
      <c r="U405" s="269">
        <f t="shared" si="562"/>
        <v>15.807190265486724</v>
      </c>
      <c r="V405" s="269">
        <f t="shared" si="562"/>
        <v>15.638382213812678</v>
      </c>
      <c r="W405" s="269">
        <f t="shared" si="562"/>
        <v>14.665653543307087</v>
      </c>
      <c r="X405" s="269">
        <f t="shared" si="562"/>
        <v>15.363880597014926</v>
      </c>
      <c r="Y405" s="269">
        <f t="shared" si="562"/>
        <v>15.878896595208071</v>
      </c>
      <c r="Z405" s="269">
        <f t="shared" si="562"/>
        <v>15.707073027090695</v>
      </c>
      <c r="AA405" s="269">
        <f t="shared" si="562"/>
        <v>14.837660020986359</v>
      </c>
      <c r="AB405" s="269">
        <f>-AB397/AB399</f>
        <v>15.714807987711211</v>
      </c>
      <c r="AC405" s="110">
        <v>15.5</v>
      </c>
      <c r="AD405" s="110">
        <f>+AC405*0.995</f>
        <v>15.422499999999999</v>
      </c>
      <c r="AE405" s="110">
        <f t="shared" ref="AE405:AM405" si="563">+AD405*0.995</f>
        <v>15.345387499999999</v>
      </c>
      <c r="AF405" s="110">
        <f t="shared" si="563"/>
        <v>15.268660562499999</v>
      </c>
      <c r="AG405" s="110">
        <f t="shared" si="563"/>
        <v>15.192317259687499</v>
      </c>
      <c r="AH405" s="110">
        <f t="shared" si="563"/>
        <v>15.116355673389062</v>
      </c>
      <c r="AI405" s="110">
        <f t="shared" si="563"/>
        <v>15.040773895022117</v>
      </c>
      <c r="AJ405" s="110">
        <f t="shared" si="563"/>
        <v>14.965570025547006</v>
      </c>
      <c r="AK405" s="110">
        <f t="shared" si="563"/>
        <v>14.890742175419271</v>
      </c>
      <c r="AL405" s="110">
        <f t="shared" si="563"/>
        <v>14.816288464542176</v>
      </c>
      <c r="AM405" s="110">
        <f t="shared" si="563"/>
        <v>14.742207022219464</v>
      </c>
      <c r="AN405"/>
    </row>
    <row r="406" spans="1:42" s="3" customFormat="1">
      <c r="A406" s="125"/>
      <c r="B406" s="36"/>
      <c r="C406"/>
      <c r="D406" s="68"/>
      <c r="E406"/>
      <c r="F406"/>
      <c r="G406"/>
      <c r="H406"/>
      <c r="I406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52"/>
      <c r="AM406" s="52"/>
      <c r="AN406"/>
    </row>
    <row r="407" spans="1:42" s="3" customFormat="1">
      <c r="A407" s="125"/>
      <c r="B407" s="36"/>
      <c r="C407"/>
      <c r="D407" s="68" t="s">
        <v>417</v>
      </c>
      <c r="E407"/>
      <c r="F407"/>
      <c r="G407"/>
      <c r="H407"/>
      <c r="I407"/>
      <c r="J407" s="112"/>
      <c r="K407" s="112"/>
      <c r="L407" s="92">
        <f t="shared" ref="L407:Z407" si="564">+L409-L408</f>
        <v>2</v>
      </c>
      <c r="M407" s="92">
        <f t="shared" si="564"/>
        <v>4</v>
      </c>
      <c r="N407" s="92">
        <f>+N409-N408</f>
        <v>16</v>
      </c>
      <c r="O407" s="92">
        <f t="shared" si="564"/>
        <v>29</v>
      </c>
      <c r="P407" s="92">
        <f t="shared" si="564"/>
        <v>41</v>
      </c>
      <c r="Q407" s="92">
        <f t="shared" si="564"/>
        <v>41</v>
      </c>
      <c r="R407" s="92">
        <f t="shared" si="564"/>
        <v>46</v>
      </c>
      <c r="S407" s="92">
        <f t="shared" si="564"/>
        <v>50</v>
      </c>
      <c r="T407" s="92">
        <f t="shared" si="564"/>
        <v>60</v>
      </c>
      <c r="U407" s="92">
        <f t="shared" si="564"/>
        <v>74</v>
      </c>
      <c r="V407" s="92">
        <f t="shared" si="564"/>
        <v>87</v>
      </c>
      <c r="W407" s="92">
        <f t="shared" si="564"/>
        <v>84</v>
      </c>
      <c r="X407" s="92">
        <f t="shared" si="564"/>
        <v>99</v>
      </c>
      <c r="Y407" s="92">
        <f t="shared" si="564"/>
        <v>111</v>
      </c>
      <c r="Z407" s="92">
        <f t="shared" si="564"/>
        <v>126</v>
      </c>
      <c r="AA407" s="92">
        <f>+AA409-AA408</f>
        <v>138</v>
      </c>
      <c r="AB407" s="92">
        <f>+AB409-AB408</f>
        <v>141</v>
      </c>
      <c r="AC407" s="92">
        <f t="shared" ref="AC407:AM407" ca="1" si="565">+AC409-AC408</f>
        <v>149.96199915772758</v>
      </c>
      <c r="AD407" s="92">
        <f t="shared" ca="1" si="565"/>
        <v>159.72249600331551</v>
      </c>
      <c r="AE407" s="92">
        <f t="shared" ca="1" si="565"/>
        <v>171.19914297116739</v>
      </c>
      <c r="AF407" s="92">
        <f t="shared" ca="1" si="565"/>
        <v>183.03478081549196</v>
      </c>
      <c r="AG407" s="92">
        <f t="shared" ca="1" si="565"/>
        <v>195.04871078105685</v>
      </c>
      <c r="AH407" s="92">
        <f t="shared" ca="1" si="565"/>
        <v>207.36473742281174</v>
      </c>
      <c r="AI407" s="92">
        <f t="shared" ca="1" si="565"/>
        <v>219.93655041119706</v>
      </c>
      <c r="AJ407" s="92">
        <f t="shared" ca="1" si="565"/>
        <v>232.77197262819084</v>
      </c>
      <c r="AK407" s="92">
        <f t="shared" ca="1" si="565"/>
        <v>245.79771724950137</v>
      </c>
      <c r="AL407" s="92">
        <f t="shared" ca="1" si="565"/>
        <v>259.01586086667118</v>
      </c>
      <c r="AM407" s="92">
        <f t="shared" ca="1" si="565"/>
        <v>272.89788911698207</v>
      </c>
      <c r="AN407"/>
    </row>
    <row r="408" spans="1:42" s="3" customFormat="1">
      <c r="A408" s="125"/>
      <c r="B408" s="36"/>
      <c r="C408"/>
      <c r="D408" s="68" t="s">
        <v>415</v>
      </c>
      <c r="E408"/>
      <c r="F408"/>
      <c r="G408"/>
      <c r="H408"/>
      <c r="I408"/>
      <c r="J408" s="112"/>
      <c r="K408" s="112"/>
      <c r="L408" s="190">
        <v>56</v>
      </c>
      <c r="M408" s="190">
        <v>63</v>
      </c>
      <c r="N408" s="190">
        <v>61</v>
      </c>
      <c r="O408" s="190">
        <v>60</v>
      </c>
      <c r="P408" s="190">
        <v>59</v>
      </c>
      <c r="Q408" s="190">
        <v>59</v>
      </c>
      <c r="R408" s="190">
        <v>57</v>
      </c>
      <c r="S408" s="190">
        <v>58</v>
      </c>
      <c r="T408" s="190">
        <v>58</v>
      </c>
      <c r="U408" s="190">
        <v>57</v>
      </c>
      <c r="V408" s="190">
        <v>57</v>
      </c>
      <c r="W408" s="190">
        <v>74</v>
      </c>
      <c r="X408" s="190">
        <v>74</v>
      </c>
      <c r="Y408" s="190">
        <v>77</v>
      </c>
      <c r="Z408" s="190">
        <v>77</v>
      </c>
      <c r="AA408" s="190">
        <v>78</v>
      </c>
      <c r="AB408" s="190">
        <v>79</v>
      </c>
      <c r="AC408" s="190">
        <f>+AB408+1</f>
        <v>80</v>
      </c>
      <c r="AD408" s="190">
        <f t="shared" ref="AD408:AM408" si="566">+AC408+1</f>
        <v>81</v>
      </c>
      <c r="AE408" s="190">
        <f t="shared" si="566"/>
        <v>82</v>
      </c>
      <c r="AF408" s="190">
        <f t="shared" si="566"/>
        <v>83</v>
      </c>
      <c r="AG408" s="190">
        <f t="shared" si="566"/>
        <v>84</v>
      </c>
      <c r="AH408" s="190">
        <f t="shared" si="566"/>
        <v>85</v>
      </c>
      <c r="AI408" s="190">
        <f t="shared" si="566"/>
        <v>86</v>
      </c>
      <c r="AJ408" s="190">
        <f t="shared" si="566"/>
        <v>87</v>
      </c>
      <c r="AK408" s="190">
        <f t="shared" si="566"/>
        <v>88</v>
      </c>
      <c r="AL408" s="190">
        <f t="shared" si="566"/>
        <v>89</v>
      </c>
      <c r="AM408" s="190">
        <f t="shared" si="566"/>
        <v>90</v>
      </c>
      <c r="AN408"/>
    </row>
    <row r="409" spans="1:42" s="3" customFormat="1">
      <c r="A409" s="125"/>
      <c r="B409" s="163"/>
      <c r="D409" s="215" t="s">
        <v>416</v>
      </c>
      <c r="E409" s="2"/>
      <c r="F409" s="2"/>
      <c r="G409" s="2"/>
      <c r="H409" s="2"/>
      <c r="I409" s="2"/>
      <c r="J409" s="113"/>
      <c r="K409" s="113"/>
      <c r="L409" s="195">
        <f t="shared" ref="L409:AM409" si="567">+L76</f>
        <v>58</v>
      </c>
      <c r="M409" s="195">
        <f t="shared" si="567"/>
        <v>67</v>
      </c>
      <c r="N409" s="195">
        <f t="shared" si="567"/>
        <v>77</v>
      </c>
      <c r="O409" s="195">
        <f t="shared" si="567"/>
        <v>89</v>
      </c>
      <c r="P409" s="195">
        <f t="shared" si="567"/>
        <v>100</v>
      </c>
      <c r="Q409" s="195">
        <f t="shared" si="567"/>
        <v>100</v>
      </c>
      <c r="R409" s="195">
        <f t="shared" si="567"/>
        <v>103</v>
      </c>
      <c r="S409" s="195">
        <f t="shared" si="567"/>
        <v>108</v>
      </c>
      <c r="T409" s="195">
        <f t="shared" si="567"/>
        <v>118</v>
      </c>
      <c r="U409" s="195">
        <f t="shared" si="567"/>
        <v>131</v>
      </c>
      <c r="V409" s="195">
        <f t="shared" si="567"/>
        <v>144</v>
      </c>
      <c r="W409" s="195">
        <f t="shared" si="567"/>
        <v>158</v>
      </c>
      <c r="X409" s="195">
        <f t="shared" si="567"/>
        <v>173</v>
      </c>
      <c r="Y409" s="195">
        <f t="shared" si="567"/>
        <v>188</v>
      </c>
      <c r="Z409" s="195">
        <f t="shared" si="567"/>
        <v>203</v>
      </c>
      <c r="AA409" s="195">
        <f t="shared" si="567"/>
        <v>216</v>
      </c>
      <c r="AB409" s="195">
        <f t="shared" si="567"/>
        <v>220</v>
      </c>
      <c r="AC409" s="195">
        <f t="shared" ca="1" si="567"/>
        <v>229.96199915772758</v>
      </c>
      <c r="AD409" s="195">
        <f t="shared" ca="1" si="567"/>
        <v>240.72249600331551</v>
      </c>
      <c r="AE409" s="195">
        <f t="shared" ca="1" si="567"/>
        <v>253.19914297116739</v>
      </c>
      <c r="AF409" s="195">
        <f t="shared" ca="1" si="567"/>
        <v>266.03478081815575</v>
      </c>
      <c r="AG409" s="195">
        <f t="shared" ca="1" si="567"/>
        <v>279.04871078541396</v>
      </c>
      <c r="AH409" s="195">
        <f t="shared" ca="1" si="567"/>
        <v>292.36473742774371</v>
      </c>
      <c r="AI409" s="195">
        <f t="shared" ca="1" si="567"/>
        <v>305.93655041567382</v>
      </c>
      <c r="AJ409" s="195">
        <f t="shared" ca="1" si="567"/>
        <v>319.77197263144967</v>
      </c>
      <c r="AK409" s="195">
        <f t="shared" ca="1" si="567"/>
        <v>333.79771725114307</v>
      </c>
      <c r="AL409" s="195">
        <f t="shared" ca="1" si="567"/>
        <v>348.01586086667118</v>
      </c>
      <c r="AM409" s="195">
        <f t="shared" ca="1" si="567"/>
        <v>362.89788911698207</v>
      </c>
      <c r="AN409"/>
    </row>
    <row r="410" spans="1:42" s="3" customFormat="1">
      <c r="A410" s="125"/>
      <c r="B410" s="36"/>
      <c r="C410"/>
      <c r="D410" s="68" t="s">
        <v>418</v>
      </c>
      <c r="E410"/>
      <c r="F410"/>
      <c r="G410"/>
      <c r="H410"/>
      <c r="I410"/>
      <c r="J410" s="112"/>
      <c r="K410" s="112"/>
      <c r="L410" s="217">
        <f>+L407/L409</f>
        <v>3.4482758620689655E-2</v>
      </c>
      <c r="M410" s="217">
        <f>+M407/M409</f>
        <v>5.9701492537313432E-2</v>
      </c>
      <c r="N410" s="217">
        <f>+N407/N409</f>
        <v>0.20779220779220781</v>
      </c>
      <c r="O410" s="217">
        <f>+O407/O409</f>
        <v>0.3258426966292135</v>
      </c>
      <c r="P410" s="217">
        <f>+P407/P409</f>
        <v>0.41</v>
      </c>
      <c r="Q410" s="217">
        <f t="shared" ref="Q410:AB410" si="568">+Q407/Q409</f>
        <v>0.41</v>
      </c>
      <c r="R410" s="217">
        <f t="shared" si="568"/>
        <v>0.44660194174757284</v>
      </c>
      <c r="S410" s="217">
        <f t="shared" si="568"/>
        <v>0.46296296296296297</v>
      </c>
      <c r="T410" s="217">
        <f t="shared" si="568"/>
        <v>0.50847457627118642</v>
      </c>
      <c r="U410" s="217">
        <f t="shared" si="568"/>
        <v>0.56488549618320616</v>
      </c>
      <c r="V410" s="217">
        <f t="shared" si="568"/>
        <v>0.60416666666666663</v>
      </c>
      <c r="W410" s="217">
        <f t="shared" si="568"/>
        <v>0.53164556962025311</v>
      </c>
      <c r="X410" s="217">
        <f t="shared" si="568"/>
        <v>0.5722543352601156</v>
      </c>
      <c r="Y410" s="217">
        <f t="shared" si="568"/>
        <v>0.59042553191489366</v>
      </c>
      <c r="Z410" s="217">
        <f t="shared" si="568"/>
        <v>0.62068965517241381</v>
      </c>
      <c r="AA410" s="217">
        <f t="shared" si="568"/>
        <v>0.63888888888888884</v>
      </c>
      <c r="AB410" s="217">
        <f t="shared" si="568"/>
        <v>0.64090909090909087</v>
      </c>
      <c r="AC410" s="217">
        <f t="shared" ref="AC410:AM410" ca="1" si="569">+AC407/AC409</f>
        <v>0.65211643535448149</v>
      </c>
      <c r="AD410" s="217">
        <f t="shared" ca="1" si="569"/>
        <v>0.66351296058809406</v>
      </c>
      <c r="AE410" s="217">
        <f t="shared" ca="1" si="569"/>
        <v>0.6761442434687166</v>
      </c>
      <c r="AF410" s="217">
        <f t="shared" ca="1" si="569"/>
        <v>0.68801071894656796</v>
      </c>
      <c r="AG410" s="217">
        <f t="shared" ca="1" si="569"/>
        <v>0.69897728691191707</v>
      </c>
      <c r="AH410" s="217">
        <f t="shared" ca="1" si="569"/>
        <v>0.70926726405936957</v>
      </c>
      <c r="AI410" s="217">
        <f t="shared" ca="1" si="569"/>
        <v>0.71889596098397146</v>
      </c>
      <c r="AJ410" s="217">
        <f t="shared" ca="1" si="569"/>
        <v>0.72793112764910795</v>
      </c>
      <c r="AK410" s="217">
        <f t="shared" ca="1" si="569"/>
        <v>0.73636728038067389</v>
      </c>
      <c r="AL410" s="217">
        <f t="shared" ca="1" si="569"/>
        <v>0.74426452927070208</v>
      </c>
      <c r="AM410" s="217">
        <f t="shared" ca="1" si="569"/>
        <v>0.75199635297137812</v>
      </c>
      <c r="AN410"/>
    </row>
    <row r="411" spans="1:42" s="3" customFormat="1">
      <c r="A411" s="125"/>
      <c r="B411" s="36"/>
      <c r="C411"/>
      <c r="D411" s="68" t="s">
        <v>445</v>
      </c>
      <c r="E411"/>
      <c r="F411"/>
      <c r="G411"/>
      <c r="H411"/>
      <c r="I411"/>
      <c r="J411" s="112"/>
      <c r="K411" s="112"/>
      <c r="L411" s="112">
        <f t="shared" ref="L411:X411" si="570">1-L410</f>
        <v>0.96551724137931039</v>
      </c>
      <c r="M411" s="112">
        <f t="shared" si="570"/>
        <v>0.94029850746268662</v>
      </c>
      <c r="N411" s="112">
        <f t="shared" si="570"/>
        <v>0.79220779220779214</v>
      </c>
      <c r="O411" s="112">
        <f t="shared" si="570"/>
        <v>0.6741573033707865</v>
      </c>
      <c r="P411" s="112">
        <f t="shared" si="570"/>
        <v>0.59000000000000008</v>
      </c>
      <c r="Q411" s="112">
        <f t="shared" si="570"/>
        <v>0.59000000000000008</v>
      </c>
      <c r="R411" s="112">
        <f t="shared" si="570"/>
        <v>0.55339805825242716</v>
      </c>
      <c r="S411" s="112">
        <f t="shared" si="570"/>
        <v>0.53703703703703698</v>
      </c>
      <c r="T411" s="112">
        <f t="shared" si="570"/>
        <v>0.49152542372881358</v>
      </c>
      <c r="U411" s="112">
        <f t="shared" si="570"/>
        <v>0.43511450381679384</v>
      </c>
      <c r="V411" s="112">
        <f t="shared" si="570"/>
        <v>0.39583333333333337</v>
      </c>
      <c r="W411" s="112">
        <f t="shared" si="570"/>
        <v>0.46835443037974689</v>
      </c>
      <c r="X411" s="112">
        <f t="shared" si="570"/>
        <v>0.4277456647398844</v>
      </c>
      <c r="Y411" s="112">
        <f>1-Y410</f>
        <v>0.40957446808510634</v>
      </c>
      <c r="Z411" s="112">
        <f t="shared" ref="Z411:AM411" si="571">1-Z410</f>
        <v>0.37931034482758619</v>
      </c>
      <c r="AA411" s="112">
        <f t="shared" si="571"/>
        <v>0.36111111111111116</v>
      </c>
      <c r="AB411" s="112">
        <f t="shared" si="571"/>
        <v>0.35909090909090913</v>
      </c>
      <c r="AC411" s="112">
        <f t="shared" ca="1" si="571"/>
        <v>0.34788356464551851</v>
      </c>
      <c r="AD411" s="112">
        <f t="shared" ca="1" si="571"/>
        <v>0.33648703941190594</v>
      </c>
      <c r="AE411" s="112">
        <f t="shared" ca="1" si="571"/>
        <v>0.3238557565312834</v>
      </c>
      <c r="AF411" s="112">
        <f t="shared" ca="1" si="571"/>
        <v>0.31198928105343204</v>
      </c>
      <c r="AG411" s="112">
        <f t="shared" ca="1" si="571"/>
        <v>0.30102271308808293</v>
      </c>
      <c r="AH411" s="112">
        <f t="shared" ca="1" si="571"/>
        <v>0.29073273594063043</v>
      </c>
      <c r="AI411" s="112">
        <f t="shared" ca="1" si="571"/>
        <v>0.28110403901602854</v>
      </c>
      <c r="AJ411" s="112">
        <f t="shared" ca="1" si="571"/>
        <v>0.27206887235089205</v>
      </c>
      <c r="AK411" s="112">
        <f t="shared" ca="1" si="571"/>
        <v>0.26363271961932611</v>
      </c>
      <c r="AL411" s="112">
        <f t="shared" ca="1" si="571"/>
        <v>0.25573547072929792</v>
      </c>
      <c r="AM411" s="112">
        <f t="shared" ca="1" si="571"/>
        <v>0.24800364702862188</v>
      </c>
      <c r="AN411"/>
    </row>
    <row r="412" spans="1:42" s="3" customFormat="1">
      <c r="A412" s="125"/>
      <c r="B412" s="36"/>
      <c r="C412"/>
      <c r="D412" s="68"/>
      <c r="E412"/>
      <c r="F412"/>
      <c r="G412"/>
      <c r="H412"/>
      <c r="I4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52"/>
      <c r="AM412" s="52"/>
      <c r="AN412"/>
    </row>
    <row r="413" spans="1:42">
      <c r="D413" t="s">
        <v>432</v>
      </c>
      <c r="L413" s="190"/>
      <c r="M413" s="7"/>
      <c r="N413" s="7"/>
      <c r="O413" s="7"/>
      <c r="P413" s="7"/>
      <c r="Q413" s="7"/>
      <c r="R413" s="7"/>
      <c r="S413" s="7">
        <f t="shared" ref="S413:AM413" si="572">+R417</f>
        <v>235.0634</v>
      </c>
      <c r="T413" s="7">
        <f t="shared" si="572"/>
        <v>303.16326780967916</v>
      </c>
      <c r="U413" s="7">
        <f t="shared" si="572"/>
        <v>331.06300900167429</v>
      </c>
      <c r="V413" s="7">
        <f t="shared" si="572"/>
        <v>364.35121497697065</v>
      </c>
      <c r="W413" s="7">
        <f t="shared" si="572"/>
        <v>386.31874542643101</v>
      </c>
      <c r="X413" s="7">
        <f t="shared" si="572"/>
        <v>568.97898503761007</v>
      </c>
      <c r="Y413" s="7">
        <f t="shared" si="572"/>
        <v>549.86435822777196</v>
      </c>
      <c r="Z413" s="7">
        <f t="shared" si="572"/>
        <v>558.92208535537338</v>
      </c>
      <c r="AA413" s="7">
        <f t="shared" si="572"/>
        <v>510.23407912345868</v>
      </c>
      <c r="AB413" s="7">
        <f t="shared" si="572"/>
        <v>449.09399999999999</v>
      </c>
      <c r="AC413" s="7">
        <f t="shared" si="572"/>
        <v>431.65199999999999</v>
      </c>
      <c r="AD413" s="7">
        <f t="shared" ca="1" si="572"/>
        <v>442.37400911104351</v>
      </c>
      <c r="AE413" s="7">
        <f t="shared" ca="1" si="572"/>
        <v>450.24304918373946</v>
      </c>
      <c r="AF413" s="7">
        <f t="shared" ca="1" si="572"/>
        <v>457.01815265338558</v>
      </c>
      <c r="AG413" s="7">
        <f t="shared" ca="1" si="572"/>
        <v>462.75053470914492</v>
      </c>
      <c r="AH413" s="7">
        <f t="shared" ca="1" si="572"/>
        <v>467.5357819808512</v>
      </c>
      <c r="AI413" s="7">
        <f t="shared" ca="1" si="572"/>
        <v>471.36731111912184</v>
      </c>
      <c r="AJ413" s="7">
        <f t="shared" ca="1" si="572"/>
        <v>474.29399846068839</v>
      </c>
      <c r="AK413" s="7">
        <f t="shared" ca="1" si="572"/>
        <v>476.3378171083782</v>
      </c>
      <c r="AL413" s="7">
        <f t="shared" ca="1" si="572"/>
        <v>477.5751433220193</v>
      </c>
      <c r="AM413" s="7">
        <f t="shared" ca="1" si="572"/>
        <v>478.03575368024173</v>
      </c>
      <c r="AP413" s="1"/>
    </row>
    <row r="414" spans="1:42">
      <c r="D414" s="71" t="s">
        <v>433</v>
      </c>
      <c r="L414" s="93"/>
      <c r="M414" s="93"/>
      <c r="N414" s="93"/>
      <c r="O414" s="93"/>
      <c r="P414" s="7"/>
      <c r="Q414" s="7"/>
      <c r="R414" s="7"/>
      <c r="S414" s="81">
        <f>42.3-S421</f>
        <v>29.606576399999998</v>
      </c>
      <c r="T414" s="81">
        <f>42.8-T421</f>
        <v>26.429183538277321</v>
      </c>
      <c r="U414" s="81">
        <f>43.6-U421</f>
        <v>25.722597513909591</v>
      </c>
      <c r="V414" s="81">
        <f>44.6-V421</f>
        <v>24.925034391243585</v>
      </c>
      <c r="W414" s="81">
        <f>46.9-W421</f>
        <v>26.038787746972723</v>
      </c>
      <c r="X414" s="81">
        <f>49.4-X421</f>
        <v>18.675134807969055</v>
      </c>
      <c r="Y414" s="81">
        <f>52.4-Y421</f>
        <v>22.707324655700312</v>
      </c>
      <c r="Z414" s="81">
        <f>56.9-Z421</f>
        <v>26.718207390809837</v>
      </c>
      <c r="AA414" s="81">
        <f>57.656-AA421</f>
        <v>30.103359727333231</v>
      </c>
      <c r="AB414" s="81">
        <f>57.325-AB421</f>
        <v>33.253561599999998</v>
      </c>
      <c r="AC414" s="70">
        <f ca="1">AC417-AC413-AC415-AC416</f>
        <v>28.440535426832994</v>
      </c>
      <c r="AD414" s="70">
        <f t="shared" ref="AD414:AM414" ca="1" si="573">AD417-AD413-AD415-AD416</f>
        <v>26.151882657487715</v>
      </c>
      <c r="AE414" s="70">
        <f t="shared" ca="1" si="573"/>
        <v>25.472106058263993</v>
      </c>
      <c r="AF414" s="70">
        <f t="shared" ca="1" si="573"/>
        <v>24.785969037516466</v>
      </c>
      <c r="AG414" s="70">
        <f t="shared" ca="1" si="573"/>
        <v>24.140538572498155</v>
      </c>
      <c r="AH414" s="70">
        <f t="shared" ca="1" si="573"/>
        <v>23.438675558878611</v>
      </c>
      <c r="AI414" s="70">
        <f t="shared" ca="1" si="573"/>
        <v>22.735493190637097</v>
      </c>
      <c r="AJ414" s="70">
        <f t="shared" ca="1" si="573"/>
        <v>22.006660672617958</v>
      </c>
      <c r="AK414" s="70">
        <f t="shared" ca="1" si="573"/>
        <v>21.307737640927765</v>
      </c>
      <c r="AL414" s="70">
        <f t="shared" ca="1" si="573"/>
        <v>20.596144217558845</v>
      </c>
      <c r="AM414" s="70">
        <f t="shared" ca="1" si="573"/>
        <v>21.040836696986851</v>
      </c>
      <c r="AP414" s="1"/>
    </row>
    <row r="415" spans="1:42">
      <c r="D415" s="71" t="s">
        <v>435</v>
      </c>
      <c r="L415" s="93"/>
      <c r="M415" s="190"/>
      <c r="N415" s="190"/>
      <c r="O415" s="7"/>
      <c r="P415" s="7"/>
      <c r="Q415" s="7"/>
      <c r="R415" s="7"/>
      <c r="S415" s="7">
        <f t="shared" ref="S415:AA415" si="574">-S413/S420</f>
        <v>-11.824114688128773</v>
      </c>
      <c r="T415" s="7">
        <f t="shared" si="574"/>
        <v>-15.249661358635773</v>
      </c>
      <c r="U415" s="7">
        <f t="shared" si="574"/>
        <v>-16.653068863263297</v>
      </c>
      <c r="V415" s="7">
        <f t="shared" si="574"/>
        <v>-18.327525904274179</v>
      </c>
      <c r="W415" s="7">
        <f t="shared" si="574"/>
        <v>-19.432532466118261</v>
      </c>
      <c r="X415" s="7">
        <f t="shared" si="574"/>
        <v>-28.620673291630286</v>
      </c>
      <c r="Y415" s="7">
        <f t="shared" si="574"/>
        <v>-27.659172949083096</v>
      </c>
      <c r="Z415" s="7">
        <f t="shared" si="574"/>
        <v>-28.114793025924214</v>
      </c>
      <c r="AA415" s="7">
        <f t="shared" si="574"/>
        <v>-25.665698145043194</v>
      </c>
      <c r="AB415" s="7">
        <f>-AB413/AB420</f>
        <v>-23.185028394424368</v>
      </c>
      <c r="AC415" s="93">
        <f t="shared" ref="AC415:AM415" si="575">-AC413/AC420</f>
        <v>-22.718526315789472</v>
      </c>
      <c r="AD415" s="93">
        <f t="shared" ca="1" si="575"/>
        <v>-23.282842584791762</v>
      </c>
      <c r="AE415" s="93">
        <f t="shared" ca="1" si="575"/>
        <v>-23.697002588617867</v>
      </c>
      <c r="AF415" s="93">
        <f t="shared" ca="1" si="575"/>
        <v>-24.053586981757135</v>
      </c>
      <c r="AG415" s="93">
        <f t="shared" ca="1" si="575"/>
        <v>-24.355291300481312</v>
      </c>
      <c r="AH415" s="93">
        <f t="shared" ca="1" si="575"/>
        <v>-24.607146420044799</v>
      </c>
      <c r="AI415" s="93">
        <f t="shared" ca="1" si="575"/>
        <v>-24.808805848374835</v>
      </c>
      <c r="AJ415" s="93">
        <f t="shared" ca="1" si="575"/>
        <v>-24.962842024246758</v>
      </c>
      <c r="AK415" s="93">
        <f t="shared" ca="1" si="575"/>
        <v>-25.070411426756749</v>
      </c>
      <c r="AL415" s="93">
        <f t="shared" ca="1" si="575"/>
        <v>-25.135533859053648</v>
      </c>
      <c r="AM415" s="93">
        <f t="shared" ca="1" si="575"/>
        <v>-25.159776509486406</v>
      </c>
      <c r="AP415" s="1"/>
    </row>
    <row r="416" spans="1:42">
      <c r="D416" s="71" t="s">
        <v>442</v>
      </c>
      <c r="L416" s="93"/>
      <c r="M416" s="93"/>
      <c r="N416" s="93"/>
      <c r="O416" s="93"/>
      <c r="P416" s="93"/>
      <c r="Q416" s="93"/>
      <c r="R416" s="7"/>
      <c r="S416" s="93">
        <f t="shared" ref="S416:AA416" si="576">+S417-SUM(S413:S415)</f>
        <v>50.317406097807918</v>
      </c>
      <c r="T416" s="93">
        <f t="shared" si="576"/>
        <v>16.720219012353596</v>
      </c>
      <c r="U416" s="93">
        <f t="shared" si="576"/>
        <v>24.218677324650059</v>
      </c>
      <c r="V416" s="93">
        <f t="shared" si="576"/>
        <v>15.370021962490966</v>
      </c>
      <c r="W416" s="93">
        <f t="shared" si="576"/>
        <v>176.05398433032462</v>
      </c>
      <c r="X416" s="93">
        <f t="shared" si="576"/>
        <v>-9.1690883261768477</v>
      </c>
      <c r="Y416" s="93">
        <f t="shared" si="576"/>
        <v>14.00957542098422</v>
      </c>
      <c r="Z416" s="93">
        <f t="shared" si="576"/>
        <v>-47.291420596800378</v>
      </c>
      <c r="AA416" s="93">
        <f t="shared" si="576"/>
        <v>-65.577740705748795</v>
      </c>
      <c r="AB416" s="93">
        <f>+AB417-SUM(AB413:AB415)</f>
        <v>-27.510533205575655</v>
      </c>
      <c r="AC416" s="81">
        <v>5</v>
      </c>
      <c r="AD416" s="81">
        <v>5</v>
      </c>
      <c r="AE416" s="81">
        <v>5</v>
      </c>
      <c r="AF416" s="81">
        <v>5</v>
      </c>
      <c r="AG416" s="81">
        <v>5</v>
      </c>
      <c r="AH416" s="81">
        <v>5</v>
      </c>
      <c r="AI416" s="81">
        <v>5</v>
      </c>
      <c r="AJ416" s="81">
        <v>5</v>
      </c>
      <c r="AK416" s="81">
        <v>5</v>
      </c>
      <c r="AL416" s="81">
        <v>5</v>
      </c>
      <c r="AM416" s="81">
        <v>5</v>
      </c>
      <c r="AP416" s="1"/>
    </row>
    <row r="417" spans="1:40" s="3" customFormat="1">
      <c r="A417" s="125"/>
      <c r="B417" s="163"/>
      <c r="D417" s="215" t="s">
        <v>434</v>
      </c>
      <c r="E417" s="2"/>
      <c r="F417" s="2"/>
      <c r="G417" s="2"/>
      <c r="H417" s="2"/>
      <c r="I417" s="2"/>
      <c r="J417" s="113"/>
      <c r="K417" s="113"/>
      <c r="L417" s="195"/>
      <c r="M417" s="195"/>
      <c r="N417" s="195"/>
      <c r="O417" s="114"/>
      <c r="P417" s="114"/>
      <c r="Q417" s="114"/>
      <c r="R417" s="114">
        <f t="shared" ref="R417:Y417" si="577">R401*R419</f>
        <v>235.0634</v>
      </c>
      <c r="S417" s="114">
        <f t="shared" si="577"/>
        <v>303.16326780967916</v>
      </c>
      <c r="T417" s="114">
        <f t="shared" si="577"/>
        <v>331.06300900167429</v>
      </c>
      <c r="U417" s="114">
        <f t="shared" si="577"/>
        <v>364.35121497697065</v>
      </c>
      <c r="V417" s="114">
        <f t="shared" si="577"/>
        <v>386.31874542643101</v>
      </c>
      <c r="W417" s="114">
        <f t="shared" si="577"/>
        <v>568.97898503761007</v>
      </c>
      <c r="X417" s="114">
        <f t="shared" si="577"/>
        <v>549.86435822777196</v>
      </c>
      <c r="Y417" s="114">
        <f t="shared" si="577"/>
        <v>558.92208535537338</v>
      </c>
      <c r="Z417" s="114">
        <f>Z401*Z419</f>
        <v>510.23407912345868</v>
      </c>
      <c r="AA417" s="195">
        <f>+AA288</f>
        <v>449.09399999999999</v>
      </c>
      <c r="AB417" s="195">
        <f>+AB288</f>
        <v>431.65199999999999</v>
      </c>
      <c r="AC417" s="114">
        <f ca="1">AC419*AC401</f>
        <v>442.37400911104351</v>
      </c>
      <c r="AD417" s="114">
        <f t="shared" ref="AD417:AM417" ca="1" si="578">AD419*AD401</f>
        <v>450.24304918373946</v>
      </c>
      <c r="AE417" s="114">
        <f t="shared" ca="1" si="578"/>
        <v>457.01815265338558</v>
      </c>
      <c r="AF417" s="114">
        <f t="shared" ca="1" si="578"/>
        <v>462.75053470435597</v>
      </c>
      <c r="AG417" s="114">
        <f t="shared" ca="1" si="578"/>
        <v>467.5357819721666</v>
      </c>
      <c r="AH417" s="114">
        <f t="shared" ca="1" si="578"/>
        <v>471.36731110838565</v>
      </c>
      <c r="AI417" s="114">
        <f t="shared" ca="1" si="578"/>
        <v>474.29399845017986</v>
      </c>
      <c r="AJ417" s="114">
        <f t="shared" ca="1" si="578"/>
        <v>476.33781710020565</v>
      </c>
      <c r="AK417" s="114">
        <f t="shared" ca="1" si="578"/>
        <v>477.57514331765424</v>
      </c>
      <c r="AL417" s="114">
        <f t="shared" ca="1" si="578"/>
        <v>478.0357536802419</v>
      </c>
      <c r="AM417" s="114">
        <f t="shared" ca="1" si="578"/>
        <v>478.91681386774235</v>
      </c>
      <c r="AN417"/>
    </row>
    <row r="418" spans="1:40" s="3" customFormat="1">
      <c r="A418" s="125"/>
      <c r="B418" s="36"/>
      <c r="C418"/>
      <c r="D418" s="68" t="s">
        <v>436</v>
      </c>
      <c r="E418"/>
      <c r="F418"/>
      <c r="G418"/>
      <c r="H418"/>
      <c r="I418"/>
      <c r="J418" s="112"/>
      <c r="K418" s="112"/>
      <c r="L418" s="112"/>
      <c r="M418" s="112"/>
      <c r="N418" s="112"/>
      <c r="O418" s="112"/>
      <c r="P418" s="112"/>
      <c r="Q418" s="112"/>
      <c r="R418" s="112">
        <f t="shared" ref="R418:AM418" si="579">R417/R205</f>
        <v>2.6189449055762912E-2</v>
      </c>
      <c r="S418" s="112">
        <f t="shared" si="579"/>
        <v>3.0305719779045243E-2</v>
      </c>
      <c r="T418" s="112">
        <f t="shared" si="579"/>
        <v>3.0198488447552591E-2</v>
      </c>
      <c r="U418" s="112">
        <f t="shared" si="579"/>
        <v>2.8975864658626775E-2</v>
      </c>
      <c r="V418" s="112">
        <f t="shared" si="579"/>
        <v>2.7074557978402445E-2</v>
      </c>
      <c r="W418" s="112">
        <f t="shared" si="579"/>
        <v>3.7557112354542337E-2</v>
      </c>
      <c r="X418" s="112">
        <f t="shared" si="579"/>
        <v>3.4636688560003778E-2</v>
      </c>
      <c r="Y418" s="112">
        <f t="shared" si="579"/>
        <v>3.2646745988993968E-2</v>
      </c>
      <c r="Z418" s="112">
        <f t="shared" si="579"/>
        <v>2.8076336955360326E-2</v>
      </c>
      <c r="AA418" s="112">
        <f t="shared" si="579"/>
        <v>2.2101082677165349E-2</v>
      </c>
      <c r="AB418" s="112">
        <f t="shared" si="579"/>
        <v>2.277895047916579E-2</v>
      </c>
      <c r="AC418" s="112">
        <f t="shared" ca="1" si="579"/>
        <v>1.8763064276599652E-2</v>
      </c>
      <c r="AD418" s="112">
        <f t="shared" ca="1" si="579"/>
        <v>1.7750773527231041E-2</v>
      </c>
      <c r="AE418" s="112">
        <f t="shared" ca="1" si="579"/>
        <v>1.6636758077674542E-2</v>
      </c>
      <c r="AF418" s="112">
        <f t="shared" ca="1" si="579"/>
        <v>1.5534129601430999E-2</v>
      </c>
      <c r="AG418" s="112">
        <f t="shared" ca="1" si="579"/>
        <v>1.4495867345726101E-2</v>
      </c>
      <c r="AH418" s="112">
        <f t="shared" ca="1" si="579"/>
        <v>1.3512195314466487E-2</v>
      </c>
      <c r="AI418" s="112">
        <f t="shared" ca="1" si="579"/>
        <v>1.2584619724024445E-2</v>
      </c>
      <c r="AJ418" s="112">
        <f t="shared" ca="1" si="579"/>
        <v>1.1710639338725926E-2</v>
      </c>
      <c r="AK418" s="112">
        <f t="shared" ca="1" si="579"/>
        <v>1.0891678090887464E-2</v>
      </c>
      <c r="AL418" s="112">
        <f t="shared" ca="1" si="579"/>
        <v>1.0124547911325509E-2</v>
      </c>
      <c r="AM418" s="112">
        <f t="shared" ca="1" si="579"/>
        <v>9.3860639839878357E-3</v>
      </c>
      <c r="AN418"/>
    </row>
    <row r="419" spans="1:40" s="3" customFormat="1">
      <c r="A419" s="125"/>
      <c r="B419" s="36"/>
      <c r="C419"/>
      <c r="D419" s="68" t="s">
        <v>437</v>
      </c>
      <c r="E419"/>
      <c r="F419"/>
      <c r="G419"/>
      <c r="H419"/>
      <c r="I419"/>
      <c r="J419" s="112"/>
      <c r="K419" s="112"/>
      <c r="L419" s="112"/>
      <c r="M419" s="112"/>
      <c r="N419" s="112"/>
      <c r="O419" s="52"/>
      <c r="P419" s="52"/>
      <c r="Q419" s="52"/>
      <c r="R419" s="272">
        <v>0.2</v>
      </c>
      <c r="S419" s="52">
        <f t="shared" ref="S419:Z419" si="580">T419+(S411-T411)-(S366-T366)</f>
        <v>0.23708301554964969</v>
      </c>
      <c r="T419" s="52">
        <f t="shared" si="580"/>
        <v>0.23167946772967543</v>
      </c>
      <c r="U419" s="52">
        <f t="shared" si="580"/>
        <v>0.22042122484279614</v>
      </c>
      <c r="V419" s="52">
        <f t="shared" si="580"/>
        <v>0.20741522880415381</v>
      </c>
      <c r="W419" s="52">
        <f t="shared" si="580"/>
        <v>0.26320928503315916</v>
      </c>
      <c r="X419" s="52">
        <f t="shared" si="580"/>
        <v>0.21833937682791046</v>
      </c>
      <c r="Y419" s="52">
        <f t="shared" si="580"/>
        <v>0.20956479261455713</v>
      </c>
      <c r="Z419" s="52">
        <f t="shared" si="580"/>
        <v>0.18041853424627738</v>
      </c>
      <c r="AA419" s="112">
        <f>AA417/AA401</f>
        <v>0.14632749253690494</v>
      </c>
      <c r="AB419" s="112">
        <f>AB417/AB401</f>
        <v>0.14126758309352483</v>
      </c>
      <c r="AC419" s="52">
        <f t="shared" ref="AC419:AM419" ca="1" si="581">AB419+(AC411-AB411)-(AC366-AB366)</f>
        <v>0.13454317642629046</v>
      </c>
      <c r="AD419" s="52">
        <f t="shared" ca="1" si="581"/>
        <v>0.12770526128612292</v>
      </c>
      <c r="AE419" s="52">
        <f t="shared" ca="1" si="581"/>
        <v>0.1201264915577494</v>
      </c>
      <c r="AF419" s="52">
        <f t="shared" ca="1" si="581"/>
        <v>0.11300660626886017</v>
      </c>
      <c r="AG419" s="52">
        <f t="shared" ca="1" si="581"/>
        <v>0.10642666548850069</v>
      </c>
      <c r="AH419" s="52">
        <f t="shared" ca="1" si="581"/>
        <v>0.10025267919983122</v>
      </c>
      <c r="AI419" s="52">
        <f t="shared" ca="1" si="581"/>
        <v>9.4475461045593762E-2</v>
      </c>
      <c r="AJ419" s="52">
        <f t="shared" ca="1" si="581"/>
        <v>8.9054361047460229E-2</v>
      </c>
      <c r="AK419" s="52">
        <f t="shared" ca="1" si="581"/>
        <v>8.399266940960029E-2</v>
      </c>
      <c r="AL419" s="52">
        <f t="shared" ca="1" si="581"/>
        <v>7.9254320076558166E-2</v>
      </c>
      <c r="AM419" s="52">
        <f t="shared" ca="1" si="581"/>
        <v>7.4615225856152545E-2</v>
      </c>
      <c r="AN419"/>
    </row>
    <row r="420" spans="1:40" s="3" customFormat="1">
      <c r="A420" s="125"/>
      <c r="B420" s="36"/>
      <c r="C420"/>
      <c r="D420" s="68" t="s">
        <v>438</v>
      </c>
      <c r="E420"/>
      <c r="F420"/>
      <c r="G420"/>
      <c r="H420"/>
      <c r="I420"/>
      <c r="J420" s="112"/>
      <c r="K420" s="112"/>
      <c r="L420" s="61"/>
      <c r="M420" s="61"/>
      <c r="N420" s="61"/>
      <c r="O420" s="61"/>
      <c r="P420" s="61"/>
      <c r="Q420" s="61"/>
      <c r="R420" s="61"/>
      <c r="S420" s="61">
        <f t="shared" ref="S420:Y420" si="582">T420</f>
        <v>19.88</v>
      </c>
      <c r="T420" s="61">
        <f t="shared" si="582"/>
        <v>19.88</v>
      </c>
      <c r="U420" s="61">
        <f t="shared" si="582"/>
        <v>19.88</v>
      </c>
      <c r="V420" s="61">
        <f t="shared" si="582"/>
        <v>19.88</v>
      </c>
      <c r="W420" s="61">
        <f t="shared" si="582"/>
        <v>19.88</v>
      </c>
      <c r="X420" s="61">
        <f t="shared" si="582"/>
        <v>19.88</v>
      </c>
      <c r="Y420" s="61">
        <f t="shared" si="582"/>
        <v>19.88</v>
      </c>
      <c r="Z420" s="61">
        <f>AA420</f>
        <v>19.88</v>
      </c>
      <c r="AA420" s="61">
        <v>19.88</v>
      </c>
      <c r="AB420" s="61">
        <v>19.37</v>
      </c>
      <c r="AC420" s="61">
        <v>19</v>
      </c>
      <c r="AD420" s="61">
        <f>AC420</f>
        <v>19</v>
      </c>
      <c r="AE420" s="61">
        <f t="shared" ref="AE420:AM420" si="583">AD420</f>
        <v>19</v>
      </c>
      <c r="AF420" s="61">
        <f t="shared" si="583"/>
        <v>19</v>
      </c>
      <c r="AG420" s="61">
        <f t="shared" si="583"/>
        <v>19</v>
      </c>
      <c r="AH420" s="61">
        <f t="shared" si="583"/>
        <v>19</v>
      </c>
      <c r="AI420" s="61">
        <f t="shared" si="583"/>
        <v>19</v>
      </c>
      <c r="AJ420" s="61">
        <f t="shared" si="583"/>
        <v>19</v>
      </c>
      <c r="AK420" s="61">
        <f t="shared" si="583"/>
        <v>19</v>
      </c>
      <c r="AL420" s="61">
        <f t="shared" si="583"/>
        <v>19</v>
      </c>
      <c r="AM420" s="61">
        <f t="shared" si="583"/>
        <v>19</v>
      </c>
      <c r="AN420"/>
    </row>
    <row r="421" spans="1:40" s="3" customFormat="1">
      <c r="A421" s="125"/>
      <c r="B421" s="36"/>
      <c r="C421"/>
      <c r="D421" s="68" t="s">
        <v>439</v>
      </c>
      <c r="E421"/>
      <c r="F421"/>
      <c r="G421"/>
      <c r="H421"/>
      <c r="I421"/>
      <c r="J421" s="112"/>
      <c r="K421" s="112"/>
      <c r="L421" s="7"/>
      <c r="M421" s="7"/>
      <c r="N421" s="7"/>
      <c r="O421" s="7"/>
      <c r="P421" s="7"/>
      <c r="Q421" s="7"/>
      <c r="R421" s="7"/>
      <c r="S421" s="7">
        <f t="shared" ref="S421:Z421" si="584">S413*S422</f>
        <v>12.693423599999999</v>
      </c>
      <c r="T421" s="7">
        <f t="shared" si="584"/>
        <v>16.370816461722676</v>
      </c>
      <c r="U421" s="7">
        <f t="shared" si="584"/>
        <v>17.877402486090411</v>
      </c>
      <c r="V421" s="7">
        <f t="shared" si="584"/>
        <v>19.674965608756416</v>
      </c>
      <c r="W421" s="7">
        <f t="shared" si="584"/>
        <v>20.861212253027276</v>
      </c>
      <c r="X421" s="7">
        <f t="shared" si="584"/>
        <v>30.724865192030943</v>
      </c>
      <c r="Y421" s="7">
        <f t="shared" si="584"/>
        <v>29.692675344299687</v>
      </c>
      <c r="Z421" s="7">
        <f t="shared" si="584"/>
        <v>30.181792609190161</v>
      </c>
      <c r="AA421" s="7">
        <f>AA413*AA422</f>
        <v>27.552640272666768</v>
      </c>
      <c r="AB421" s="7">
        <f>AB413*AB422</f>
        <v>24.071438400000002</v>
      </c>
      <c r="AC421" s="7">
        <f t="shared" ref="AC421:AM421" si="585">AC413*AC422</f>
        <v>23.136547199999999</v>
      </c>
      <c r="AD421" s="7">
        <f t="shared" ca="1" si="585"/>
        <v>23.711246888351933</v>
      </c>
      <c r="AE421" s="7">
        <f t="shared" ca="1" si="585"/>
        <v>24.133027436248437</v>
      </c>
      <c r="AF421" s="7">
        <f t="shared" ca="1" si="585"/>
        <v>24.496172982221466</v>
      </c>
      <c r="AG421" s="7">
        <f t="shared" ca="1" si="585"/>
        <v>24.803428660410169</v>
      </c>
      <c r="AH421" s="7">
        <f t="shared" ca="1" si="585"/>
        <v>25.059917914173624</v>
      </c>
      <c r="AI421" s="7">
        <f t="shared" ca="1" si="585"/>
        <v>25.265287875984932</v>
      </c>
      <c r="AJ421" s="7">
        <f t="shared" ca="1" si="585"/>
        <v>25.422158317492897</v>
      </c>
      <c r="AK421" s="7">
        <f t="shared" ca="1" si="585"/>
        <v>25.531706997009074</v>
      </c>
      <c r="AL421" s="7">
        <f t="shared" ca="1" si="585"/>
        <v>25.598027682060234</v>
      </c>
      <c r="AM421" s="7">
        <f t="shared" ca="1" si="585"/>
        <v>25.622716397260959</v>
      </c>
      <c r="AN421"/>
    </row>
    <row r="422" spans="1:40" s="3" customFormat="1">
      <c r="A422" s="125"/>
      <c r="B422" s="36"/>
      <c r="C422"/>
      <c r="D422" s="71" t="s">
        <v>440</v>
      </c>
      <c r="E422"/>
      <c r="F422"/>
      <c r="G422"/>
      <c r="H422"/>
      <c r="I422"/>
      <c r="J422" s="112"/>
      <c r="K422" s="112"/>
      <c r="L422" s="112"/>
      <c r="M422" s="112"/>
      <c r="N422" s="112"/>
      <c r="O422" s="52"/>
      <c r="P422" s="52"/>
      <c r="Q422" s="52"/>
      <c r="R422" s="52"/>
      <c r="S422" s="52">
        <f t="shared" ref="S422:Z422" si="586">T422</f>
        <v>5.3999999999999999E-2</v>
      </c>
      <c r="T422" s="52">
        <f t="shared" si="586"/>
        <v>5.3999999999999999E-2</v>
      </c>
      <c r="U422" s="52">
        <f t="shared" si="586"/>
        <v>5.3999999999999999E-2</v>
      </c>
      <c r="V422" s="52">
        <f t="shared" si="586"/>
        <v>5.3999999999999999E-2</v>
      </c>
      <c r="W422" s="52">
        <f t="shared" si="586"/>
        <v>5.3999999999999999E-2</v>
      </c>
      <c r="X422" s="52">
        <f t="shared" si="586"/>
        <v>5.3999999999999999E-2</v>
      </c>
      <c r="Y422" s="52">
        <f t="shared" si="586"/>
        <v>5.3999999999999999E-2</v>
      </c>
      <c r="Z422" s="52">
        <f t="shared" si="586"/>
        <v>5.3999999999999999E-2</v>
      </c>
      <c r="AA422" s="52">
        <v>5.3999999999999999E-2</v>
      </c>
      <c r="AB422" s="52">
        <v>5.3600000000000002E-2</v>
      </c>
      <c r="AC422" s="52">
        <f>AB422</f>
        <v>5.3600000000000002E-2</v>
      </c>
      <c r="AD422" s="52">
        <f t="shared" ref="AD422:AM422" si="587">AC422</f>
        <v>5.3600000000000002E-2</v>
      </c>
      <c r="AE422" s="52">
        <f t="shared" si="587"/>
        <v>5.3600000000000002E-2</v>
      </c>
      <c r="AF422" s="52">
        <f t="shared" si="587"/>
        <v>5.3600000000000002E-2</v>
      </c>
      <c r="AG422" s="52">
        <f t="shared" si="587"/>
        <v>5.3600000000000002E-2</v>
      </c>
      <c r="AH422" s="52">
        <f t="shared" si="587"/>
        <v>5.3600000000000002E-2</v>
      </c>
      <c r="AI422" s="52">
        <f t="shared" si="587"/>
        <v>5.3600000000000002E-2</v>
      </c>
      <c r="AJ422" s="52">
        <f t="shared" si="587"/>
        <v>5.3600000000000002E-2</v>
      </c>
      <c r="AK422" s="52">
        <f t="shared" si="587"/>
        <v>5.3600000000000002E-2</v>
      </c>
      <c r="AL422" s="52">
        <f t="shared" si="587"/>
        <v>5.3600000000000002E-2</v>
      </c>
      <c r="AM422" s="52">
        <f t="shared" si="587"/>
        <v>5.3600000000000002E-2</v>
      </c>
      <c r="AN422"/>
    </row>
    <row r="423" spans="1:40" s="3" customFormat="1">
      <c r="A423" s="125"/>
      <c r="B423" s="36"/>
      <c r="C423"/>
      <c r="D423" s="68" t="s">
        <v>441</v>
      </c>
      <c r="E423"/>
      <c r="F423"/>
      <c r="G423"/>
      <c r="H423"/>
      <c r="I423"/>
      <c r="J423" s="112"/>
      <c r="K423" s="112"/>
      <c r="L423" s="112"/>
      <c r="M423" s="112"/>
      <c r="N423" s="112"/>
      <c r="O423" s="52"/>
      <c r="P423" s="52"/>
      <c r="Q423" s="52"/>
      <c r="R423" s="52"/>
      <c r="S423" s="274">
        <f t="shared" ref="S423:AA423" si="588">-S414/S415</f>
        <v>2.5039148537458402</v>
      </c>
      <c r="T423" s="274">
        <f t="shared" si="588"/>
        <v>1.7330997008212687</v>
      </c>
      <c r="U423" s="274">
        <f t="shared" si="588"/>
        <v>1.5446160539607023</v>
      </c>
      <c r="V423" s="274">
        <f t="shared" si="588"/>
        <v>1.3599781291500341</v>
      </c>
      <c r="W423" s="274">
        <f t="shared" si="588"/>
        <v>1.3399585356346553</v>
      </c>
      <c r="X423" s="274">
        <f t="shared" si="588"/>
        <v>0.65250508322004908</v>
      </c>
      <c r="Y423" s="274">
        <f t="shared" si="588"/>
        <v>0.82096903972875523</v>
      </c>
      <c r="Z423" s="274">
        <f t="shared" si="588"/>
        <v>0.95032559429384356</v>
      </c>
      <c r="AA423" s="274">
        <f t="shared" si="588"/>
        <v>1.1729024302090563</v>
      </c>
      <c r="AB423" s="274">
        <f>-AB414/AB415</f>
        <v>1.4342687459462828</v>
      </c>
      <c r="AC423" s="274">
        <f t="shared" ref="AC423:AM423" ca="1" si="589">-AC414/AC415</f>
        <v>1.2518653292694739</v>
      </c>
      <c r="AD423" s="274">
        <f t="shared" ca="1" si="589"/>
        <v>1.1232255066041634</v>
      </c>
      <c r="AE423" s="274">
        <f t="shared" ca="1" si="589"/>
        <v>1.0749083544641524</v>
      </c>
      <c r="AF423" s="274">
        <f t="shared" ca="1" si="589"/>
        <v>1.030447935117319</v>
      </c>
      <c r="AG423" s="274">
        <f t="shared" ca="1" si="589"/>
        <v>0.99118250217853432</v>
      </c>
      <c r="AH423" s="274">
        <f t="shared" ca="1" si="589"/>
        <v>0.95251497913572125</v>
      </c>
      <c r="AI423" s="274">
        <f t="shared" ca="1" si="589"/>
        <v>0.91642835731758709</v>
      </c>
      <c r="AJ423" s="274">
        <f t="shared" ca="1" si="589"/>
        <v>0.88157673117678592</v>
      </c>
      <c r="AK423" s="274">
        <f t="shared" ca="1" si="589"/>
        <v>0.8499157544014927</v>
      </c>
      <c r="AL423" s="274">
        <f t="shared" ca="1" si="589"/>
        <v>0.81940349200660612</v>
      </c>
      <c r="AM423" s="274">
        <f t="shared" ca="1" si="589"/>
        <v>0.83628869632659408</v>
      </c>
      <c r="AN423"/>
    </row>
    <row r="424" spans="1:40" s="3" customFormat="1">
      <c r="A424" s="125"/>
      <c r="B424" s="36"/>
      <c r="C424"/>
      <c r="D424" s="71"/>
      <c r="E424"/>
      <c r="F424"/>
      <c r="G424"/>
      <c r="H424"/>
      <c r="I424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52"/>
      <c r="AM424" s="52"/>
      <c r="AN424"/>
    </row>
    <row r="425" spans="1:40" s="3" customFormat="1">
      <c r="A425" s="125"/>
      <c r="B425" s="36"/>
      <c r="C425"/>
      <c r="D425" s="71" t="s">
        <v>450</v>
      </c>
      <c r="E425"/>
      <c r="F425"/>
      <c r="G425"/>
      <c r="H425"/>
      <c r="I425"/>
      <c r="J425" s="112"/>
      <c r="K425" s="112"/>
      <c r="L425" s="112"/>
      <c r="M425" s="112"/>
      <c r="N425" s="112"/>
      <c r="O425" s="112"/>
      <c r="P425" s="112"/>
      <c r="Q425" s="112"/>
      <c r="R425" s="7"/>
      <c r="S425" s="7">
        <f>+S427-S426</f>
        <v>29.606576399999998</v>
      </c>
      <c r="T425" s="7">
        <f t="shared" ref="T425:AM425" si="590">+T427-T426</f>
        <v>26.429183538277321</v>
      </c>
      <c r="U425" s="7">
        <f t="shared" si="590"/>
        <v>25.722597513909591</v>
      </c>
      <c r="V425" s="7">
        <f t="shared" si="590"/>
        <v>24.925034391243585</v>
      </c>
      <c r="W425" s="7">
        <f t="shared" si="590"/>
        <v>26.038787746972723</v>
      </c>
      <c r="X425" s="7">
        <f t="shared" si="590"/>
        <v>18.675134807969055</v>
      </c>
      <c r="Y425" s="7">
        <f t="shared" si="590"/>
        <v>22.707324655700312</v>
      </c>
      <c r="Z425" s="7">
        <f t="shared" si="590"/>
        <v>26.718207390809837</v>
      </c>
      <c r="AA425" s="7">
        <f t="shared" si="590"/>
        <v>30.103359727333231</v>
      </c>
      <c r="AB425" s="7">
        <f t="shared" si="590"/>
        <v>33.253561599999998</v>
      </c>
      <c r="AC425" s="7">
        <f t="shared" ca="1" si="590"/>
        <v>28.440535426832991</v>
      </c>
      <c r="AD425" s="7">
        <f t="shared" ca="1" si="590"/>
        <v>26.151882657487715</v>
      </c>
      <c r="AE425" s="7">
        <f t="shared" ca="1" si="590"/>
        <v>25.472106058263993</v>
      </c>
      <c r="AF425" s="7">
        <f t="shared" ca="1" si="590"/>
        <v>24.785969043417154</v>
      </c>
      <c r="AG425" s="7">
        <f t="shared" ca="1" si="590"/>
        <v>24.140538577680253</v>
      </c>
      <c r="AH425" s="7">
        <f t="shared" ca="1" si="590"/>
        <v>23.438675562090843</v>
      </c>
      <c r="AI425" s="7">
        <f t="shared" ca="1" si="590"/>
        <v>22.735493191222098</v>
      </c>
      <c r="AJ425" s="7">
        <f t="shared" ca="1" si="590"/>
        <v>22.006660670579407</v>
      </c>
      <c r="AK425" s="7">
        <f t="shared" ca="1" si="590"/>
        <v>21.307737636884504</v>
      </c>
      <c r="AL425" s="7">
        <f t="shared" ca="1" si="590"/>
        <v>20.59614421253459</v>
      </c>
      <c r="AM425" s="7">
        <f t="shared" ca="1" si="590"/>
        <v>21.040836696986855</v>
      </c>
      <c r="AN425"/>
    </row>
    <row r="426" spans="1:40" s="3" customFormat="1">
      <c r="A426" s="125"/>
      <c r="B426" s="36"/>
      <c r="C426"/>
      <c r="D426" s="71" t="s">
        <v>449</v>
      </c>
      <c r="E426"/>
      <c r="F426"/>
      <c r="G426"/>
      <c r="H426"/>
      <c r="I426"/>
      <c r="J426" s="112"/>
      <c r="K426" s="112"/>
      <c r="L426" s="112"/>
      <c r="M426" s="112"/>
      <c r="N426" s="112"/>
      <c r="O426" s="112"/>
      <c r="P426" s="112"/>
      <c r="Q426" s="112"/>
      <c r="R426" s="7"/>
      <c r="S426" s="7">
        <f t="shared" ref="S426:AM426" si="591">S421</f>
        <v>12.693423599999999</v>
      </c>
      <c r="T426" s="7">
        <f t="shared" si="591"/>
        <v>16.370816461722676</v>
      </c>
      <c r="U426" s="7">
        <f t="shared" si="591"/>
        <v>17.877402486090411</v>
      </c>
      <c r="V426" s="7">
        <f t="shared" si="591"/>
        <v>19.674965608756416</v>
      </c>
      <c r="W426" s="7">
        <f t="shared" si="591"/>
        <v>20.861212253027276</v>
      </c>
      <c r="X426" s="7">
        <f t="shared" si="591"/>
        <v>30.724865192030943</v>
      </c>
      <c r="Y426" s="7">
        <f t="shared" si="591"/>
        <v>29.692675344299687</v>
      </c>
      <c r="Z426" s="7">
        <f t="shared" si="591"/>
        <v>30.181792609190161</v>
      </c>
      <c r="AA426" s="7">
        <f t="shared" si="591"/>
        <v>27.552640272666768</v>
      </c>
      <c r="AB426" s="7">
        <f t="shared" si="591"/>
        <v>24.071438400000002</v>
      </c>
      <c r="AC426" s="7">
        <f t="shared" si="591"/>
        <v>23.136547199999999</v>
      </c>
      <c r="AD426" s="7">
        <f t="shared" ca="1" si="591"/>
        <v>23.711246888351933</v>
      </c>
      <c r="AE426" s="7">
        <f t="shared" ca="1" si="591"/>
        <v>24.133027436248437</v>
      </c>
      <c r="AF426" s="7">
        <f t="shared" ca="1" si="591"/>
        <v>24.496172982221466</v>
      </c>
      <c r="AG426" s="7">
        <f t="shared" ca="1" si="591"/>
        <v>24.803428660410169</v>
      </c>
      <c r="AH426" s="7">
        <f t="shared" ca="1" si="591"/>
        <v>25.059917914173624</v>
      </c>
      <c r="AI426" s="7">
        <f t="shared" ca="1" si="591"/>
        <v>25.265287875984932</v>
      </c>
      <c r="AJ426" s="7">
        <f t="shared" ca="1" si="591"/>
        <v>25.422158317492897</v>
      </c>
      <c r="AK426" s="7">
        <f t="shared" ca="1" si="591"/>
        <v>25.531706997009074</v>
      </c>
      <c r="AL426" s="7">
        <f t="shared" ca="1" si="591"/>
        <v>25.598027682060234</v>
      </c>
      <c r="AM426" s="7">
        <f t="shared" ca="1" si="591"/>
        <v>25.622716397260959</v>
      </c>
      <c r="AN426"/>
    </row>
    <row r="427" spans="1:40" s="3" customFormat="1">
      <c r="A427" s="125"/>
      <c r="B427" s="163"/>
      <c r="D427" s="215" t="s">
        <v>448</v>
      </c>
      <c r="E427" s="2"/>
      <c r="F427" s="2"/>
      <c r="G427" s="2"/>
      <c r="H427" s="2"/>
      <c r="I427" s="2"/>
      <c r="J427" s="113"/>
      <c r="K427" s="113"/>
      <c r="L427" s="195"/>
      <c r="M427" s="195"/>
      <c r="N427" s="195"/>
      <c r="O427" s="114"/>
      <c r="P427" s="114"/>
      <c r="Q427" s="114"/>
      <c r="R427" s="114"/>
      <c r="S427" s="195">
        <f t="shared" ref="S427:AM427" si="592">S421+S414</f>
        <v>42.3</v>
      </c>
      <c r="T427" s="195">
        <f t="shared" si="592"/>
        <v>42.8</v>
      </c>
      <c r="U427" s="195">
        <f t="shared" si="592"/>
        <v>43.6</v>
      </c>
      <c r="V427" s="195">
        <f t="shared" si="592"/>
        <v>44.6</v>
      </c>
      <c r="W427" s="195">
        <f t="shared" si="592"/>
        <v>46.9</v>
      </c>
      <c r="X427" s="195">
        <f t="shared" si="592"/>
        <v>49.4</v>
      </c>
      <c r="Y427" s="195">
        <f t="shared" si="592"/>
        <v>52.4</v>
      </c>
      <c r="Z427" s="195">
        <f t="shared" si="592"/>
        <v>56.9</v>
      </c>
      <c r="AA427" s="195">
        <f t="shared" si="592"/>
        <v>57.655999999999999</v>
      </c>
      <c r="AB427" s="195">
        <f t="shared" si="592"/>
        <v>57.325000000000003</v>
      </c>
      <c r="AC427" s="195">
        <f t="shared" ca="1" si="592"/>
        <v>51.57708262683299</v>
      </c>
      <c r="AD427" s="195">
        <f t="shared" ca="1" si="592"/>
        <v>49.863129545839648</v>
      </c>
      <c r="AE427" s="195">
        <f t="shared" ca="1" si="592"/>
        <v>49.60513349451243</v>
      </c>
      <c r="AF427" s="195">
        <f t="shared" ca="1" si="592"/>
        <v>49.282142019737933</v>
      </c>
      <c r="AG427" s="195">
        <f t="shared" ca="1" si="592"/>
        <v>48.943967232908321</v>
      </c>
      <c r="AH427" s="195">
        <f t="shared" ca="1" si="592"/>
        <v>48.498593473052239</v>
      </c>
      <c r="AI427" s="195">
        <f t="shared" ca="1" si="592"/>
        <v>48.000781066622025</v>
      </c>
      <c r="AJ427" s="195">
        <f t="shared" ca="1" si="592"/>
        <v>47.428818990110855</v>
      </c>
      <c r="AK427" s="195">
        <f t="shared" ca="1" si="592"/>
        <v>46.839444637936836</v>
      </c>
      <c r="AL427" s="195">
        <f t="shared" ca="1" si="592"/>
        <v>46.194171899619079</v>
      </c>
      <c r="AM427" s="195">
        <f t="shared" ca="1" si="592"/>
        <v>46.66355309424781</v>
      </c>
      <c r="AN427"/>
    </row>
    <row r="428" spans="1:40" s="3" customFormat="1">
      <c r="A428" s="125"/>
      <c r="B428" s="36"/>
      <c r="C428"/>
      <c r="D428" s="71" t="s">
        <v>451</v>
      </c>
      <c r="E428"/>
      <c r="F428"/>
      <c r="G428"/>
      <c r="H428"/>
      <c r="I428"/>
      <c r="J428" s="112"/>
      <c r="K428" s="112"/>
      <c r="L428" s="112"/>
      <c r="M428" s="112"/>
      <c r="N428" s="112"/>
      <c r="O428" s="112"/>
      <c r="P428" s="112"/>
      <c r="Q428" s="112"/>
      <c r="R428" s="93"/>
      <c r="S428" s="112">
        <f t="shared" ref="S428:AM428" si="593">S427/S26</f>
        <v>0.22547974413646055</v>
      </c>
      <c r="T428" s="112">
        <f t="shared" si="593"/>
        <v>0.21410705352676337</v>
      </c>
      <c r="U428" s="112">
        <f t="shared" si="593"/>
        <v>0.2011070110701107</v>
      </c>
      <c r="V428" s="112">
        <f t="shared" si="593"/>
        <v>0.18316221765913759</v>
      </c>
      <c r="W428" s="112">
        <f t="shared" si="593"/>
        <v>0.17017416545718431</v>
      </c>
      <c r="X428" s="112">
        <f t="shared" si="593"/>
        <v>0.16422872340425532</v>
      </c>
      <c r="Y428" s="112">
        <f t="shared" si="593"/>
        <v>0.15535131930032611</v>
      </c>
      <c r="Z428" s="112">
        <f t="shared" si="593"/>
        <v>0.15845168476747423</v>
      </c>
      <c r="AA428" s="112">
        <f t="shared" si="593"/>
        <v>0.14655821047280124</v>
      </c>
      <c r="AB428" s="112">
        <f t="shared" si="593"/>
        <v>0.14363568028063142</v>
      </c>
      <c r="AC428" s="112">
        <f t="shared" ca="1" si="593"/>
        <v>0.12159982403332839</v>
      </c>
      <c r="AD428" s="112">
        <f t="shared" ca="1" si="593"/>
        <v>0.11100051683881734</v>
      </c>
      <c r="AE428" s="112">
        <f t="shared" ca="1" si="593"/>
        <v>0.10428110037147904</v>
      </c>
      <c r="AF428" s="112">
        <f t="shared" ca="1" si="593"/>
        <v>9.7943578773997383E-2</v>
      </c>
      <c r="AG428" s="112">
        <f t="shared" ca="1" si="593"/>
        <v>9.2115373705465381E-2</v>
      </c>
      <c r="AH428" s="112">
        <f t="shared" ca="1" si="593"/>
        <v>8.6538601115407482E-2</v>
      </c>
      <c r="AI428" s="112">
        <f t="shared" ca="1" si="593"/>
        <v>8.1305518448887115E-2</v>
      </c>
      <c r="AJ428" s="112">
        <f t="shared" ca="1" si="593"/>
        <v>7.6349643992724245E-2</v>
      </c>
      <c r="AK428" s="112">
        <f t="shared" ca="1" si="593"/>
        <v>7.175301826346564E-2</v>
      </c>
      <c r="AL428" s="112">
        <f t="shared" ca="1" si="593"/>
        <v>6.7423509906733819E-2</v>
      </c>
      <c r="AM428" s="112">
        <f t="shared" ca="1" si="593"/>
        <v>6.4668858742209859E-2</v>
      </c>
      <c r="AN428"/>
    </row>
    <row r="429" spans="1:40" s="3" customFormat="1">
      <c r="A429" s="125"/>
      <c r="B429" s="36"/>
      <c r="C429"/>
      <c r="D429" s="71"/>
      <c r="E429"/>
      <c r="F429"/>
      <c r="G429"/>
      <c r="H429"/>
      <c r="I429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52"/>
      <c r="AM429" s="52"/>
      <c r="AN429"/>
    </row>
    <row r="430" spans="1:40" s="3" customFormat="1">
      <c r="A430" s="125"/>
      <c r="B430" s="36"/>
      <c r="C430"/>
      <c r="D430" s="68" t="s">
        <v>463</v>
      </c>
      <c r="E430"/>
      <c r="F430"/>
      <c r="G430"/>
      <c r="H430"/>
      <c r="I430"/>
      <c r="J430" s="112"/>
      <c r="K430" s="112"/>
      <c r="L430" s="112"/>
      <c r="M430" s="112"/>
      <c r="N430" s="112"/>
      <c r="O430" s="112"/>
      <c r="P430" s="112"/>
      <c r="Q430" s="112"/>
      <c r="R430" s="112">
        <f t="shared" ref="R430:AM430" si="594">R419+R366</f>
        <v>0.52348719536941957</v>
      </c>
      <c r="S430" s="112">
        <f t="shared" si="594"/>
        <v>0.5246357439769388</v>
      </c>
      <c r="T430" s="112">
        <f t="shared" si="594"/>
        <v>0.47912413066871545</v>
      </c>
      <c r="U430" s="112">
        <f t="shared" si="594"/>
        <v>0.42271321075669571</v>
      </c>
      <c r="V430" s="112">
        <f t="shared" si="594"/>
        <v>0.38343204027323524</v>
      </c>
      <c r="W430" s="112">
        <f t="shared" si="594"/>
        <v>0.45595313731964876</v>
      </c>
      <c r="X430" s="112">
        <f t="shared" si="594"/>
        <v>0.41534437167978622</v>
      </c>
      <c r="Y430" s="112">
        <f t="shared" si="594"/>
        <v>0.39717317502500815</v>
      </c>
      <c r="Z430" s="112">
        <f t="shared" si="594"/>
        <v>0.366909051767488</v>
      </c>
      <c r="AA430" s="112">
        <f t="shared" si="594"/>
        <v>0.34870981805101298</v>
      </c>
      <c r="AB430" s="112">
        <f t="shared" si="594"/>
        <v>0.35827963619143177</v>
      </c>
      <c r="AC430" s="112">
        <f t="shared" ca="1" si="594"/>
        <v>0.34707229174604115</v>
      </c>
      <c r="AD430" s="112">
        <f t="shared" ca="1" si="594"/>
        <v>0.33567576651242859</v>
      </c>
      <c r="AE430" s="112">
        <f t="shared" ca="1" si="594"/>
        <v>0.32304448363180605</v>
      </c>
      <c r="AF430" s="112">
        <f t="shared" ca="1" si="594"/>
        <v>0.31117800815395469</v>
      </c>
      <c r="AG430" s="112">
        <f t="shared" ca="1" si="594"/>
        <v>0.30021144018860557</v>
      </c>
      <c r="AH430" s="112">
        <f t="shared" ca="1" si="594"/>
        <v>0.28992146304115307</v>
      </c>
      <c r="AI430" s="112">
        <f t="shared" ca="1" si="594"/>
        <v>0.28029276611655118</v>
      </c>
      <c r="AJ430" s="112">
        <f t="shared" ca="1" si="594"/>
        <v>0.2712575994514147</v>
      </c>
      <c r="AK430" s="112">
        <f t="shared" ca="1" si="594"/>
        <v>0.26282144671984875</v>
      </c>
      <c r="AL430" s="112">
        <f t="shared" ca="1" si="594"/>
        <v>0.25492419782982056</v>
      </c>
      <c r="AM430" s="112">
        <f t="shared" ca="1" si="594"/>
        <v>0.24719237412914455</v>
      </c>
      <c r="AN430"/>
    </row>
    <row r="431" spans="1:40" s="3" customFormat="1">
      <c r="A431" s="125"/>
      <c r="B431" s="36"/>
      <c r="C431"/>
      <c r="D431" s="68" t="s">
        <v>462</v>
      </c>
      <c r="E431"/>
      <c r="F431"/>
      <c r="G431"/>
      <c r="H431"/>
      <c r="I431"/>
      <c r="J431" s="112"/>
      <c r="K431" s="112"/>
      <c r="L431" s="112"/>
      <c r="M431" s="112"/>
      <c r="N431" s="112"/>
      <c r="O431" s="112"/>
      <c r="P431" s="112"/>
      <c r="Q431" s="112"/>
      <c r="R431" s="112">
        <f t="shared" ref="R431:AM431" si="595">R411</f>
        <v>0.55339805825242716</v>
      </c>
      <c r="S431" s="112">
        <f t="shared" si="595"/>
        <v>0.53703703703703698</v>
      </c>
      <c r="T431" s="112">
        <f t="shared" si="595"/>
        <v>0.49152542372881358</v>
      </c>
      <c r="U431" s="112">
        <f t="shared" si="595"/>
        <v>0.43511450381679384</v>
      </c>
      <c r="V431" s="112">
        <f t="shared" si="595"/>
        <v>0.39583333333333337</v>
      </c>
      <c r="W431" s="112">
        <f t="shared" si="595"/>
        <v>0.46835443037974689</v>
      </c>
      <c r="X431" s="112">
        <f t="shared" si="595"/>
        <v>0.4277456647398844</v>
      </c>
      <c r="Y431" s="112">
        <f t="shared" si="595"/>
        <v>0.40957446808510634</v>
      </c>
      <c r="Z431" s="112">
        <f t="shared" si="595"/>
        <v>0.37931034482758619</v>
      </c>
      <c r="AA431" s="112">
        <f t="shared" si="595"/>
        <v>0.36111111111111116</v>
      </c>
      <c r="AB431" s="112">
        <f t="shared" si="595"/>
        <v>0.35909090909090913</v>
      </c>
      <c r="AC431" s="112">
        <f t="shared" ca="1" si="595"/>
        <v>0.34788356464551851</v>
      </c>
      <c r="AD431" s="112">
        <f t="shared" ca="1" si="595"/>
        <v>0.33648703941190594</v>
      </c>
      <c r="AE431" s="112">
        <f t="shared" ca="1" si="595"/>
        <v>0.3238557565312834</v>
      </c>
      <c r="AF431" s="112">
        <f t="shared" ca="1" si="595"/>
        <v>0.31198928105343204</v>
      </c>
      <c r="AG431" s="112">
        <f t="shared" ca="1" si="595"/>
        <v>0.30102271308808293</v>
      </c>
      <c r="AH431" s="112">
        <f t="shared" ca="1" si="595"/>
        <v>0.29073273594063043</v>
      </c>
      <c r="AI431" s="112">
        <f t="shared" ca="1" si="595"/>
        <v>0.28110403901602854</v>
      </c>
      <c r="AJ431" s="112">
        <f t="shared" ca="1" si="595"/>
        <v>0.27206887235089205</v>
      </c>
      <c r="AK431" s="112">
        <f t="shared" ca="1" si="595"/>
        <v>0.26363271961932611</v>
      </c>
      <c r="AL431" s="112">
        <f t="shared" ca="1" si="595"/>
        <v>0.25573547072929792</v>
      </c>
      <c r="AM431" s="112">
        <f t="shared" ca="1" si="595"/>
        <v>0.24800364702862188</v>
      </c>
      <c r="AN431"/>
    </row>
    <row r="432" spans="1:40" s="3" customFormat="1">
      <c r="A432" s="125"/>
      <c r="B432" s="36"/>
      <c r="C432"/>
      <c r="D432" s="68"/>
      <c r="E432"/>
      <c r="F432"/>
      <c r="G432"/>
      <c r="H432"/>
      <c r="I43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52"/>
      <c r="AM432" s="52"/>
      <c r="AN432"/>
    </row>
    <row r="433" spans="2:42">
      <c r="D433" t="s">
        <v>414</v>
      </c>
      <c r="L433" s="7"/>
      <c r="M433" s="276"/>
      <c r="N433" s="276"/>
      <c r="O433" s="276">
        <f t="shared" ref="O433:Z433" si="596">+O14-O399</f>
        <v>0</v>
      </c>
      <c r="P433" s="276">
        <f t="shared" si="596"/>
        <v>0</v>
      </c>
      <c r="Q433" s="276">
        <f t="shared" si="596"/>
        <v>0</v>
      </c>
      <c r="R433" s="276">
        <f t="shared" si="596"/>
        <v>0</v>
      </c>
      <c r="S433" s="276">
        <f t="shared" si="596"/>
        <v>0</v>
      </c>
      <c r="T433" s="276">
        <f t="shared" si="596"/>
        <v>-12.983000000000004</v>
      </c>
      <c r="U433" s="276">
        <f t="shared" si="596"/>
        <v>-11.510999999999996</v>
      </c>
      <c r="V433" s="276">
        <f t="shared" si="596"/>
        <v>-9.472999999999999</v>
      </c>
      <c r="W433" s="276">
        <f t="shared" si="596"/>
        <v>-10.360000000000014</v>
      </c>
      <c r="X433" s="276">
        <f t="shared" si="596"/>
        <v>-28.175000000000011</v>
      </c>
      <c r="Y433" s="276">
        <f t="shared" si="596"/>
        <v>-21.342000000000013</v>
      </c>
      <c r="Z433" s="276">
        <f t="shared" si="596"/>
        <v>-12.447000000000003</v>
      </c>
      <c r="AA433" s="7">
        <f>+AA14-AA399-AA415</f>
        <v>0.45469814504318151</v>
      </c>
      <c r="AB433" s="7">
        <f>+AB14-AB399-AB415</f>
        <v>-23.670971605575627</v>
      </c>
      <c r="AC433" s="7">
        <f>+AC14-AC399-AC415</f>
        <v>0</v>
      </c>
      <c r="AD433" s="7">
        <f ca="1">+AD14-AD399-AD415</f>
        <v>0</v>
      </c>
      <c r="AE433" s="7">
        <f ca="1">+AE14-AE399-AE415</f>
        <v>0</v>
      </c>
      <c r="AF433" s="7">
        <f t="shared" ref="AF433:AM433" ca="1" si="597">+AF14-AF399-AF415</f>
        <v>0</v>
      </c>
      <c r="AG433" s="7">
        <f t="shared" ca="1" si="597"/>
        <v>6.2521934296455584E-9</v>
      </c>
      <c r="AH433" s="7">
        <f t="shared" ca="1" si="597"/>
        <v>1.0277418027726526E-8</v>
      </c>
      <c r="AI433" s="7">
        <f t="shared" ca="1" si="597"/>
        <v>1.1697114388198315E-8</v>
      </c>
      <c r="AJ433" s="7">
        <f t="shared" ca="1" si="597"/>
        <v>1.0681905138198999E-8</v>
      </c>
      <c r="AK433" s="7">
        <f t="shared" ca="1" si="597"/>
        <v>7.8260029567900347E-9</v>
      </c>
      <c r="AL433" s="7">
        <f t="shared" ca="1" si="597"/>
        <v>3.9696281817214185E-9</v>
      </c>
      <c r="AM433" s="7">
        <f t="shared" ca="1" si="597"/>
        <v>0</v>
      </c>
      <c r="AP433" s="1"/>
    </row>
    <row r="434" spans="2:42">
      <c r="D434" s="3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AP434" s="1"/>
    </row>
    <row r="435" spans="2:42">
      <c r="B435" s="161" t="s">
        <v>184</v>
      </c>
      <c r="C435" s="53" t="s">
        <v>184</v>
      </c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</row>
    <row r="436" spans="2:42">
      <c r="C436" s="119"/>
      <c r="D436" s="120" t="s">
        <v>215</v>
      </c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  <c r="AA436" s="119"/>
      <c r="AB436" s="119"/>
      <c r="AC436" s="119"/>
      <c r="AD436" s="119"/>
      <c r="AE436" s="119"/>
      <c r="AF436" s="119"/>
      <c r="AG436" s="119"/>
      <c r="AH436" s="119"/>
      <c r="AI436" s="119"/>
      <c r="AJ436" s="119"/>
      <c r="AK436" s="119"/>
      <c r="AL436" s="119"/>
      <c r="AM436" s="119"/>
    </row>
    <row r="437" spans="2:42" ht="5.15" customHeight="1">
      <c r="B437" s="162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7"/>
      <c r="AO437" s="1"/>
    </row>
    <row r="438" spans="2:42">
      <c r="D438" s="36" t="s">
        <v>185</v>
      </c>
      <c r="I438" s="7"/>
      <c r="J438" s="7"/>
      <c r="K438" s="7"/>
      <c r="L438" s="7">
        <f t="shared" ref="L438:AM438" si="598">+SUM(L307:L309)</f>
        <v>800.97600000000011</v>
      </c>
      <c r="M438" s="7">
        <f t="shared" si="598"/>
        <v>959.73800000000006</v>
      </c>
      <c r="N438" s="7">
        <f t="shared" si="598"/>
        <v>1247.375</v>
      </c>
      <c r="O438" s="7">
        <f t="shared" si="598"/>
        <v>1488.9259999999999</v>
      </c>
      <c r="P438" s="7">
        <f t="shared" si="598"/>
        <v>1593.067</v>
      </c>
      <c r="Q438" s="7">
        <f t="shared" si="598"/>
        <v>1933.5819999999999</v>
      </c>
      <c r="R438" s="7">
        <f t="shared" si="598"/>
        <v>2239.2489999999998</v>
      </c>
      <c r="S438" s="7">
        <f t="shared" si="598"/>
        <v>2673.1120000000001</v>
      </c>
      <c r="T438" s="7">
        <f t="shared" si="598"/>
        <v>3019.1669999999999</v>
      </c>
      <c r="U438" s="7">
        <f t="shared" si="598"/>
        <v>3316.9969999999998</v>
      </c>
      <c r="V438" s="7">
        <f t="shared" si="598"/>
        <v>3156.7849999999999</v>
      </c>
      <c r="W438" s="7">
        <f t="shared" si="598"/>
        <v>2904.7860000000001</v>
      </c>
      <c r="X438" s="7">
        <f t="shared" si="598"/>
        <v>3108.58</v>
      </c>
      <c r="Y438" s="7">
        <f t="shared" si="598"/>
        <v>3316.8490000000002</v>
      </c>
      <c r="Z438" s="7">
        <f t="shared" si="598"/>
        <v>3357.0280000000002</v>
      </c>
      <c r="AA438" s="7">
        <f t="shared" si="598"/>
        <v>3768.875</v>
      </c>
      <c r="AB438" s="7">
        <f t="shared" si="598"/>
        <v>4364.6130000000003</v>
      </c>
      <c r="AC438" s="7">
        <f t="shared" ca="1" si="598"/>
        <v>5105.7945427853101</v>
      </c>
      <c r="AD438" s="7">
        <f t="shared" ca="1" si="598"/>
        <v>5365.673136335613</v>
      </c>
      <c r="AE438" s="7">
        <f t="shared" ca="1" si="598"/>
        <v>5640.082583132089</v>
      </c>
      <c r="AF438" s="7">
        <f t="shared" ca="1" si="598"/>
        <v>5950.0072879729651</v>
      </c>
      <c r="AG438" s="7">
        <f t="shared" ca="1" si="598"/>
        <v>6314.5016430057012</v>
      </c>
      <c r="AH438" s="7">
        <f t="shared" ca="1" si="598"/>
        <v>6726.2475677914754</v>
      </c>
      <c r="AI438" s="7">
        <f t="shared" ca="1" si="598"/>
        <v>6933.4094924821748</v>
      </c>
      <c r="AJ438" s="7">
        <f t="shared" ca="1" si="598"/>
        <v>7177.494110573416</v>
      </c>
      <c r="AK438" s="7">
        <f t="shared" ca="1" si="598"/>
        <v>7460.4022153419555</v>
      </c>
      <c r="AL438" s="7">
        <f t="shared" ca="1" si="598"/>
        <v>7778.8030694390636</v>
      </c>
      <c r="AM438" s="7">
        <f t="shared" ca="1" si="598"/>
        <v>8143.1222078529881</v>
      </c>
      <c r="AO438" s="1"/>
    </row>
    <row r="439" spans="2:42">
      <c r="D439" s="36" t="s">
        <v>186</v>
      </c>
      <c r="I439" s="4"/>
      <c r="J439" s="4"/>
      <c r="K439" s="4"/>
      <c r="L439" s="4">
        <f t="shared" ref="L439:AM439" si="599">+L438/L329</f>
        <v>3.7639849624060155</v>
      </c>
      <c r="M439" s="4">
        <f t="shared" si="599"/>
        <v>4.5090722870056288</v>
      </c>
      <c r="N439" s="4">
        <f t="shared" si="599"/>
        <v>5.7588873499538318</v>
      </c>
      <c r="O439" s="4">
        <f t="shared" si="599"/>
        <v>6.7678454545454541</v>
      </c>
      <c r="P439" s="4">
        <f t="shared" si="599"/>
        <v>7.2610164083865083</v>
      </c>
      <c r="Q439" s="4">
        <f t="shared" si="599"/>
        <v>8.7019891989198914</v>
      </c>
      <c r="R439" s="4">
        <f t="shared" si="599"/>
        <v>9.8385281195079077</v>
      </c>
      <c r="S439" s="4">
        <f t="shared" si="599"/>
        <v>11.585906787851995</v>
      </c>
      <c r="T439" s="4">
        <f t="shared" si="599"/>
        <v>13.0235869607416</v>
      </c>
      <c r="U439" s="4">
        <f t="shared" si="599"/>
        <v>14.57482511951631</v>
      </c>
      <c r="V439" s="4">
        <f t="shared" si="599"/>
        <v>14.434910444417008</v>
      </c>
      <c r="W439" s="4">
        <f t="shared" si="599"/>
        <v>14.13246083487399</v>
      </c>
      <c r="X439" s="4">
        <f t="shared" si="599"/>
        <v>16.172411102151237</v>
      </c>
      <c r="Y439" s="4">
        <f t="shared" si="599"/>
        <v>17.980425001355236</v>
      </c>
      <c r="Z439" s="4">
        <f t="shared" si="599"/>
        <v>19.086602533487984</v>
      </c>
      <c r="AA439" s="4">
        <f t="shared" si="599"/>
        <v>22.59246493226232</v>
      </c>
      <c r="AB439" s="4">
        <f t="shared" si="599"/>
        <v>26.430895096679645</v>
      </c>
      <c r="AC439" s="4">
        <f t="shared" ca="1" si="599"/>
        <v>31.220849933956409</v>
      </c>
      <c r="AD439" s="4">
        <f t="shared" ca="1" si="599"/>
        <v>33.992326795499913</v>
      </c>
      <c r="AE439" s="4">
        <f t="shared" ca="1" si="599"/>
        <v>37.050536962710638</v>
      </c>
      <c r="AF439" s="4">
        <f t="shared" ca="1" si="599"/>
        <v>40.541909939473427</v>
      </c>
      <c r="AG439" s="4">
        <f t="shared" ca="1" si="599"/>
        <v>44.615962389018058</v>
      </c>
      <c r="AH439" s="4">
        <f t="shared" ca="1" si="599"/>
        <v>49.28697774371993</v>
      </c>
      <c r="AI439" s="4">
        <f t="shared" ca="1" si="599"/>
        <v>52.70462966497103</v>
      </c>
      <c r="AJ439" s="4">
        <f t="shared" ca="1" si="599"/>
        <v>56.604018150466544</v>
      </c>
      <c r="AK439" s="4">
        <f t="shared" ca="1" si="599"/>
        <v>61.047974772039446</v>
      </c>
      <c r="AL439" s="4">
        <f t="shared" ca="1" si="599"/>
        <v>66.068628097876427</v>
      </c>
      <c r="AM439" s="4">
        <f t="shared" ca="1" si="599"/>
        <v>71.802241645424402</v>
      </c>
    </row>
    <row r="440" spans="2:42">
      <c r="D440" s="36" t="s">
        <v>229</v>
      </c>
      <c r="I440" s="4"/>
      <c r="J440" s="4"/>
      <c r="K440" s="4"/>
      <c r="L440" s="4">
        <f t="shared" ref="L440:AM440" si="600">(L438-L275-L278)/L329</f>
        <v>3.6835150375939851</v>
      </c>
      <c r="M440" s="4">
        <f t="shared" si="600"/>
        <v>4.406843445495805</v>
      </c>
      <c r="N440" s="4">
        <f t="shared" si="600"/>
        <v>5.6690674053554941</v>
      </c>
      <c r="O440" s="4">
        <f t="shared" si="600"/>
        <v>6.7089136363636364</v>
      </c>
      <c r="P440" s="4">
        <f t="shared" si="600"/>
        <v>6.6201914311759342</v>
      </c>
      <c r="Q440" s="4">
        <f t="shared" si="600"/>
        <v>8.6197299729973</v>
      </c>
      <c r="R440" s="4">
        <f t="shared" si="600"/>
        <v>9.6578558875219667</v>
      </c>
      <c r="S440" s="4">
        <f t="shared" si="600"/>
        <v>9.6673211367842544</v>
      </c>
      <c r="T440" s="4">
        <f t="shared" si="600"/>
        <v>11.085194307726152</v>
      </c>
      <c r="U440" s="4">
        <f t="shared" si="600"/>
        <v>11.815839426321709</v>
      </c>
      <c r="V440" s="4">
        <f t="shared" si="600"/>
        <v>14.308677540456625</v>
      </c>
      <c r="W440" s="4">
        <f t="shared" si="600"/>
        <v>13.95053031040187</v>
      </c>
      <c r="X440" s="4">
        <f t="shared" si="600"/>
        <v>15.97255156985667</v>
      </c>
      <c r="Y440" s="4">
        <f t="shared" si="600"/>
        <v>17.739057841383424</v>
      </c>
      <c r="Z440" s="4">
        <f t="shared" si="600"/>
        <v>18.819733460690003</v>
      </c>
      <c r="AA440" s="4">
        <f t="shared" si="600"/>
        <v>22.243519961635297</v>
      </c>
      <c r="AB440" s="4">
        <f t="shared" si="600"/>
        <v>25.629607649591538</v>
      </c>
      <c r="AC440" s="4">
        <f t="shared" ca="1" si="600"/>
        <v>31.197101272557688</v>
      </c>
      <c r="AD440" s="4">
        <f t="shared" ca="1" si="600"/>
        <v>33.586329259663771</v>
      </c>
      <c r="AE440" s="4">
        <f t="shared" ca="1" si="600"/>
        <v>36.790600300683863</v>
      </c>
      <c r="AF440" s="4">
        <f t="shared" ca="1" si="600"/>
        <v>40.025953765484942</v>
      </c>
      <c r="AG440" s="4">
        <f t="shared" ca="1" si="600"/>
        <v>43.376530160842229</v>
      </c>
      <c r="AH440" s="4">
        <f t="shared" ca="1" si="600"/>
        <v>47.025475283329605</v>
      </c>
      <c r="AI440" s="4">
        <f t="shared" ca="1" si="600"/>
        <v>50.94000211085168</v>
      </c>
      <c r="AJ440" s="4">
        <f t="shared" ca="1" si="600"/>
        <v>54.808175971155769</v>
      </c>
      <c r="AK440" s="4">
        <f t="shared" ca="1" si="600"/>
        <v>58.764912263159125</v>
      </c>
      <c r="AL440" s="4">
        <f t="shared" ca="1" si="600"/>
        <v>62.908932514998284</v>
      </c>
      <c r="AM440" s="4">
        <f t="shared" ca="1" si="600"/>
        <v>69.053492619706219</v>
      </c>
    </row>
    <row r="441" spans="2:42">
      <c r="D441" s="36" t="s">
        <v>25</v>
      </c>
      <c r="I441" s="4"/>
      <c r="J441" s="4"/>
      <c r="K441" s="4"/>
      <c r="L441" s="4">
        <f t="shared" ref="L441:AM441" si="601">+L233</f>
        <v>0.52770206766917205</v>
      </c>
      <c r="M441" s="4">
        <f t="shared" si="601"/>
        <v>0.63059676949531562</v>
      </c>
      <c r="N441" s="4">
        <f t="shared" si="601"/>
        <v>0.91688365650969506</v>
      </c>
      <c r="O441" s="4">
        <f t="shared" si="601"/>
        <v>0.82788636363636425</v>
      </c>
      <c r="P441" s="4">
        <f t="shared" si="601"/>
        <v>0.26963081130355676</v>
      </c>
      <c r="Q441" s="4">
        <f t="shared" si="601"/>
        <v>1.2504860486048626</v>
      </c>
      <c r="R441" s="4">
        <f t="shared" si="601"/>
        <v>1.6585588752196834</v>
      </c>
      <c r="S441" s="4">
        <f t="shared" si="601"/>
        <v>1.7936598749138624</v>
      </c>
      <c r="T441" s="4">
        <f t="shared" si="601"/>
        <v>1.8737959563977675</v>
      </c>
      <c r="U441" s="4">
        <f t="shared" si="601"/>
        <v>2.16462053571429</v>
      </c>
      <c r="V441" s="4">
        <f t="shared" si="601"/>
        <v>2.7315344481483019</v>
      </c>
      <c r="W441" s="4">
        <f t="shared" si="601"/>
        <v>3.0333122506568042</v>
      </c>
      <c r="X441" s="4">
        <f t="shared" si="601"/>
        <v>3.2619514606040081</v>
      </c>
      <c r="Y441" s="4">
        <f t="shared" si="601"/>
        <v>3.6001626280696017</v>
      </c>
      <c r="Z441" s="4">
        <f t="shared" si="601"/>
        <v>4.7895431079575195</v>
      </c>
      <c r="AA441" s="4">
        <f t="shared" si="601"/>
        <v>5.3250809255484919</v>
      </c>
      <c r="AB441" s="4">
        <f t="shared" si="601"/>
        <v>4.5227725530330032</v>
      </c>
      <c r="AC441" s="4">
        <f t="shared" ca="1" si="601"/>
        <v>5.7551253701407097</v>
      </c>
      <c r="AD441" s="4">
        <f t="shared" ca="1" si="601"/>
        <v>6.7144864400221769</v>
      </c>
      <c r="AE441" s="4">
        <f t="shared" ca="1" si="601"/>
        <v>7.5834864557750885</v>
      </c>
      <c r="AF441" s="4">
        <f t="shared" ca="1" si="601"/>
        <v>8.707469719883342</v>
      </c>
      <c r="AG441" s="4">
        <f t="shared" ca="1" si="601"/>
        <v>9.9620812079254755</v>
      </c>
      <c r="AH441" s="4">
        <f t="shared" ca="1" si="601"/>
        <v>11.290458122324027</v>
      </c>
      <c r="AI441" s="4">
        <f t="shared" ca="1" si="601"/>
        <v>12.731216733483723</v>
      </c>
      <c r="AJ441" s="4">
        <f t="shared" ca="1" si="601"/>
        <v>14.453228553702123</v>
      </c>
      <c r="AK441" s="4">
        <f t="shared" ca="1" si="601"/>
        <v>16.381959349603971</v>
      </c>
      <c r="AL441" s="4">
        <f t="shared" ca="1" si="601"/>
        <v>18.492056974791709</v>
      </c>
      <c r="AM441" s="4">
        <f t="shared" ca="1" si="601"/>
        <v>20.945201888577031</v>
      </c>
    </row>
    <row r="442" spans="2:42">
      <c r="D442" s="36" t="s">
        <v>1</v>
      </c>
      <c r="I442" s="1"/>
      <c r="J442" s="1"/>
      <c r="K442" s="1"/>
      <c r="L442" s="1">
        <f t="shared" ref="L442:Y442" si="602">+L441/AVERAGE(K439:L439)</f>
        <v>0.14019770879526952</v>
      </c>
      <c r="M442" s="1">
        <f t="shared" si="602"/>
        <v>0.15244588559813527</v>
      </c>
      <c r="N442" s="1">
        <f t="shared" si="602"/>
        <v>0.17859120778180268</v>
      </c>
      <c r="O442" s="1">
        <f t="shared" si="602"/>
        <v>0.13217913666028039</v>
      </c>
      <c r="P442" s="1">
        <f t="shared" si="602"/>
        <v>3.8439442049963315E-2</v>
      </c>
      <c r="Q442" s="1">
        <f t="shared" si="602"/>
        <v>0.15667300749835039</v>
      </c>
      <c r="R442" s="1">
        <f t="shared" si="602"/>
        <v>0.17891182287251584</v>
      </c>
      <c r="S442" s="1">
        <f t="shared" si="602"/>
        <v>0.16744057732861736</v>
      </c>
      <c r="T442" s="1">
        <f t="shared" si="602"/>
        <v>0.15228236513437851</v>
      </c>
      <c r="U442" s="1">
        <f t="shared" si="602"/>
        <v>0.15686558555756311</v>
      </c>
      <c r="V442" s="1">
        <f t="shared" si="602"/>
        <v>0.18831846585629089</v>
      </c>
      <c r="W442" s="1">
        <f t="shared" si="602"/>
        <v>0.21236201406152527</v>
      </c>
      <c r="X442" s="1">
        <f t="shared" si="602"/>
        <v>0.21527571325049502</v>
      </c>
      <c r="Y442" s="1">
        <f t="shared" si="602"/>
        <v>0.2108265689653793</v>
      </c>
      <c r="Z442" s="1">
        <f>+Z441/AVERAGE(Y439:Z439)</f>
        <v>0.25842606901539766</v>
      </c>
      <c r="AA442" s="1">
        <f t="shared" ref="AA442:AM442" si="603">+AA441/AVERAGE(Z439:AA439)</f>
        <v>0.25552783444228289</v>
      </c>
      <c r="AB442" s="1">
        <f t="shared" si="603"/>
        <v>0.18451499653891082</v>
      </c>
      <c r="AC442" s="1">
        <f t="shared" ca="1" si="603"/>
        <v>0.19965138495226623</v>
      </c>
      <c r="AD442" s="1">
        <f t="shared" ca="1" si="603"/>
        <v>0.20592422503439528</v>
      </c>
      <c r="AE442" s="1">
        <f t="shared" ca="1" si="603"/>
        <v>0.21349044941614281</v>
      </c>
      <c r="AF442" s="1">
        <f t="shared" ca="1" si="603"/>
        <v>0.22444116837455336</v>
      </c>
      <c r="AG442" s="1">
        <f t="shared" ca="1" si="603"/>
        <v>0.23396735816736547</v>
      </c>
      <c r="AH442" s="1">
        <f t="shared" ca="1" si="603"/>
        <v>0.24047081180555627</v>
      </c>
      <c r="AI442" s="1">
        <f t="shared" ca="1" si="603"/>
        <v>0.24965224211965631</v>
      </c>
      <c r="AJ442" s="1">
        <f t="shared" ca="1" si="603"/>
        <v>0.26444803485458368</v>
      </c>
      <c r="AK442" s="1">
        <f t="shared" ca="1" si="603"/>
        <v>0.27848162946792238</v>
      </c>
      <c r="AL442" s="1">
        <f t="shared" ca="1" si="603"/>
        <v>0.29094636825239045</v>
      </c>
      <c r="AM442" s="1">
        <f t="shared" ca="1" si="603"/>
        <v>0.30383795978910566</v>
      </c>
    </row>
    <row r="443" spans="2:42">
      <c r="D443" s="36" t="s">
        <v>230</v>
      </c>
      <c r="I443" s="1"/>
      <c r="J443" s="1"/>
      <c r="K443" s="1"/>
      <c r="L443" s="1">
        <f>+L441/AVERAGE(K440:L440)</f>
        <v>0.14326046243423479</v>
      </c>
      <c r="M443" s="1">
        <f t="shared" ref="M443:AK443" si="604">+M441/AVERAGE(L440:M440)</f>
        <v>0.15588846175688478</v>
      </c>
      <c r="N443" s="1">
        <f t="shared" si="604"/>
        <v>0.18199519032708172</v>
      </c>
      <c r="O443" s="1">
        <f t="shared" si="604"/>
        <v>0.13376759276751682</v>
      </c>
      <c r="P443" s="1">
        <f t="shared" si="604"/>
        <v>4.0457451559923537E-2</v>
      </c>
      <c r="Q443" s="1">
        <f t="shared" si="604"/>
        <v>0.16410662698856635</v>
      </c>
      <c r="R443" s="1">
        <f t="shared" si="604"/>
        <v>0.18148555152486245</v>
      </c>
      <c r="S443" s="1">
        <f t="shared" si="604"/>
        <v>0.18562933448504906</v>
      </c>
      <c r="T443" s="1">
        <f t="shared" si="604"/>
        <v>0.18058494753641408</v>
      </c>
      <c r="U443" s="1">
        <f t="shared" si="604"/>
        <v>0.18904129489107421</v>
      </c>
      <c r="V443" s="1">
        <f t="shared" si="604"/>
        <v>0.20911655144643648</v>
      </c>
      <c r="W443" s="1">
        <f t="shared" si="604"/>
        <v>0.21467779752818897</v>
      </c>
      <c r="X443" s="1">
        <f t="shared" si="604"/>
        <v>0.21802242654397497</v>
      </c>
      <c r="Y443" s="1">
        <f t="shared" si="604"/>
        <v>0.21358592431183301</v>
      </c>
      <c r="Z443" s="1">
        <f t="shared" si="604"/>
        <v>0.26201867935857498</v>
      </c>
      <c r="AA443" s="1">
        <f t="shared" si="604"/>
        <v>0.25935991338929554</v>
      </c>
      <c r="AB443" s="1">
        <f t="shared" si="604"/>
        <v>0.18894827970138126</v>
      </c>
      <c r="AC443" s="1">
        <f t="shared" ca="1" si="604"/>
        <v>0.20255001492432187</v>
      </c>
      <c r="AD443" s="1">
        <f t="shared" ca="1" si="604"/>
        <v>0.20729024026236401</v>
      </c>
      <c r="AE443" s="1">
        <f t="shared" ca="1" si="604"/>
        <v>0.21551058004803439</v>
      </c>
      <c r="AF443" s="1">
        <f t="shared" ca="1" si="604"/>
        <v>0.2267081575250782</v>
      </c>
      <c r="AG443" s="1">
        <f t="shared" ca="1" si="604"/>
        <v>0.23889171494521411</v>
      </c>
      <c r="AH443" s="1">
        <f t="shared" ca="1" si="604"/>
        <v>0.24978335528842888</v>
      </c>
      <c r="AI443" s="1">
        <f t="shared" ca="1" si="604"/>
        <v>0.25991230935888648</v>
      </c>
      <c r="AJ443" s="1">
        <f t="shared" ca="1" si="604"/>
        <v>0.27335182157925558</v>
      </c>
      <c r="AK443" s="1">
        <f t="shared" ca="1" si="604"/>
        <v>0.28848311874387045</v>
      </c>
      <c r="AL443" s="1">
        <f ca="1">+AL441/AVERAGE(AK440:AL440)</f>
        <v>0.30396108561387969</v>
      </c>
      <c r="AM443" s="1">
        <f ca="1">+AM441/AVERAGE(AL440:AM440)</f>
        <v>0.31744190616679863</v>
      </c>
    </row>
    <row r="444" spans="2:42">
      <c r="D444" s="36" t="s">
        <v>187</v>
      </c>
      <c r="I444" s="7"/>
      <c r="J444" s="7"/>
      <c r="K444" s="7"/>
      <c r="L444" s="7">
        <f t="shared" ref="L444:AM444" si="605">SUM(L292,L300,L302,L307,L308,L309,L310,SUM(L276:L277,L280)-SUM(L294:L297))</f>
        <v>1594.4690000000001</v>
      </c>
      <c r="M444" s="7">
        <f t="shared" si="605"/>
        <v>1800.799</v>
      </c>
      <c r="N444" s="7">
        <f t="shared" si="605"/>
        <v>2240.1329999999998</v>
      </c>
      <c r="O444" s="7">
        <f t="shared" si="605"/>
        <v>2796.65</v>
      </c>
      <c r="P444" s="7">
        <f t="shared" si="605"/>
        <v>2784.1639999999998</v>
      </c>
      <c r="Q444" s="7">
        <f t="shared" si="605"/>
        <v>3274.4630000000002</v>
      </c>
      <c r="R444" s="7">
        <f t="shared" si="605"/>
        <v>3059.7979999999998</v>
      </c>
      <c r="S444" s="7">
        <f t="shared" si="605"/>
        <v>3412.623</v>
      </c>
      <c r="T444" s="7">
        <f t="shared" si="605"/>
        <v>4155.3209999999999</v>
      </c>
      <c r="U444" s="7">
        <f t="shared" si="605"/>
        <v>4425.0639999999994</v>
      </c>
      <c r="V444" s="7">
        <f t="shared" si="605"/>
        <v>5010.1090000000004</v>
      </c>
      <c r="W444" s="7">
        <f t="shared" si="605"/>
        <v>5007.6959999999999</v>
      </c>
      <c r="X444" s="7">
        <f t="shared" si="605"/>
        <v>5745.4569999999994</v>
      </c>
      <c r="Y444" s="7">
        <f t="shared" si="605"/>
        <v>6111.4339999999993</v>
      </c>
      <c r="Z444" s="7">
        <f t="shared" si="605"/>
        <v>6828.8250000000007</v>
      </c>
      <c r="AA444" s="7">
        <f t="shared" si="605"/>
        <v>7580.02</v>
      </c>
      <c r="AB444" s="7">
        <f t="shared" si="605"/>
        <v>7939.0480000000007</v>
      </c>
      <c r="AC444" s="7">
        <f t="shared" ca="1" si="605"/>
        <v>9510.0781375725674</v>
      </c>
      <c r="AD444" s="7">
        <f t="shared" ca="1" si="605"/>
        <v>10271.530232651749</v>
      </c>
      <c r="AE444" s="7">
        <f t="shared" ca="1" si="605"/>
        <v>11063.004733279251</v>
      </c>
      <c r="AF444" s="7">
        <f t="shared" ca="1" si="605"/>
        <v>11981.168176017884</v>
      </c>
      <c r="AG444" s="7">
        <f t="shared" ca="1" si="605"/>
        <v>13007.032662585545</v>
      </c>
      <c r="AH444" s="7">
        <f t="shared" ca="1" si="605"/>
        <v>14119.436515532096</v>
      </c>
      <c r="AI444" s="7">
        <f t="shared" ca="1" si="605"/>
        <v>15075.369200781042</v>
      </c>
      <c r="AJ444" s="7">
        <f t="shared" ca="1" si="605"/>
        <v>16159.778227452689</v>
      </c>
      <c r="AK444" s="7">
        <f t="shared" ca="1" si="605"/>
        <v>17355.040891850629</v>
      </c>
      <c r="AL444" s="7">
        <f t="shared" ca="1" si="605"/>
        <v>18650.121811723802</v>
      </c>
      <c r="AM444" s="7">
        <f t="shared" ca="1" si="605"/>
        <v>19946.221723683735</v>
      </c>
    </row>
    <row r="445" spans="2:42">
      <c r="D445" s="36" t="s">
        <v>231</v>
      </c>
      <c r="I445" s="7"/>
      <c r="J445" s="7"/>
      <c r="K445" s="7"/>
      <c r="L445" s="7">
        <f t="shared" ref="L445:AM445" si="606">SUM(L292,L300,L302,L307,L308,L309,L310,SUM(L276:L277,L280)-SUM(L294:L297))-SUM(L275,L278)</f>
        <v>1577.345</v>
      </c>
      <c r="M445" s="7">
        <f t="shared" si="606"/>
        <v>1779.04</v>
      </c>
      <c r="N445" s="7">
        <f t="shared" si="606"/>
        <v>2220.6779999999999</v>
      </c>
      <c r="O445" s="7">
        <f t="shared" si="606"/>
        <v>2783.6849999999999</v>
      </c>
      <c r="P445" s="7">
        <f t="shared" si="606"/>
        <v>2643.5669999999996</v>
      </c>
      <c r="Q445" s="7">
        <f t="shared" si="606"/>
        <v>3256.1850000000004</v>
      </c>
      <c r="R445" s="7">
        <f t="shared" si="606"/>
        <v>3018.6769999999997</v>
      </c>
      <c r="S445" s="7">
        <f t="shared" si="606"/>
        <v>2969.9650000000001</v>
      </c>
      <c r="T445" s="7">
        <f t="shared" si="606"/>
        <v>3705.9569999999999</v>
      </c>
      <c r="U445" s="7">
        <f t="shared" si="606"/>
        <v>3797.1629999999996</v>
      </c>
      <c r="V445" s="7">
        <f t="shared" si="606"/>
        <v>4982.5030000000006</v>
      </c>
      <c r="W445" s="7">
        <f t="shared" si="606"/>
        <v>4970.3019999999997</v>
      </c>
      <c r="X445" s="7">
        <f t="shared" si="606"/>
        <v>5707.0409999999993</v>
      </c>
      <c r="Y445" s="7">
        <f t="shared" si="606"/>
        <v>6066.9089999999997</v>
      </c>
      <c r="Z445" s="7">
        <f t="shared" si="606"/>
        <v>6781.8870000000006</v>
      </c>
      <c r="AA445" s="7">
        <f t="shared" si="606"/>
        <v>7521.8090000000002</v>
      </c>
      <c r="AB445" s="7">
        <f t="shared" si="606"/>
        <v>7806.7290000000003</v>
      </c>
      <c r="AC445" s="7">
        <f t="shared" ca="1" si="606"/>
        <v>9506.194329603708</v>
      </c>
      <c r="AD445" s="7">
        <f t="shared" ca="1" si="606"/>
        <v>10207.443708520577</v>
      </c>
      <c r="AE445" s="7">
        <f t="shared" ca="1" si="606"/>
        <v>11023.435421728105</v>
      </c>
      <c r="AF445" s="7">
        <f t="shared" ca="1" si="606"/>
        <v>11905.445473261912</v>
      </c>
      <c r="AG445" s="7">
        <f t="shared" ca="1" si="606"/>
        <v>12831.615694708216</v>
      </c>
      <c r="AH445" s="7">
        <f t="shared" ca="1" si="606"/>
        <v>13810.806810078242</v>
      </c>
      <c r="AI445" s="7">
        <f t="shared" ca="1" si="606"/>
        <v>14843.228580266288</v>
      </c>
      <c r="AJ445" s="7">
        <f t="shared" ca="1" si="606"/>
        <v>15932.062120245269</v>
      </c>
      <c r="AK445" s="7">
        <f t="shared" ca="1" si="606"/>
        <v>17076.037949285925</v>
      </c>
      <c r="AL445" s="7">
        <f t="shared" ca="1" si="606"/>
        <v>18278.104858955026</v>
      </c>
      <c r="AM445" s="7">
        <f t="shared" ca="1" si="606"/>
        <v>19634.48494886723</v>
      </c>
    </row>
    <row r="446" spans="2:42">
      <c r="D446" s="36" t="s">
        <v>55</v>
      </c>
      <c r="I446" s="66"/>
      <c r="J446" s="66"/>
      <c r="K446" s="66"/>
      <c r="L446" s="66">
        <f t="shared" ref="L446:AM446" si="607">+(L218*(1+SUM(L223,L225)))/AVERAGE(K444:L444)</f>
        <v>7.1502502173973179E-2</v>
      </c>
      <c r="M446" s="66">
        <f t="shared" si="607"/>
        <v>8.0550125678396409E-2</v>
      </c>
      <c r="N446" s="66">
        <f t="shared" si="607"/>
        <v>9.992597295256464E-2</v>
      </c>
      <c r="O446" s="66">
        <f t="shared" si="607"/>
        <v>7.3527813013804844E-2</v>
      </c>
      <c r="P446" s="66">
        <f t="shared" si="607"/>
        <v>2.2533824953588324E-2</v>
      </c>
      <c r="Q446" s="66">
        <f t="shared" si="607"/>
        <v>9.9117789103260981E-2</v>
      </c>
      <c r="R446" s="66">
        <f t="shared" si="607"/>
        <v>0.12598553686676792</v>
      </c>
      <c r="S446" s="66">
        <f t="shared" si="607"/>
        <v>0.13434050694241478</v>
      </c>
      <c r="T446" s="66">
        <f t="shared" si="607"/>
        <v>0.12009249617856764</v>
      </c>
      <c r="U446" s="66">
        <f t="shared" si="607"/>
        <v>0.11926806499981403</v>
      </c>
      <c r="V446" s="66">
        <f t="shared" si="607"/>
        <v>0.12982140787599908</v>
      </c>
      <c r="W446" s="66">
        <f t="shared" si="607"/>
        <v>0.12895259094810158</v>
      </c>
      <c r="X446" s="66">
        <f t="shared" si="607"/>
        <v>0.12315319584654917</v>
      </c>
      <c r="Y446" s="66">
        <f t="shared" si="607"/>
        <v>0.11947400144246677</v>
      </c>
      <c r="Z446" s="66">
        <f t="shared" si="607"/>
        <v>0.13906669484336354</v>
      </c>
      <c r="AA446" s="66">
        <f t="shared" si="607"/>
        <v>0.13212003501390268</v>
      </c>
      <c r="AB446" s="66">
        <f t="shared" si="607"/>
        <v>0.10484426054263371</v>
      </c>
      <c r="AC446" s="66">
        <f t="shared" ca="1" si="607"/>
        <v>0.11525805779226536</v>
      </c>
      <c r="AD446" s="66">
        <f t="shared" ca="1" si="607"/>
        <v>0.11475063268177826</v>
      </c>
      <c r="AE446" s="66">
        <f t="shared" ca="1" si="607"/>
        <v>0.11610217166112691</v>
      </c>
      <c r="AF446" s="66">
        <f t="shared" ca="1" si="607"/>
        <v>0.11903856539843187</v>
      </c>
      <c r="AG446" s="66">
        <f t="shared" ca="1" si="607"/>
        <v>0.12123392814095182</v>
      </c>
      <c r="AH446" s="66">
        <f t="shared" ca="1" si="607"/>
        <v>0.12220008832257077</v>
      </c>
      <c r="AI446" s="66">
        <f t="shared" ca="1" si="607"/>
        <v>0.12359540911781551</v>
      </c>
      <c r="AJ446" s="66">
        <f t="shared" ca="1" si="607"/>
        <v>0.12660023337156248</v>
      </c>
      <c r="AK446" s="66">
        <f t="shared" ca="1" si="607"/>
        <v>0.12911949357078381</v>
      </c>
      <c r="AL446" s="66">
        <f t="shared" ca="1" si="607"/>
        <v>0.13097887193396074</v>
      </c>
      <c r="AM446" s="66">
        <f t="shared" ca="1" si="607"/>
        <v>0.13339320409790881</v>
      </c>
    </row>
    <row r="447" spans="2:42">
      <c r="D447" s="36" t="s">
        <v>225</v>
      </c>
      <c r="E447" s="101"/>
      <c r="F447" s="101"/>
      <c r="G447" s="101"/>
      <c r="H447" s="101"/>
      <c r="I447" s="115"/>
      <c r="J447" s="115"/>
      <c r="K447" s="115"/>
      <c r="L447" s="198">
        <f t="shared" ref="L447:AM447" si="608">+(L218*(1+SUM(L223,L225)))/AVERAGE(K445:L445)</f>
        <v>7.227874887157397E-2</v>
      </c>
      <c r="M447" s="198">
        <f t="shared" si="608"/>
        <v>8.1483281599648905E-2</v>
      </c>
      <c r="N447" s="198">
        <f t="shared" si="608"/>
        <v>0.10095563280590104</v>
      </c>
      <c r="O447" s="198">
        <f t="shared" si="608"/>
        <v>7.4004151700248572E-2</v>
      </c>
      <c r="P447" s="198">
        <f t="shared" si="608"/>
        <v>2.3171410830846822E-2</v>
      </c>
      <c r="Q447" s="198">
        <f t="shared" si="608"/>
        <v>0.10178694176320001</v>
      </c>
      <c r="R447" s="198">
        <f t="shared" si="608"/>
        <v>0.12717813917489026</v>
      </c>
      <c r="S447" s="198">
        <f t="shared" si="608"/>
        <v>0.14519290321323788</v>
      </c>
      <c r="T447" s="198">
        <f t="shared" si="608"/>
        <v>0.13613899112356523</v>
      </c>
      <c r="U447" s="198">
        <f t="shared" si="608"/>
        <v>0.13639204969445101</v>
      </c>
      <c r="V447" s="198">
        <f t="shared" si="608"/>
        <v>0.13951412757770212</v>
      </c>
      <c r="W447" s="198">
        <f t="shared" si="608"/>
        <v>0.12979475739380472</v>
      </c>
      <c r="X447" s="198">
        <f t="shared" si="608"/>
        <v>0.12402759351056791</v>
      </c>
      <c r="Y447" s="198">
        <f t="shared" si="608"/>
        <v>0.12031563005084711</v>
      </c>
      <c r="Z447" s="198">
        <f t="shared" si="608"/>
        <v>0.14005662861696058</v>
      </c>
      <c r="AA447" s="198">
        <f t="shared" si="608"/>
        <v>0.13309127276683569</v>
      </c>
      <c r="AB447" s="198">
        <f t="shared" si="608"/>
        <v>0.10614744920688779</v>
      </c>
      <c r="AC447" s="198">
        <f t="shared" ca="1" si="608"/>
        <v>0.11616480651479336</v>
      </c>
      <c r="AD447" s="198">
        <f t="shared" ca="1" si="608"/>
        <v>0.11514627952265996</v>
      </c>
      <c r="AE447" s="198">
        <f t="shared" ca="1" si="608"/>
        <v>0.11666901901371345</v>
      </c>
      <c r="AF447" s="198">
        <f t="shared" ca="1" si="608"/>
        <v>0.11963712038451553</v>
      </c>
      <c r="AG447" s="198">
        <f t="shared" ca="1" si="608"/>
        <v>0.12246473921330032</v>
      </c>
      <c r="AH447" s="198">
        <f t="shared" ca="1" si="608"/>
        <v>0.12442025228186127</v>
      </c>
      <c r="AI447" s="198">
        <f t="shared" ca="1" si="608"/>
        <v>0.1259279507220388</v>
      </c>
      <c r="AJ447" s="198">
        <f t="shared" ca="1" si="608"/>
        <v>0.12849194479725318</v>
      </c>
      <c r="AK447" s="198">
        <f t="shared" ca="1" si="608"/>
        <v>0.1311016527060089</v>
      </c>
      <c r="AL447" s="198">
        <f t="shared" ca="1" si="608"/>
        <v>0.13339074914902554</v>
      </c>
      <c r="AM447" s="198">
        <f t="shared" ca="1" si="608"/>
        <v>0.13579895113336116</v>
      </c>
    </row>
    <row r="448" spans="2:42">
      <c r="D448" s="36"/>
      <c r="L448" s="116"/>
      <c r="M448" s="117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8"/>
      <c r="AA448" s="117"/>
    </row>
    <row r="449" spans="1:41">
      <c r="D449" s="164" t="s">
        <v>189</v>
      </c>
      <c r="I449" s="66"/>
      <c r="J449" s="66"/>
      <c r="K449" s="66"/>
      <c r="L449" s="14">
        <f>+L459</f>
        <v>2.1347641769480796E-2</v>
      </c>
      <c r="M449" s="14">
        <f t="shared" ref="M449:AK449" si="609">+M459</f>
        <v>2.1440894568690087E-2</v>
      </c>
      <c r="N449" s="14">
        <f t="shared" si="609"/>
        <v>2.6601612730390051E-2</v>
      </c>
      <c r="O449" s="14">
        <f t="shared" si="609"/>
        <v>2.2213210722735827E-2</v>
      </c>
      <c r="P449" s="14">
        <f t="shared" si="609"/>
        <v>8.482384823848289E-3</v>
      </c>
      <c r="Q449" s="14">
        <f t="shared" si="609"/>
        <v>3.7195523546893053E-2</v>
      </c>
      <c r="R449" s="14">
        <f t="shared" si="609"/>
        <v>4.2057601247841338E-2</v>
      </c>
      <c r="S449" s="14">
        <f t="shared" si="609"/>
        <v>4.1369020842705169E-2</v>
      </c>
      <c r="T449" s="14">
        <f t="shared" si="609"/>
        <v>3.9623548513623194E-2</v>
      </c>
      <c r="U449" s="14">
        <f t="shared" si="609"/>
        <v>3.9177767350866526E-2</v>
      </c>
      <c r="V449" s="14">
        <f>+V459</f>
        <v>4.1865201454932846E-2</v>
      </c>
      <c r="W449" s="14">
        <f t="shared" si="609"/>
        <v>4.1153752219515866E-2</v>
      </c>
      <c r="X449" s="14">
        <f t="shared" si="609"/>
        <v>3.9495313444869944E-2</v>
      </c>
      <c r="Y449" s="14">
        <f t="shared" si="609"/>
        <v>3.8791493139722986E-2</v>
      </c>
      <c r="Z449" s="14">
        <f t="shared" si="609"/>
        <v>4.6354446957316046E-2</v>
      </c>
      <c r="AA449" s="14">
        <f t="shared" si="609"/>
        <v>4.3717027559055079E-2</v>
      </c>
      <c r="AB449" s="14">
        <f t="shared" si="609"/>
        <v>3.9412916367627761E-2</v>
      </c>
      <c r="AC449" s="14">
        <f t="shared" ca="1" si="609"/>
        <v>3.9919727243281973E-2</v>
      </c>
      <c r="AD449" s="14">
        <f t="shared" ca="1" si="609"/>
        <v>4.1785575401062848E-2</v>
      </c>
      <c r="AE449" s="14">
        <f t="shared" ca="1" si="609"/>
        <v>4.2023780844217623E-2</v>
      </c>
      <c r="AF449" s="14">
        <f t="shared" ca="1" si="609"/>
        <v>4.2898811556461511E-2</v>
      </c>
      <c r="AG449" s="14">
        <f t="shared" ca="1" si="609"/>
        <v>4.3714774707884638E-2</v>
      </c>
      <c r="AH449" s="14">
        <f t="shared" ca="1" si="609"/>
        <v>4.416911290222976E-2</v>
      </c>
      <c r="AI449" s="14">
        <f t="shared" ca="1" si="609"/>
        <v>4.4438609750865082E-2</v>
      </c>
      <c r="AJ449" s="14">
        <f t="shared" ca="1" si="609"/>
        <v>4.5056349030909673E-2</v>
      </c>
      <c r="AK449" s="14">
        <f t="shared" ca="1" si="609"/>
        <v>4.5657266592654268E-2</v>
      </c>
      <c r="AL449" s="14">
        <f ca="1">+AL459</f>
        <v>4.6112425946914649E-2</v>
      </c>
      <c r="AM449" s="14">
        <f ca="1">+AM459</f>
        <v>4.6554420628010448E-2</v>
      </c>
    </row>
    <row r="450" spans="1:41">
      <c r="D450" s="164" t="s">
        <v>190</v>
      </c>
      <c r="I450" s="66"/>
      <c r="J450" s="66"/>
      <c r="K450" s="66"/>
      <c r="L450" s="66">
        <f t="shared" ref="L450:AB450" si="610">+L205/(L290-L286)</f>
        <v>4.068249893852574</v>
      </c>
      <c r="M450" s="66">
        <f t="shared" si="610"/>
        <v>4.203466584119357</v>
      </c>
      <c r="N450" s="66">
        <f t="shared" si="610"/>
        <v>3.9593269526027366</v>
      </c>
      <c r="O450" s="66">
        <f t="shared" si="610"/>
        <v>3.5142881267087867</v>
      </c>
      <c r="P450" s="66">
        <f t="shared" si="610"/>
        <v>2.9312954383156939</v>
      </c>
      <c r="Q450" s="66">
        <f t="shared" si="610"/>
        <v>2.9223950792409488</v>
      </c>
      <c r="R450" s="66">
        <f t="shared" si="610"/>
        <v>3.199851406822309</v>
      </c>
      <c r="S450" s="66">
        <f t="shared" si="610"/>
        <v>2.9669044896099774</v>
      </c>
      <c r="T450" s="66">
        <f t="shared" si="610"/>
        <v>2.7457469712103428</v>
      </c>
      <c r="U450" s="66">
        <f t="shared" si="610"/>
        <v>2.757939854482335</v>
      </c>
      <c r="V450" s="66">
        <f t="shared" si="610"/>
        <v>2.9959285673642477</v>
      </c>
      <c r="W450" s="66">
        <f t="shared" si="610"/>
        <v>3.0773190190815849</v>
      </c>
      <c r="X450" s="66">
        <f t="shared" si="610"/>
        <v>2.7933165355217415</v>
      </c>
      <c r="Y450" s="66">
        <f t="shared" si="610"/>
        <v>2.8770866915561668</v>
      </c>
      <c r="Z450" s="66">
        <f t="shared" si="610"/>
        <v>2.8894899020253191</v>
      </c>
      <c r="AA450" s="66">
        <f t="shared" si="610"/>
        <v>2.6983703940961994</v>
      </c>
      <c r="AB450" s="66">
        <f t="shared" si="610"/>
        <v>2.3534841366852959</v>
      </c>
      <c r="AC450" s="66">
        <f t="shared" ref="AC450:AM450" ca="1" si="611">+AC205/AC290</f>
        <v>0.98740112147054659</v>
      </c>
      <c r="AD450" s="66">
        <f t="shared" ca="1" si="611"/>
        <v>0.99323422732720823</v>
      </c>
      <c r="AE450" s="66">
        <f t="shared" ca="1" si="611"/>
        <v>1.0062444800156518</v>
      </c>
      <c r="AF450" s="66">
        <f t="shared" ca="1" si="611"/>
        <v>1.0174824521026511</v>
      </c>
      <c r="AG450" s="66">
        <f t="shared" ca="1" si="611"/>
        <v>1.0251946070873152</v>
      </c>
      <c r="AH450" s="66">
        <f t="shared" ca="1" si="611"/>
        <v>1.0312054665587822</v>
      </c>
      <c r="AI450" s="66">
        <f t="shared" ca="1" si="611"/>
        <v>1.0427416087231376</v>
      </c>
      <c r="AJ450" s="66">
        <f t="shared" ca="1" si="611"/>
        <v>1.0512458633368416</v>
      </c>
      <c r="AK450" s="66">
        <f t="shared" ca="1" si="611"/>
        <v>1.0575093123877326</v>
      </c>
      <c r="AL450" s="66">
        <f t="shared" ca="1" si="611"/>
        <v>1.0622786499560286</v>
      </c>
      <c r="AM450" s="66">
        <f t="shared" ca="1" si="611"/>
        <v>1.0728818843453392</v>
      </c>
    </row>
    <row r="451" spans="1:41">
      <c r="D451" s="164" t="s">
        <v>191</v>
      </c>
      <c r="I451" s="66"/>
      <c r="J451" s="66"/>
      <c r="K451" s="66"/>
      <c r="L451" s="66">
        <f t="shared" ref="L451:AB451" si="612">(L290-L286)/SUM(L307:L310)</f>
        <v>1.6142968078943689</v>
      </c>
      <c r="M451" s="66">
        <f t="shared" si="612"/>
        <v>1.5517224492517749</v>
      </c>
      <c r="N451" s="66">
        <f t="shared" si="612"/>
        <v>1.5116328289407754</v>
      </c>
      <c r="O451" s="66">
        <f t="shared" si="612"/>
        <v>1.5670093745424556</v>
      </c>
      <c r="P451" s="66">
        <f t="shared" si="612"/>
        <v>1.4934632378926938</v>
      </c>
      <c r="Q451" s="66">
        <f t="shared" si="612"/>
        <v>1.3219977223619168</v>
      </c>
      <c r="R451" s="66">
        <f t="shared" si="612"/>
        <v>1.2526405058124399</v>
      </c>
      <c r="S451" s="66">
        <f t="shared" si="612"/>
        <v>1.2613373476307763</v>
      </c>
      <c r="T451" s="66">
        <f t="shared" si="612"/>
        <v>1.322445561971233</v>
      </c>
      <c r="U451" s="66">
        <f t="shared" si="612"/>
        <v>1.374529129812297</v>
      </c>
      <c r="V451" s="66">
        <f t="shared" si="612"/>
        <v>1.5087175718333685</v>
      </c>
      <c r="W451" s="66">
        <f t="shared" si="612"/>
        <v>1.6947957612023736</v>
      </c>
      <c r="X451" s="66">
        <f t="shared" si="612"/>
        <v>1.828255988264738</v>
      </c>
      <c r="Y451" s="66">
        <f t="shared" si="612"/>
        <v>1.794042478267778</v>
      </c>
      <c r="Z451" s="66">
        <f t="shared" si="612"/>
        <v>1.8734964379206842</v>
      </c>
      <c r="AA451" s="66">
        <f t="shared" si="612"/>
        <v>1.9980686544393225</v>
      </c>
      <c r="AB451" s="66">
        <f t="shared" si="612"/>
        <v>1.8447734083182168</v>
      </c>
      <c r="AC451" s="66">
        <f t="shared" ref="AC451:AM451" ca="1" si="613">+AC290/SUM(AC307:AC310)</f>
        <v>4.6765855731911765</v>
      </c>
      <c r="AD451" s="66">
        <f t="shared" ca="1" si="613"/>
        <v>4.7594179447477849</v>
      </c>
      <c r="AE451" s="66">
        <f t="shared" ca="1" si="613"/>
        <v>4.8403389547987246</v>
      </c>
      <c r="AF451" s="66">
        <f t="shared" ca="1" si="613"/>
        <v>4.9205718694624947</v>
      </c>
      <c r="AG451" s="66">
        <f t="shared" ca="1" si="613"/>
        <v>4.9822470053736403</v>
      </c>
      <c r="AH451" s="66">
        <f t="shared" ca="1" si="613"/>
        <v>5.0293920677149524</v>
      </c>
      <c r="AI451" s="66">
        <f t="shared" ca="1" si="613"/>
        <v>5.2129550262123798</v>
      </c>
      <c r="AJ451" s="66">
        <f t="shared" ca="1" si="613"/>
        <v>5.390850791417539</v>
      </c>
      <c r="AK451" s="66">
        <f t="shared" ca="1" si="613"/>
        <v>5.557768779331183</v>
      </c>
      <c r="AL451" s="66">
        <f t="shared" ca="1" si="613"/>
        <v>5.7139115092179171</v>
      </c>
      <c r="AM451" s="66">
        <f t="shared" ca="1" si="613"/>
        <v>5.8402805432850666</v>
      </c>
    </row>
    <row r="452" spans="1:41">
      <c r="D452" s="164" t="s">
        <v>1</v>
      </c>
      <c r="I452" s="1"/>
      <c r="J452" s="1"/>
      <c r="K452" s="1"/>
      <c r="L452" s="1">
        <f>+L449*L450*L451</f>
        <v>0.14019770879526949</v>
      </c>
      <c r="M452" s="1">
        <f t="shared" ref="M452:AL452" si="614">+M449*M450*M451</f>
        <v>0.13985066757802644</v>
      </c>
      <c r="N452" s="1">
        <f t="shared" si="614"/>
        <v>0.15921194508467779</v>
      </c>
      <c r="O452" s="1">
        <f t="shared" si="614"/>
        <v>0.12232642858006385</v>
      </c>
      <c r="P452" s="1">
        <f t="shared" si="614"/>
        <v>3.7134031399809524E-2</v>
      </c>
      <c r="Q452" s="1">
        <f t="shared" si="614"/>
        <v>0.14370117222853776</v>
      </c>
      <c r="R452" s="1">
        <f t="shared" si="614"/>
        <v>0.16857794733859427</v>
      </c>
      <c r="S452" s="1">
        <f t="shared" si="614"/>
        <v>0.15481393970772689</v>
      </c>
      <c r="T452" s="1">
        <f t="shared" si="614"/>
        <v>0.14387710252529912</v>
      </c>
      <c r="U452" s="1">
        <f t="shared" si="614"/>
        <v>0.14851777074263287</v>
      </c>
      <c r="V452" s="1">
        <f>+V449*V450*V451</f>
        <v>0.18923113230707833</v>
      </c>
      <c r="W452" s="1">
        <f t="shared" si="614"/>
        <v>0.21463439991792835</v>
      </c>
      <c r="X452" s="1">
        <f t="shared" si="614"/>
        <v>0.20169852472833236</v>
      </c>
      <c r="Y452" s="1">
        <f t="shared" si="614"/>
        <v>0.20022678150256445</v>
      </c>
      <c r="Z452" s="1">
        <f t="shared" si="614"/>
        <v>0.25093743632760884</v>
      </c>
      <c r="AA452" s="1">
        <f t="shared" si="614"/>
        <v>0.23570163510331316</v>
      </c>
      <c r="AB452" s="1">
        <f t="shared" si="614"/>
        <v>0.17111688940119066</v>
      </c>
      <c r="AC452" s="1">
        <f t="shared" ca="1" si="614"/>
        <v>0.18433596081832876</v>
      </c>
      <c r="AD452" s="1">
        <f t="shared" ca="1" si="614"/>
        <v>0.19752947423743514</v>
      </c>
      <c r="AE452" s="1">
        <f t="shared" ca="1" si="614"/>
        <v>0.20467952902835007</v>
      </c>
      <c r="AF452" s="1">
        <f t="shared" ca="1" si="614"/>
        <v>0.21477699824472704</v>
      </c>
      <c r="AG452" s="1">
        <f t="shared" ca="1" si="614"/>
        <v>0.22328513550994356</v>
      </c>
      <c r="AH452" s="1">
        <f t="shared" ca="1" si="614"/>
        <v>0.22907588655588176</v>
      </c>
      <c r="AI452" s="1">
        <f t="shared" ca="1" si="614"/>
        <v>0.24155784443105963</v>
      </c>
      <c r="AJ452" s="1">
        <f t="shared" ca="1" si="614"/>
        <v>0.25533926787917238</v>
      </c>
      <c r="AK452" s="1">
        <f t="shared" ca="1" si="614"/>
        <v>0.26834566438225926</v>
      </c>
      <c r="AL452" s="1">
        <f t="shared" ca="1" si="614"/>
        <v>0.27989164459612326</v>
      </c>
      <c r="AM452" s="1">
        <f ca="1">+AM449*AM450*AM451</f>
        <v>0.29170679644957598</v>
      </c>
    </row>
    <row r="454" spans="1:41">
      <c r="C454" s="119"/>
      <c r="D454" s="120" t="s">
        <v>216</v>
      </c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  <c r="AA454" s="119"/>
      <c r="AB454" s="119"/>
      <c r="AC454" s="119"/>
      <c r="AD454" s="119"/>
      <c r="AE454" s="119"/>
      <c r="AF454" s="119"/>
      <c r="AG454" s="119"/>
      <c r="AH454" s="119"/>
      <c r="AI454" s="119"/>
      <c r="AJ454" s="119"/>
      <c r="AK454" s="119"/>
      <c r="AL454" s="119"/>
      <c r="AM454" s="119"/>
    </row>
    <row r="455" spans="1:41" ht="5.15" customHeight="1">
      <c r="B455" s="162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7"/>
      <c r="AO455" s="1"/>
    </row>
    <row r="456" spans="1:41">
      <c r="D456" s="164" t="s">
        <v>171</v>
      </c>
      <c r="I456" s="66"/>
      <c r="J456" s="66"/>
      <c r="K456" s="66"/>
      <c r="L456" s="66">
        <f t="shared" ref="L456:AM456" si="615">+L207/L$205</f>
        <v>0.12360435716594111</v>
      </c>
      <c r="M456" s="66">
        <f t="shared" si="615"/>
        <v>0.12631214057507986</v>
      </c>
      <c r="N456" s="66">
        <f t="shared" si="615"/>
        <v>0.13007152807543934</v>
      </c>
      <c r="O456" s="66">
        <f t="shared" si="615"/>
        <v>0.13080225382345051</v>
      </c>
      <c r="P456" s="66">
        <f t="shared" si="615"/>
        <v>0.13881361035832585</v>
      </c>
      <c r="Q456" s="66">
        <f t="shared" si="615"/>
        <v>0.14710449519423852</v>
      </c>
      <c r="R456" s="66">
        <f t="shared" si="615"/>
        <v>0.14497242493454401</v>
      </c>
      <c r="S456" s="66">
        <f t="shared" si="615"/>
        <v>0.13783175888439056</v>
      </c>
      <c r="T456" s="66">
        <f t="shared" si="615"/>
        <v>0.13357779419679097</v>
      </c>
      <c r="U456" s="66">
        <f t="shared" si="615"/>
        <v>0.13111664267593431</v>
      </c>
      <c r="V456" s="66">
        <f t="shared" si="615"/>
        <v>0.13228254851528171</v>
      </c>
      <c r="W456" s="66">
        <f t="shared" si="615"/>
        <v>0.13325676416034635</v>
      </c>
      <c r="X456" s="66">
        <f t="shared" si="615"/>
        <v>0.13752897601290057</v>
      </c>
      <c r="Y456" s="66">
        <f t="shared" si="615"/>
        <v>0.13603149477520837</v>
      </c>
      <c r="Z456" s="66">
        <f t="shared" si="615"/>
        <v>0.13649845100725802</v>
      </c>
      <c r="AA456" s="66">
        <f t="shared" si="615"/>
        <v>0.13397145669291333</v>
      </c>
      <c r="AB456" s="66">
        <f t="shared" si="615"/>
        <v>0.12554882424958833</v>
      </c>
      <c r="AC456" s="66">
        <f t="shared" ca="1" si="615"/>
        <v>0.13157327207656475</v>
      </c>
      <c r="AD456" s="66">
        <f t="shared" ca="1" si="615"/>
        <v>0.13211408690734094</v>
      </c>
      <c r="AE456" s="66">
        <f t="shared" ca="1" si="615"/>
        <v>0.13140235358587601</v>
      </c>
      <c r="AF456" s="66">
        <f t="shared" ca="1" si="615"/>
        <v>0.13079482911141496</v>
      </c>
      <c r="AG456" s="66">
        <f t="shared" ca="1" si="615"/>
        <v>0.13019607990328994</v>
      </c>
      <c r="AH456" s="66">
        <f t="shared" ca="1" si="615"/>
        <v>0.12960709182022775</v>
      </c>
      <c r="AI456" s="66">
        <f t="shared" ca="1" si="615"/>
        <v>0.12897855449642026</v>
      </c>
      <c r="AJ456" s="66">
        <f t="shared" ca="1" si="615"/>
        <v>0.12836830028317095</v>
      </c>
      <c r="AK456" s="66">
        <f t="shared" ca="1" si="615"/>
        <v>0.12777653073151077</v>
      </c>
      <c r="AL456" s="66">
        <f t="shared" ca="1" si="615"/>
        <v>0.12720336571067145</v>
      </c>
      <c r="AM456" s="66">
        <f t="shared" ca="1" si="615"/>
        <v>0.12664732321647232</v>
      </c>
    </row>
    <row r="457" spans="1:41">
      <c r="D457" s="164" t="s">
        <v>103</v>
      </c>
      <c r="I457" s="66"/>
      <c r="J457" s="66"/>
      <c r="K457" s="66"/>
      <c r="L457" s="66">
        <f t="shared" ref="L457:AM457" si="616">+L212/L$205</f>
        <v>3.9321141379769192E-2</v>
      </c>
      <c r="M457" s="66">
        <f t="shared" si="616"/>
        <v>3.9678274760383374E-2</v>
      </c>
      <c r="N457" s="66">
        <f t="shared" si="616"/>
        <v>4.8659585297899689E-2</v>
      </c>
      <c r="O457" s="66">
        <f t="shared" si="616"/>
        <v>4.2533478059370217E-2</v>
      </c>
      <c r="P457" s="66">
        <f t="shared" si="616"/>
        <v>2.2593452918656221E-2</v>
      </c>
      <c r="Q457" s="66">
        <f t="shared" si="616"/>
        <v>7.4655029316484225E-2</v>
      </c>
      <c r="R457" s="66">
        <f t="shared" si="616"/>
        <v>8.0129352125229786E-2</v>
      </c>
      <c r="S457" s="66">
        <f t="shared" si="616"/>
        <v>7.8320187934223115E-2</v>
      </c>
      <c r="T457" s="66">
        <f t="shared" si="616"/>
        <v>7.5627434346751288E-2</v>
      </c>
      <c r="U457" s="66">
        <f t="shared" si="616"/>
        <v>7.3969445615262946E-2</v>
      </c>
      <c r="V457" s="66">
        <f t="shared" si="616"/>
        <v>7.7721235992066567E-2</v>
      </c>
      <c r="W457" s="66">
        <f t="shared" si="616"/>
        <v>7.8133626408443679E-2</v>
      </c>
      <c r="X457" s="66">
        <f t="shared" si="616"/>
        <v>7.7587809917355324E-2</v>
      </c>
      <c r="Y457" s="66">
        <f t="shared" si="616"/>
        <v>7.6768806621379276E-2</v>
      </c>
      <c r="Z457" s="66">
        <f t="shared" si="616"/>
        <v>7.5432314794944194E-2</v>
      </c>
      <c r="AA457" s="66">
        <f t="shared" si="616"/>
        <v>7.1835679133858216E-2</v>
      </c>
      <c r="AB457" s="66">
        <f t="shared" si="616"/>
        <v>6.826165196099121E-2</v>
      </c>
      <c r="AC457" s="66">
        <f t="shared" ca="1" si="616"/>
        <v>6.5444620270537185E-2</v>
      </c>
      <c r="AD457" s="66">
        <f t="shared" ca="1" si="616"/>
        <v>6.8199720577514708E-2</v>
      </c>
      <c r="AE457" s="66">
        <f t="shared" ca="1" si="616"/>
        <v>6.8548202074855513E-2</v>
      </c>
      <c r="AF457" s="66">
        <f t="shared" ca="1" si="616"/>
        <v>6.975406155888407E-2</v>
      </c>
      <c r="AG457" s="66">
        <f t="shared" ca="1" si="616"/>
        <v>7.0905897321096117E-2</v>
      </c>
      <c r="AH457" s="66">
        <f t="shared" ca="1" si="616"/>
        <v>7.1551622713259808E-2</v>
      </c>
      <c r="AI457" s="66">
        <f t="shared" ca="1" si="616"/>
        <v>7.1940529723100305E-2</v>
      </c>
      <c r="AJ457" s="66">
        <f t="shared" ca="1" si="616"/>
        <v>7.2819555907487246E-2</v>
      </c>
      <c r="AK457" s="66">
        <f t="shared" ca="1" si="616"/>
        <v>7.3692808111149116E-2</v>
      </c>
      <c r="AL457" s="66">
        <f t="shared" ca="1" si="616"/>
        <v>7.437115894901071E-2</v>
      </c>
      <c r="AM457" s="66">
        <f t="shared" ca="1" si="616"/>
        <v>7.4895123595842217E-2</v>
      </c>
    </row>
    <row r="458" spans="1:41">
      <c r="D458" s="164" t="s">
        <v>188</v>
      </c>
      <c r="I458" s="66"/>
      <c r="J458" s="66"/>
      <c r="K458" s="66"/>
      <c r="L458" s="66">
        <f t="shared" ref="L458:AM458" si="617">+L218/L$205</f>
        <v>3.5491511890956763E-2</v>
      </c>
      <c r="M458" s="66">
        <f t="shared" si="617"/>
        <v>3.5414376996805101E-2</v>
      </c>
      <c r="N458" s="66">
        <f t="shared" si="617"/>
        <v>4.4031558079725669E-2</v>
      </c>
      <c r="O458" s="66">
        <f t="shared" si="617"/>
        <v>3.6848305973607845E-2</v>
      </c>
      <c r="P458" s="66">
        <f t="shared" si="617"/>
        <v>1.4744268077601461E-2</v>
      </c>
      <c r="Q458" s="66">
        <f t="shared" si="617"/>
        <v>6.4584616208401446E-2</v>
      </c>
      <c r="R458" s="66">
        <f t="shared" si="617"/>
        <v>7.1626093253857714E-2</v>
      </c>
      <c r="S458" s="66">
        <f t="shared" si="617"/>
        <v>7.004188534013106E-2</v>
      </c>
      <c r="T458" s="66">
        <f t="shared" si="617"/>
        <v>6.6936029700170541E-2</v>
      </c>
      <c r="U458" s="66">
        <f t="shared" si="617"/>
        <v>6.5864739985526111E-2</v>
      </c>
      <c r="V458" s="66">
        <f t="shared" si="617"/>
        <v>6.9649512569470245E-2</v>
      </c>
      <c r="W458" s="66">
        <f t="shared" si="617"/>
        <v>6.9066780200267949E-2</v>
      </c>
      <c r="X458" s="66">
        <f t="shared" si="617"/>
        <v>6.6950148659544406E-2</v>
      </c>
      <c r="Y458" s="66">
        <f t="shared" si="617"/>
        <v>6.6258359958645568E-2</v>
      </c>
      <c r="Z458" s="66">
        <f t="shared" si="617"/>
        <v>6.5403921180205923E-2</v>
      </c>
      <c r="AA458" s="66">
        <f t="shared" si="617"/>
        <v>6.1215059055118072E-2</v>
      </c>
      <c r="AB458" s="66">
        <f t="shared" si="617"/>
        <v>5.5482701481825415E-2</v>
      </c>
      <c r="AC458" s="66">
        <f t="shared" ca="1" si="617"/>
        <v>5.6119727644857093E-2</v>
      </c>
      <c r="AD458" s="66">
        <f t="shared" ca="1" si="617"/>
        <v>5.8876687314308659E-2</v>
      </c>
      <c r="AE458" s="66">
        <f t="shared" ca="1" si="617"/>
        <v>5.9321918382116534E-2</v>
      </c>
      <c r="AF458" s="66">
        <f t="shared" ca="1" si="617"/>
        <v>6.058222456946017E-2</v>
      </c>
      <c r="AG458" s="66">
        <f t="shared" ca="1" si="617"/>
        <v>6.1793803666825409E-2</v>
      </c>
      <c r="AH458" s="66">
        <f t="shared" ca="1" si="617"/>
        <v>6.2515492045863208E-2</v>
      </c>
      <c r="AI458" s="66">
        <f t="shared" ca="1" si="617"/>
        <v>6.298785346436607E-2</v>
      </c>
      <c r="AJ458" s="66">
        <f t="shared" ca="1" si="617"/>
        <v>6.3958758078435096E-2</v>
      </c>
      <c r="AK458" s="14">
        <f t="shared" ca="1" si="617"/>
        <v>6.4928921376029056E-2</v>
      </c>
      <c r="AL458" s="66">
        <f t="shared" ca="1" si="617"/>
        <v>6.5710942364353764E-2</v>
      </c>
      <c r="AM458" s="66">
        <f t="shared" ca="1" si="617"/>
        <v>6.6383432624357669E-2</v>
      </c>
    </row>
    <row r="459" spans="1:41">
      <c r="D459" s="164" t="s">
        <v>172</v>
      </c>
      <c r="L459" s="66">
        <f t="shared" ref="L459:AM459" si="618">+L226/L$205</f>
        <v>2.1347641769480796E-2</v>
      </c>
      <c r="M459" s="66">
        <f t="shared" si="618"/>
        <v>2.1440894568690087E-2</v>
      </c>
      <c r="N459" s="66">
        <f t="shared" si="618"/>
        <v>2.6601612730390051E-2</v>
      </c>
      <c r="O459" s="66">
        <f t="shared" si="618"/>
        <v>2.2213210722735827E-2</v>
      </c>
      <c r="P459" s="66">
        <f t="shared" si="618"/>
        <v>8.482384823848289E-3</v>
      </c>
      <c r="Q459" s="66">
        <f t="shared" si="618"/>
        <v>3.7195523546893053E-2</v>
      </c>
      <c r="R459" s="66">
        <f t="shared" si="618"/>
        <v>4.2057601247841338E-2</v>
      </c>
      <c r="S459" s="66">
        <f t="shared" si="618"/>
        <v>4.1369020842705169E-2</v>
      </c>
      <c r="T459" s="66">
        <f t="shared" si="618"/>
        <v>3.9623548513623194E-2</v>
      </c>
      <c r="U459" s="66">
        <f t="shared" si="618"/>
        <v>3.9177767350866526E-2</v>
      </c>
      <c r="V459" s="66">
        <f t="shared" si="618"/>
        <v>4.1865201454932846E-2</v>
      </c>
      <c r="W459" s="66">
        <f t="shared" si="618"/>
        <v>4.1153752219515866E-2</v>
      </c>
      <c r="X459" s="66">
        <f t="shared" si="618"/>
        <v>3.9495313444869944E-2</v>
      </c>
      <c r="Y459" s="66">
        <f t="shared" si="618"/>
        <v>3.8791493139722986E-2</v>
      </c>
      <c r="Z459" s="66">
        <f t="shared" si="618"/>
        <v>4.6354446957316046E-2</v>
      </c>
      <c r="AA459" s="66">
        <f t="shared" si="618"/>
        <v>4.3717027559055079E-2</v>
      </c>
      <c r="AB459" s="14">
        <f t="shared" si="618"/>
        <v>3.9412916367627761E-2</v>
      </c>
      <c r="AC459" s="66">
        <f t="shared" ca="1" si="618"/>
        <v>3.9919727243281973E-2</v>
      </c>
      <c r="AD459" s="66">
        <f t="shared" ca="1" si="618"/>
        <v>4.1785575401062848E-2</v>
      </c>
      <c r="AE459" s="66">
        <f t="shared" ca="1" si="618"/>
        <v>4.2023780844217623E-2</v>
      </c>
      <c r="AF459" s="66">
        <f t="shared" ca="1" si="618"/>
        <v>4.2898811556320325E-2</v>
      </c>
      <c r="AG459" s="66">
        <f t="shared" ca="1" si="618"/>
        <v>4.3714774707774483E-2</v>
      </c>
      <c r="AH459" s="66">
        <f t="shared" ca="1" si="618"/>
        <v>4.4169112902218262E-2</v>
      </c>
      <c r="AI459" s="66">
        <f t="shared" ca="1" si="618"/>
        <v>4.4438609750993292E-2</v>
      </c>
      <c r="AJ459" s="66">
        <f t="shared" ca="1" si="618"/>
        <v>4.5056349031179034E-2</v>
      </c>
      <c r="AK459" s="66">
        <f t="shared" ca="1" si="618"/>
        <v>4.5657266593033971E-2</v>
      </c>
      <c r="AL459" s="66">
        <f t="shared" ca="1" si="618"/>
        <v>4.6112425947358072E-2</v>
      </c>
      <c r="AM459" s="66">
        <f t="shared" ca="1" si="618"/>
        <v>4.6554420628418192E-2</v>
      </c>
    </row>
    <row r="461" spans="1:41">
      <c r="B461"/>
      <c r="C461" s="119"/>
      <c r="D461" s="120" t="s">
        <v>130</v>
      </c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  <c r="AA461" s="119"/>
      <c r="AB461" s="119"/>
      <c r="AC461" s="119"/>
      <c r="AD461" s="119"/>
      <c r="AE461" s="119"/>
      <c r="AF461" s="119"/>
      <c r="AG461" s="119"/>
      <c r="AH461" s="119"/>
      <c r="AI461" s="119"/>
      <c r="AJ461" s="119"/>
      <c r="AK461" s="119"/>
      <c r="AL461" s="119"/>
      <c r="AM461" s="119"/>
    </row>
    <row r="462" spans="1:41" ht="5.15" customHeight="1"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N462" s="7"/>
      <c r="AO462" s="1"/>
    </row>
    <row r="463" spans="1:41">
      <c r="A463" s="124" t="s">
        <v>476</v>
      </c>
      <c r="B463"/>
      <c r="D463" t="s">
        <v>223</v>
      </c>
      <c r="I463" s="7"/>
      <c r="J463" s="7"/>
      <c r="K463" s="7"/>
      <c r="L463" s="7">
        <f t="shared" ref="L463:AB463" si="619">+L276</f>
        <v>576.56700000000001</v>
      </c>
      <c r="M463" s="7">
        <f t="shared" si="619"/>
        <v>669.7</v>
      </c>
      <c r="N463" s="7">
        <f t="shared" si="619"/>
        <v>836.11599999999999</v>
      </c>
      <c r="O463" s="7">
        <f t="shared" si="619"/>
        <v>975.77700000000004</v>
      </c>
      <c r="P463" s="7">
        <f t="shared" si="619"/>
        <v>703.15700000000004</v>
      </c>
      <c r="Q463" s="7">
        <f t="shared" si="619"/>
        <v>843.13300000000004</v>
      </c>
      <c r="R463" s="7">
        <f t="shared" si="619"/>
        <v>1049.4770000000001</v>
      </c>
      <c r="S463" s="7">
        <f t="shared" si="619"/>
        <v>1092.5920000000001</v>
      </c>
      <c r="T463" s="7">
        <f t="shared" si="619"/>
        <v>1517.8130000000001</v>
      </c>
      <c r="U463" s="7">
        <f t="shared" si="619"/>
        <v>1641.424</v>
      </c>
      <c r="V463" s="7">
        <f t="shared" si="619"/>
        <v>2086.8739999999998</v>
      </c>
      <c r="W463" s="7">
        <f t="shared" si="619"/>
        <v>1932.029</v>
      </c>
      <c r="X463" s="7">
        <f t="shared" si="619"/>
        <v>2260.5630000000001</v>
      </c>
      <c r="Y463" s="7">
        <f t="shared" si="619"/>
        <v>2390.694</v>
      </c>
      <c r="Z463" s="7">
        <f t="shared" si="619"/>
        <v>2519.4549999999999</v>
      </c>
      <c r="AA463" s="7">
        <f t="shared" si="619"/>
        <v>2846.4160000000002</v>
      </c>
      <c r="AB463" s="7">
        <f t="shared" si="619"/>
        <v>3157.1590000000001</v>
      </c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</row>
    <row r="464" spans="1:41">
      <c r="A464" s="124" t="s">
        <v>477</v>
      </c>
      <c r="B464"/>
      <c r="D464" t="s">
        <v>495</v>
      </c>
      <c r="I464" s="4"/>
      <c r="J464" s="4"/>
      <c r="K464" s="4"/>
      <c r="L464" s="7">
        <f t="shared" ref="L464:AB464" si="620">+L52+L53</f>
        <v>4586.8999999999996</v>
      </c>
      <c r="M464" s="7">
        <f t="shared" si="620"/>
        <v>5549.6</v>
      </c>
      <c r="N464" s="7">
        <f t="shared" si="620"/>
        <v>6791.2</v>
      </c>
      <c r="O464" s="7">
        <f t="shared" si="620"/>
        <v>7574.3</v>
      </c>
      <c r="P464" s="7">
        <f t="shared" si="620"/>
        <v>6470.5</v>
      </c>
      <c r="Q464" s="7">
        <f t="shared" si="620"/>
        <v>7037.2</v>
      </c>
      <c r="R464" s="7">
        <f t="shared" si="620"/>
        <v>8511.7000000000007</v>
      </c>
      <c r="S464" s="7">
        <f t="shared" si="620"/>
        <v>9548.5</v>
      </c>
      <c r="T464" s="7">
        <f t="shared" si="620"/>
        <v>10506.6</v>
      </c>
      <c r="U464" s="7">
        <f t="shared" si="620"/>
        <v>12129.699999999999</v>
      </c>
      <c r="V464" s="7">
        <f t="shared" si="620"/>
        <v>13723.6</v>
      </c>
      <c r="W464" s="7">
        <f t="shared" si="620"/>
        <v>14627.7</v>
      </c>
      <c r="X464" s="7">
        <f t="shared" si="620"/>
        <v>15353.2</v>
      </c>
      <c r="Y464" s="7">
        <f t="shared" si="620"/>
        <v>16573.599999999999</v>
      </c>
      <c r="Z464" s="7">
        <f t="shared" si="620"/>
        <v>17565.8</v>
      </c>
      <c r="AA464" s="7">
        <f t="shared" si="620"/>
        <v>19669.5</v>
      </c>
      <c r="AB464" s="7">
        <f t="shared" si="620"/>
        <v>18381.8</v>
      </c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spans="1:39">
      <c r="A465" s="124" t="s">
        <v>478</v>
      </c>
      <c r="B465"/>
      <c r="D465" t="s">
        <v>496</v>
      </c>
      <c r="I465" s="4"/>
      <c r="J465" s="4"/>
      <c r="K465" s="4"/>
      <c r="L465" s="259">
        <f t="shared" ref="L465:Z465" si="621">AVERAGE(K463:L463)/L464*365</f>
        <v>45.879996293793198</v>
      </c>
      <c r="M465" s="259">
        <f t="shared" si="621"/>
        <v>40.983805589592038</v>
      </c>
      <c r="N465" s="259">
        <f t="shared" si="621"/>
        <v>40.46581163859112</v>
      </c>
      <c r="O465" s="259">
        <f t="shared" si="621"/>
        <v>43.656901957936704</v>
      </c>
      <c r="P465" s="259">
        <f t="shared" si="621"/>
        <v>47.354216057491698</v>
      </c>
      <c r="Q465" s="259">
        <f t="shared" si="621"/>
        <v>40.100881742738586</v>
      </c>
      <c r="R465" s="259">
        <f t="shared" si="621"/>
        <v>40.579593383225443</v>
      </c>
      <c r="S465" s="259">
        <f t="shared" si="621"/>
        <v>40.941257003717865</v>
      </c>
      <c r="T465" s="259">
        <f t="shared" si="621"/>
        <v>45.342823796470789</v>
      </c>
      <c r="U465" s="259">
        <f t="shared" si="621"/>
        <v>47.532977114025904</v>
      </c>
      <c r="V465" s="259">
        <f t="shared" si="621"/>
        <v>49.57987590719636</v>
      </c>
      <c r="W465" s="259">
        <f t="shared" si="621"/>
        <v>50.141156675348817</v>
      </c>
      <c r="X465" s="259">
        <f t="shared" si="621"/>
        <v>49.836388505327889</v>
      </c>
      <c r="Y465" s="259">
        <f t="shared" si="621"/>
        <v>51.217261337307527</v>
      </c>
      <c r="Z465" s="259">
        <f t="shared" si="621"/>
        <v>51.014026830545717</v>
      </c>
      <c r="AA465" s="259">
        <f>AVERAGE(Z463:AA463)/AA464*365</f>
        <v>49.786291339383311</v>
      </c>
      <c r="AB465" s="259">
        <f>AVERAGE(AA463:AB463)/AB464*365</f>
        <v>59.605285526988659</v>
      </c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</row>
    <row r="466" spans="1:39">
      <c r="A466" s="124" t="s">
        <v>479</v>
      </c>
      <c r="B466"/>
      <c r="D466" t="s">
        <v>507</v>
      </c>
      <c r="I466" s="4"/>
      <c r="J466" s="4"/>
      <c r="K466" s="4"/>
      <c r="L466" s="295">
        <v>75</v>
      </c>
      <c r="M466" s="295">
        <v>75</v>
      </c>
      <c r="N466" s="295">
        <v>75</v>
      </c>
      <c r="O466" s="295">
        <v>75</v>
      </c>
      <c r="P466" s="295">
        <v>75</v>
      </c>
      <c r="Q466" s="295">
        <v>75</v>
      </c>
      <c r="R466" s="295">
        <v>75</v>
      </c>
      <c r="S466" s="295">
        <v>75</v>
      </c>
      <c r="T466" s="295">
        <v>75</v>
      </c>
      <c r="U466" s="295">
        <v>75</v>
      </c>
      <c r="V466" s="295">
        <v>75</v>
      </c>
      <c r="W466" s="295">
        <v>75</v>
      </c>
      <c r="X466" s="295">
        <v>75</v>
      </c>
      <c r="Y466" s="295">
        <v>75</v>
      </c>
      <c r="Z466" s="295">
        <v>75</v>
      </c>
      <c r="AA466" s="295">
        <v>75</v>
      </c>
      <c r="AB466" s="295">
        <v>75</v>
      </c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</row>
    <row r="467" spans="1:39">
      <c r="A467" s="124" t="s">
        <v>480</v>
      </c>
      <c r="B46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spans="1:39">
      <c r="A468" s="124" t="s">
        <v>481</v>
      </c>
      <c r="B468"/>
      <c r="D468" t="s">
        <v>497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81"/>
      <c r="T468" s="81"/>
      <c r="U468" s="81"/>
      <c r="V468" s="81"/>
      <c r="W468" s="81"/>
      <c r="X468" s="81">
        <v>185.506</v>
      </c>
      <c r="Y468" s="81">
        <v>227</v>
      </c>
      <c r="Z468" s="81">
        <v>412</v>
      </c>
      <c r="AA468" s="81">
        <v>762</v>
      </c>
      <c r="AB468" s="81">
        <v>1036</v>
      </c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</row>
    <row r="469" spans="1:39">
      <c r="A469" s="124" t="s">
        <v>482</v>
      </c>
      <c r="B469"/>
      <c r="D469" t="s">
        <v>498</v>
      </c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81"/>
      <c r="T469" s="81"/>
      <c r="U469" s="81"/>
      <c r="V469" s="81"/>
      <c r="W469" s="81"/>
      <c r="X469" s="81">
        <f>341.989+10.163</f>
        <v>352.15199999999999</v>
      </c>
      <c r="Y469" s="81">
        <f>796+28</f>
        <v>824</v>
      </c>
      <c r="Z469" s="81">
        <f>1785+73</f>
        <v>1858</v>
      </c>
      <c r="AA469" s="81">
        <f>3420+267</f>
        <v>3687</v>
      </c>
      <c r="AB469" s="81">
        <f>4740+445</f>
        <v>5185</v>
      </c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</row>
    <row r="470" spans="1:39">
      <c r="B470"/>
      <c r="D470" t="s">
        <v>499</v>
      </c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259"/>
      <c r="T470" s="259"/>
      <c r="U470" s="259"/>
      <c r="V470" s="259"/>
      <c r="W470" s="259"/>
      <c r="X470" s="259"/>
      <c r="Y470" s="259">
        <f>AVERAGE(X468:Y468)/Y469*365</f>
        <v>91.362069174757266</v>
      </c>
      <c r="Z470" s="259">
        <f>AVERAGE(Y468:Z468)/Z469*365</f>
        <v>62.765069967707213</v>
      </c>
      <c r="AA470" s="259">
        <f>AVERAGE(Z468:AA468)/AA469*365</f>
        <v>58.110930295633302</v>
      </c>
      <c r="AB470" s="259">
        <f>AVERAGE(AA468:AB468)/AB469*365</f>
        <v>63.2854387656702</v>
      </c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</row>
    <row r="471" spans="1:39">
      <c r="B471"/>
      <c r="D471" t="s">
        <v>500</v>
      </c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295"/>
      <c r="T471" s="295"/>
      <c r="U471" s="295"/>
      <c r="V471" s="295"/>
      <c r="W471" s="295"/>
      <c r="X471" s="295"/>
      <c r="Y471" s="295"/>
      <c r="Z471" s="295">
        <v>64</v>
      </c>
      <c r="AA471" s="295">
        <v>62</v>
      </c>
      <c r="AB471" s="295">
        <v>67</v>
      </c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</row>
    <row r="472" spans="1:39">
      <c r="B472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</row>
    <row r="473" spans="1:39">
      <c r="B473"/>
      <c r="D473" t="s">
        <v>501</v>
      </c>
      <c r="I473" s="7"/>
      <c r="J473" s="7"/>
      <c r="K473" s="7"/>
      <c r="L473" s="81">
        <f>2142.5+290.2</f>
        <v>2432.6999999999998</v>
      </c>
      <c r="M473" s="81">
        <f>2118.2+318.8</f>
        <v>2437</v>
      </c>
      <c r="N473" s="81">
        <f>1856.3+299.9</f>
        <v>2156.1999999999998</v>
      </c>
      <c r="O473" s="81">
        <f>1806.1+305.2</f>
        <v>2111.2999999999997</v>
      </c>
      <c r="P473" s="81">
        <f>1493.3+140.1</f>
        <v>1633.3999999999999</v>
      </c>
      <c r="Q473" s="81">
        <f>1068.1+219.5</f>
        <v>1287.5999999999999</v>
      </c>
      <c r="R473" s="81">
        <f>1479.6+271.8</f>
        <v>1751.3999999999999</v>
      </c>
      <c r="S473" s="81">
        <f>1397.1+286.3</f>
        <v>1683.3999999999999</v>
      </c>
      <c r="T473" s="81">
        <f>1938+318.7</f>
        <v>2256.6999999999998</v>
      </c>
      <c r="U473" s="81">
        <f>2330.8+346.5</f>
        <v>2677.3</v>
      </c>
      <c r="V473" s="81">
        <f>2294.3+437.6</f>
        <v>2731.9</v>
      </c>
      <c r="W473" s="81">
        <f>2888.1+539.7</f>
        <v>3427.8</v>
      </c>
      <c r="X473" s="81">
        <f>2761.5+559.1</f>
        <v>3320.6</v>
      </c>
      <c r="Y473" s="81">
        <f>2577.9+576.5</f>
        <v>3154.4</v>
      </c>
      <c r="Z473" s="81">
        <f>2874.8+553.8</f>
        <v>3428.6000000000004</v>
      </c>
      <c r="AA473" s="81">
        <f>2490.8+570</f>
        <v>3060.8</v>
      </c>
      <c r="AB473" s="81">
        <f>1761.9+648.4</f>
        <v>2410.3000000000002</v>
      </c>
    </row>
    <row r="474" spans="1:39">
      <c r="B474"/>
      <c r="D474" t="s">
        <v>502</v>
      </c>
      <c r="I474" s="66"/>
      <c r="J474" s="66"/>
      <c r="K474" s="66"/>
      <c r="L474" s="81">
        <f>11258+4102.6</f>
        <v>15360.6</v>
      </c>
      <c r="M474" s="81">
        <f>11224+4315</f>
        <v>15539</v>
      </c>
      <c r="N474" s="81">
        <f>10756+4302.5</f>
        <v>15058.5</v>
      </c>
      <c r="O474" s="81">
        <f>10014+4139.9</f>
        <v>14153.9</v>
      </c>
      <c r="P474" s="81">
        <f>7339.4+3111.7</f>
        <v>10451.099999999999</v>
      </c>
      <c r="Q474" s="81">
        <f>5674.6+2485.9</f>
        <v>8160.5</v>
      </c>
      <c r="R474" s="81">
        <f>6669.1+3116.1</f>
        <v>9785.2000000000007</v>
      </c>
      <c r="S474" s="81">
        <f>7498.9+3512.8</f>
        <v>11011.7</v>
      </c>
      <c r="T474" s="81">
        <f>8906.2+3714.3</f>
        <v>12620.5</v>
      </c>
      <c r="U474" s="81">
        <f>9499.6+4127.4</f>
        <v>13627</v>
      </c>
      <c r="V474" s="81">
        <f>10972.2+4385.7</f>
        <v>15357.900000000001</v>
      </c>
      <c r="W474" s="81">
        <f>11995+4768.7</f>
        <v>16763.7</v>
      </c>
      <c r="X474" s="81">
        <f>12255.8+4995.3</f>
        <v>17251.099999999999</v>
      </c>
      <c r="Y474" s="81">
        <f>12180+4878</f>
        <v>17058</v>
      </c>
      <c r="Z474" s="81">
        <f>11751.6+5123.3</f>
        <v>16874.900000000001</v>
      </c>
      <c r="AA474" s="81">
        <f>11166.5+5466.5</f>
        <v>16633</v>
      </c>
      <c r="AB474" s="81">
        <f>10418.6+5601.3</f>
        <v>16019.900000000001</v>
      </c>
    </row>
    <row r="475" spans="1:39">
      <c r="B475"/>
      <c r="D475" t="s">
        <v>503</v>
      </c>
      <c r="I475" s="66"/>
      <c r="J475" s="66"/>
      <c r="K475" s="66"/>
      <c r="L475" s="259">
        <f>AVERAGE(K473:L473)/L474*365</f>
        <v>57.806042732705748</v>
      </c>
      <c r="M475" s="259">
        <f t="shared" ref="M475:P475" si="622">AVERAGE(L473:M473)/M474*365</f>
        <v>57.192885642576741</v>
      </c>
      <c r="N475" s="259">
        <f t="shared" si="622"/>
        <v>55.666832685858488</v>
      </c>
      <c r="O475" s="259">
        <f t="shared" si="622"/>
        <v>55.025028437391811</v>
      </c>
      <c r="P475" s="259">
        <f t="shared" si="622"/>
        <v>65.390987551549614</v>
      </c>
      <c r="Q475" s="259">
        <f t="shared" ref="Q475:AB475" si="623">AVERAGE(P473:Q473)/Q474*365</f>
        <v>65.324735003982596</v>
      </c>
      <c r="R475" s="259">
        <f t="shared" si="623"/>
        <v>56.679219637820381</v>
      </c>
      <c r="S475" s="259">
        <f t="shared" si="623"/>
        <v>56.925906081713073</v>
      </c>
      <c r="T475" s="259">
        <f t="shared" si="623"/>
        <v>56.976209341943658</v>
      </c>
      <c r="U475" s="259">
        <f t="shared" si="623"/>
        <v>66.078740735304919</v>
      </c>
      <c r="V475" s="259">
        <f t="shared" si="623"/>
        <v>64.278254188398151</v>
      </c>
      <c r="W475" s="259">
        <f t="shared" si="623"/>
        <v>67.058301568269542</v>
      </c>
      <c r="X475" s="259">
        <f t="shared" si="623"/>
        <v>71.391563436534483</v>
      </c>
      <c r="Y475" s="259">
        <f t="shared" si="623"/>
        <v>69.274680501817329</v>
      </c>
      <c r="Z475" s="259">
        <f t="shared" si="623"/>
        <v>71.194347818357443</v>
      </c>
      <c r="AA475" s="259">
        <f t="shared" si="623"/>
        <v>71.202759574340178</v>
      </c>
      <c r="AB475" s="259">
        <f t="shared" si="623"/>
        <v>62.327214901466299</v>
      </c>
    </row>
    <row r="476" spans="1:39">
      <c r="B476"/>
      <c r="I476" s="66"/>
      <c r="J476" s="66"/>
      <c r="K476" s="66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</row>
    <row r="477" spans="1:39">
      <c r="B477"/>
      <c r="D477" t="s">
        <v>244</v>
      </c>
      <c r="I477" s="66"/>
      <c r="J477" s="66"/>
      <c r="K477" s="66"/>
      <c r="L477" s="259">
        <f t="shared" ref="L477:AA477" si="624">+L465</f>
        <v>45.879996293793198</v>
      </c>
      <c r="M477" s="259">
        <f t="shared" si="624"/>
        <v>40.983805589592038</v>
      </c>
      <c r="N477" s="259">
        <f t="shared" si="624"/>
        <v>40.46581163859112</v>
      </c>
      <c r="O477" s="259">
        <f t="shared" si="624"/>
        <v>43.656901957936704</v>
      </c>
      <c r="P477" s="259">
        <f t="shared" si="624"/>
        <v>47.354216057491698</v>
      </c>
      <c r="Q477" s="259">
        <f t="shared" si="624"/>
        <v>40.100881742738586</v>
      </c>
      <c r="R477" s="259">
        <f t="shared" si="624"/>
        <v>40.579593383225443</v>
      </c>
      <c r="S477" s="259">
        <f t="shared" si="624"/>
        <v>40.941257003717865</v>
      </c>
      <c r="T477" s="259">
        <f t="shared" si="624"/>
        <v>45.342823796470789</v>
      </c>
      <c r="U477" s="259">
        <f t="shared" si="624"/>
        <v>47.532977114025904</v>
      </c>
      <c r="V477" s="259">
        <f t="shared" si="624"/>
        <v>49.57987590719636</v>
      </c>
      <c r="W477" s="259">
        <f t="shared" si="624"/>
        <v>50.141156675348817</v>
      </c>
      <c r="X477" s="259">
        <f t="shared" si="624"/>
        <v>49.836388505327889</v>
      </c>
      <c r="Y477" s="259">
        <f t="shared" si="624"/>
        <v>51.217261337307527</v>
      </c>
      <c r="Z477" s="259">
        <f t="shared" si="624"/>
        <v>51.014026830545717</v>
      </c>
      <c r="AA477" s="259">
        <f t="shared" si="624"/>
        <v>49.786291339383311</v>
      </c>
      <c r="AB477" s="259">
        <f>+AB465</f>
        <v>59.605285526988659</v>
      </c>
      <c r="AD477" s="7">
        <f>+Macro!X287</f>
        <v>2113.2867467700194</v>
      </c>
    </row>
    <row r="478" spans="1:39">
      <c r="B478"/>
      <c r="D478" t="s">
        <v>514</v>
      </c>
      <c r="I478" s="7"/>
      <c r="J478" s="7"/>
      <c r="K478" s="7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>
        <f>+Y470</f>
        <v>91.362069174757266</v>
      </c>
      <c r="Z478" s="259">
        <f>+Z470</f>
        <v>62.765069967707213</v>
      </c>
      <c r="AA478" s="259">
        <f>+AA470</f>
        <v>58.110930295633302</v>
      </c>
      <c r="AB478" s="259">
        <f>+AB470</f>
        <v>63.2854387656702</v>
      </c>
      <c r="AD478" s="7">
        <f>+Macro!X288</f>
        <v>1472</v>
      </c>
    </row>
    <row r="479" spans="1:39">
      <c r="B479"/>
      <c r="D479" t="s">
        <v>515</v>
      </c>
      <c r="I479" s="66"/>
      <c r="J479" s="66"/>
      <c r="K479" s="66"/>
      <c r="L479" s="259">
        <f t="shared" ref="L479:AA479" si="625">+L475</f>
        <v>57.806042732705748</v>
      </c>
      <c r="M479" s="259">
        <f t="shared" si="625"/>
        <v>57.192885642576741</v>
      </c>
      <c r="N479" s="259">
        <f t="shared" si="625"/>
        <v>55.666832685858488</v>
      </c>
      <c r="O479" s="259">
        <f t="shared" si="625"/>
        <v>55.025028437391811</v>
      </c>
      <c r="P479" s="259">
        <f t="shared" si="625"/>
        <v>65.390987551549614</v>
      </c>
      <c r="Q479" s="259">
        <f t="shared" si="625"/>
        <v>65.324735003982596</v>
      </c>
      <c r="R479" s="259">
        <f t="shared" si="625"/>
        <v>56.679219637820381</v>
      </c>
      <c r="S479" s="259">
        <f t="shared" si="625"/>
        <v>56.925906081713073</v>
      </c>
      <c r="T479" s="259">
        <f t="shared" si="625"/>
        <v>56.976209341943658</v>
      </c>
      <c r="U479" s="259">
        <f t="shared" si="625"/>
        <v>66.078740735304919</v>
      </c>
      <c r="V479" s="259">
        <f t="shared" si="625"/>
        <v>64.278254188398151</v>
      </c>
      <c r="W479" s="259">
        <f t="shared" si="625"/>
        <v>67.058301568269542</v>
      </c>
      <c r="X479" s="259">
        <f t="shared" si="625"/>
        <v>71.391563436534483</v>
      </c>
      <c r="Y479" s="259">
        <f t="shared" si="625"/>
        <v>69.274680501817329</v>
      </c>
      <c r="Z479" s="259">
        <f t="shared" si="625"/>
        <v>71.194347818357443</v>
      </c>
      <c r="AA479" s="259">
        <f t="shared" si="625"/>
        <v>71.202759574340178</v>
      </c>
      <c r="AB479" s="259">
        <f>+AB475</f>
        <v>62.327214901466299</v>
      </c>
      <c r="AD479" s="7">
        <f>+Macro!X289</f>
        <v>1719</v>
      </c>
    </row>
    <row r="480" spans="1:39">
      <c r="B480"/>
      <c r="D480" t="s">
        <v>517</v>
      </c>
      <c r="I480" s="66"/>
      <c r="J480" s="66"/>
      <c r="K480" s="66"/>
      <c r="L480" s="259"/>
      <c r="M480" s="259"/>
      <c r="N480" s="259"/>
      <c r="O480" s="259"/>
      <c r="P480" s="259"/>
      <c r="Q480" s="259">
        <f t="shared" ref="Q480:AA480" si="626">+Q512</f>
        <v>0</v>
      </c>
      <c r="R480" s="259">
        <f t="shared" si="626"/>
        <v>46.145654484806279</v>
      </c>
      <c r="S480" s="259">
        <f t="shared" si="626"/>
        <v>45.349819749216302</v>
      </c>
      <c r="T480" s="259">
        <f t="shared" si="626"/>
        <v>45.949478170478173</v>
      </c>
      <c r="U480" s="259">
        <f t="shared" si="626"/>
        <v>46.123461785637772</v>
      </c>
      <c r="V480" s="259">
        <f t="shared" si="626"/>
        <v>45.064221198527484</v>
      </c>
      <c r="W480" s="259">
        <f t="shared" si="626"/>
        <v>45.894940558473877</v>
      </c>
      <c r="X480" s="259">
        <f t="shared" si="626"/>
        <v>48.03445627416707</v>
      </c>
      <c r="Y480" s="259">
        <f t="shared" si="626"/>
        <v>50.428383541053428</v>
      </c>
      <c r="Z480" s="259">
        <f t="shared" si="626"/>
        <v>51.686649384316269</v>
      </c>
      <c r="AA480" s="259">
        <f t="shared" si="626"/>
        <v>53.974755565375901</v>
      </c>
      <c r="AB480" s="259">
        <f>+AB512</f>
        <v>59.759809500054565</v>
      </c>
      <c r="AD480" s="7">
        <f>+Macro!X290</f>
        <v>1666</v>
      </c>
    </row>
    <row r="481" spans="2:40">
      <c r="B481"/>
      <c r="D481" t="s">
        <v>518</v>
      </c>
      <c r="L481" s="259"/>
      <c r="M481" s="259"/>
      <c r="N481" s="259"/>
      <c r="O481" s="259"/>
      <c r="P481" s="259">
        <f>+P558</f>
        <v>0</v>
      </c>
      <c r="Q481" s="259">
        <f>+Q558</f>
        <v>25.718831039386586</v>
      </c>
      <c r="R481" s="259">
        <f t="shared" ref="R481:AB481" si="627">+R558</f>
        <v>26.245756167389469</v>
      </c>
      <c r="S481" s="259">
        <f t="shared" si="627"/>
        <v>30.103756199915679</v>
      </c>
      <c r="T481" s="259">
        <f t="shared" si="627"/>
        <v>30.269614734454837</v>
      </c>
      <c r="U481" s="259">
        <f t="shared" si="627"/>
        <v>32.068527833166705</v>
      </c>
      <c r="V481" s="259">
        <f t="shared" si="627"/>
        <v>32.861947492077512</v>
      </c>
      <c r="W481" s="259">
        <f t="shared" si="627"/>
        <v>31.883914044436828</v>
      </c>
      <c r="X481" s="259">
        <f t="shared" si="627"/>
        <v>32.942204903442736</v>
      </c>
      <c r="Y481" s="259">
        <f t="shared" si="627"/>
        <v>36.827491375850379</v>
      </c>
      <c r="Z481" s="259">
        <f t="shared" si="627"/>
        <v>36.037045574428426</v>
      </c>
      <c r="AA481" s="259">
        <f t="shared" si="627"/>
        <v>34.035480144016333</v>
      </c>
      <c r="AB481" s="259">
        <f t="shared" si="627"/>
        <v>38.571020563594821</v>
      </c>
      <c r="AC481" s="66"/>
      <c r="AD481" s="7">
        <f>+Macro!X291</f>
        <v>1490</v>
      </c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</row>
    <row r="482" spans="2:40">
      <c r="B482"/>
      <c r="D482" t="s">
        <v>516</v>
      </c>
      <c r="I482" s="7"/>
      <c r="J482" s="7"/>
      <c r="K482" s="7"/>
      <c r="L482" s="259">
        <f t="shared" ref="L482:AA482" si="628">+L583</f>
        <v>58.104632442312855</v>
      </c>
      <c r="M482" s="259">
        <f t="shared" si="628"/>
        <v>52.137937427271325</v>
      </c>
      <c r="N482" s="259">
        <f t="shared" si="628"/>
        <v>52.963534003039705</v>
      </c>
      <c r="O482" s="259">
        <f t="shared" si="628"/>
        <v>65.407874467094175</v>
      </c>
      <c r="P482" s="259">
        <f t="shared" si="628"/>
        <v>63.074933004050678</v>
      </c>
      <c r="Q482" s="259">
        <f t="shared" si="628"/>
        <v>43.215126047364137</v>
      </c>
      <c r="R482" s="259">
        <f t="shared" si="628"/>
        <v>41.817276053674</v>
      </c>
      <c r="S482" s="259">
        <f t="shared" si="628"/>
        <v>42.401564630065685</v>
      </c>
      <c r="T482" s="259">
        <f t="shared" si="628"/>
        <v>44.49380397873594</v>
      </c>
      <c r="U482" s="259">
        <f t="shared" si="628"/>
        <v>45.736642337115342</v>
      </c>
      <c r="V482" s="259">
        <f t="shared" si="628"/>
        <v>47.871083571859472</v>
      </c>
      <c r="W482" s="259">
        <f t="shared" si="628"/>
        <v>45.34835799658768</v>
      </c>
      <c r="X482" s="259">
        <f t="shared" si="628"/>
        <v>48.911606919247625</v>
      </c>
      <c r="Y482" s="259">
        <f t="shared" si="628"/>
        <v>56.133844667838083</v>
      </c>
      <c r="Z482" s="259">
        <f t="shared" si="628"/>
        <v>57.624255930563287</v>
      </c>
      <c r="AA482" s="259">
        <f t="shared" si="628"/>
        <v>57.914337582279813</v>
      </c>
      <c r="AB482" s="259">
        <f>+AB583</f>
        <v>62.45617701005316</v>
      </c>
      <c r="AD482" s="7">
        <f>+Macro!X292</f>
        <v>2459</v>
      </c>
    </row>
    <row r="483" spans="2:40">
      <c r="B483"/>
      <c r="D483" t="s">
        <v>519</v>
      </c>
      <c r="I483" s="66"/>
      <c r="J483" s="66"/>
      <c r="K483" s="66"/>
      <c r="L483" s="259"/>
      <c r="M483" s="259"/>
      <c r="N483" s="259"/>
      <c r="O483" s="259">
        <f t="shared" ref="O483:AA483" si="629">+O610</f>
        <v>0</v>
      </c>
      <c r="P483" s="259">
        <f t="shared" si="629"/>
        <v>29.019238129684425</v>
      </c>
      <c r="Q483" s="259">
        <f t="shared" si="629"/>
        <v>25.830097718891821</v>
      </c>
      <c r="R483" s="259">
        <f t="shared" si="629"/>
        <v>30.392361324540527</v>
      </c>
      <c r="S483" s="259">
        <f t="shared" si="629"/>
        <v>29.890590807020448</v>
      </c>
      <c r="T483" s="259">
        <f t="shared" si="629"/>
        <v>28.925574804754824</v>
      </c>
      <c r="U483" s="259">
        <f t="shared" si="629"/>
        <v>26.999477324206136</v>
      </c>
      <c r="V483" s="259">
        <f t="shared" si="629"/>
        <v>28.44087699709862</v>
      </c>
      <c r="W483" s="259">
        <f t="shared" si="629"/>
        <v>31.823203291040628</v>
      </c>
      <c r="X483" s="259">
        <f t="shared" si="629"/>
        <v>35.472969058039411</v>
      </c>
      <c r="Y483" s="259">
        <f t="shared" si="629"/>
        <v>37.686598878600506</v>
      </c>
      <c r="Z483" s="259">
        <f t="shared" si="629"/>
        <v>33.609073514245608</v>
      </c>
      <c r="AA483" s="259">
        <f t="shared" si="629"/>
        <v>41.541192490822226</v>
      </c>
      <c r="AB483" s="259">
        <f>+AB610</f>
        <v>35.556893421685658</v>
      </c>
      <c r="AD483" s="7">
        <f>+Macro!X293</f>
        <v>667</v>
      </c>
    </row>
    <row r="484" spans="2:40">
      <c r="B484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</row>
    <row r="487" spans="2:40">
      <c r="B487"/>
      <c r="D487" s="303" t="s">
        <v>517</v>
      </c>
      <c r="E487" s="304"/>
      <c r="F487" s="304"/>
      <c r="G487" s="304"/>
      <c r="H487" s="304"/>
      <c r="I487" s="304"/>
      <c r="J487" s="304"/>
      <c r="K487" s="304"/>
      <c r="L487" s="304"/>
      <c r="M487" s="304"/>
      <c r="N487" s="304"/>
      <c r="O487" s="304"/>
      <c r="P487" s="304"/>
      <c r="Q487" s="304"/>
      <c r="R487" s="304"/>
      <c r="S487" s="304"/>
      <c r="T487" s="304"/>
      <c r="U487" s="304"/>
      <c r="V487" s="304"/>
      <c r="W487" s="304"/>
      <c r="X487" s="304"/>
      <c r="Y487" s="304"/>
      <c r="Z487" s="304"/>
      <c r="AA487" s="304"/>
      <c r="AB487" s="304"/>
    </row>
    <row r="488" spans="2:40" hidden="1" outlineLevel="1">
      <c r="B488"/>
      <c r="D488" t="s">
        <v>535</v>
      </c>
      <c r="I488" s="7"/>
      <c r="J488" s="7"/>
      <c r="K488" s="7"/>
      <c r="L488" s="81"/>
      <c r="M488" s="81"/>
      <c r="N488" s="81"/>
      <c r="O488" s="81"/>
      <c r="P488" s="81"/>
      <c r="Q488" s="81"/>
      <c r="R488" s="81">
        <v>323</v>
      </c>
      <c r="S488" s="81">
        <v>320</v>
      </c>
      <c r="T488" s="81">
        <v>344</v>
      </c>
      <c r="U488" s="81">
        <v>324</v>
      </c>
      <c r="V488" s="81">
        <v>327</v>
      </c>
      <c r="W488" s="81">
        <v>355</v>
      </c>
      <c r="X488" s="81">
        <v>355</v>
      </c>
      <c r="Y488" s="81">
        <v>343</v>
      </c>
      <c r="Z488" s="81">
        <v>345</v>
      </c>
      <c r="AA488" s="81">
        <v>321</v>
      </c>
      <c r="AB488" s="81">
        <v>304</v>
      </c>
    </row>
    <row r="489" spans="2:40" hidden="1" outlineLevel="1">
      <c r="B489"/>
      <c r="D489" t="s">
        <v>536</v>
      </c>
      <c r="I489" s="7"/>
      <c r="J489" s="7"/>
      <c r="K489" s="7"/>
      <c r="L489" s="81"/>
      <c r="M489" s="81"/>
      <c r="N489" s="81"/>
      <c r="O489" s="81"/>
      <c r="P489" s="81"/>
      <c r="Q489" s="81"/>
      <c r="R489" s="81">
        <v>0</v>
      </c>
      <c r="S489" s="81">
        <v>0</v>
      </c>
      <c r="T489" s="81">
        <v>0</v>
      </c>
      <c r="U489" s="81">
        <v>0</v>
      </c>
      <c r="V489" s="81">
        <v>0</v>
      </c>
      <c r="W489" s="81">
        <v>0</v>
      </c>
      <c r="X489" s="81">
        <v>0</v>
      </c>
      <c r="Y489" s="81">
        <v>14</v>
      </c>
      <c r="Z489" s="81">
        <v>14</v>
      </c>
      <c r="AA489" s="81">
        <v>16</v>
      </c>
      <c r="AB489" s="81">
        <v>17</v>
      </c>
    </row>
    <row r="490" spans="2:40" hidden="1" outlineLevel="1">
      <c r="B490"/>
      <c r="D490" t="s">
        <v>537</v>
      </c>
      <c r="I490" s="7"/>
      <c r="J490" s="7"/>
      <c r="K490" s="7"/>
      <c r="L490" s="81"/>
      <c r="M490" s="81"/>
      <c r="N490" s="81"/>
      <c r="O490" s="81"/>
      <c r="P490" s="81"/>
      <c r="Q490" s="81"/>
      <c r="R490" s="81">
        <v>0</v>
      </c>
      <c r="S490" s="81">
        <v>0</v>
      </c>
      <c r="T490" s="81">
        <v>0</v>
      </c>
      <c r="U490" s="81">
        <v>0</v>
      </c>
      <c r="V490" s="81">
        <v>0</v>
      </c>
      <c r="W490" s="81">
        <v>14</v>
      </c>
      <c r="X490" s="81">
        <v>20</v>
      </c>
      <c r="Y490" s="81">
        <v>16</v>
      </c>
      <c r="Z490" s="81">
        <v>20</v>
      </c>
      <c r="AA490" s="81">
        <v>25</v>
      </c>
      <c r="AB490" s="81">
        <v>25</v>
      </c>
    </row>
    <row r="491" spans="2:40" hidden="1" outlineLevel="1">
      <c r="B491"/>
      <c r="I491" s="7"/>
      <c r="J491" s="7"/>
      <c r="K491" s="7"/>
      <c r="L491" s="81"/>
      <c r="M491" s="81"/>
      <c r="N491" s="81"/>
      <c r="O491" s="81"/>
      <c r="P491" s="81"/>
      <c r="Q491" s="81"/>
      <c r="R491" s="81"/>
      <c r="S491" s="81"/>
      <c r="T491" s="81"/>
      <c r="U491" s="81"/>
      <c r="V491" s="81"/>
      <c r="W491" s="81"/>
      <c r="X491" s="81"/>
      <c r="Y491" s="81"/>
      <c r="Z491" s="81"/>
      <c r="AA491" s="81"/>
      <c r="AB491" s="81"/>
    </row>
    <row r="492" spans="2:40" hidden="1" outlineLevel="1">
      <c r="B492"/>
      <c r="D492" s="71" t="s">
        <v>535</v>
      </c>
      <c r="I492" s="7"/>
      <c r="J492" s="7"/>
      <c r="K492" s="7"/>
      <c r="L492" s="76"/>
      <c r="M492" s="76"/>
      <c r="N492" s="76"/>
      <c r="O492" s="76"/>
      <c r="P492" s="76">
        <f t="shared" ref="P492:AA492" si="630">P494-P493</f>
        <v>102032</v>
      </c>
      <c r="Q492" s="76">
        <f t="shared" si="630"/>
        <v>99038</v>
      </c>
      <c r="R492" s="76">
        <f t="shared" si="630"/>
        <v>103222</v>
      </c>
      <c r="S492" s="76">
        <f t="shared" si="630"/>
        <v>121213</v>
      </c>
      <c r="T492" s="76">
        <f t="shared" si="630"/>
        <v>142343</v>
      </c>
      <c r="U492" s="76">
        <f t="shared" si="630"/>
        <v>163356</v>
      </c>
      <c r="V492" s="76">
        <f t="shared" si="630"/>
        <v>182109</v>
      </c>
      <c r="W492" s="76">
        <f t="shared" si="630"/>
        <v>198459</v>
      </c>
      <c r="X492" s="76">
        <f t="shared" si="630"/>
        <v>207556</v>
      </c>
      <c r="Y492" s="276">
        <f>AVERAGE(Z492,X492)</f>
        <v>209542.5</v>
      </c>
      <c r="Z492" s="76">
        <f t="shared" si="630"/>
        <v>211529</v>
      </c>
      <c r="AA492" s="76">
        <f t="shared" si="630"/>
        <v>213242</v>
      </c>
      <c r="AB492" s="76">
        <f>AB494-AB493</f>
        <v>180262</v>
      </c>
    </row>
    <row r="493" spans="2:40" hidden="1" outlineLevel="1">
      <c r="B493"/>
      <c r="D493" s="71" t="s">
        <v>536</v>
      </c>
      <c r="I493" s="7"/>
      <c r="J493" s="7"/>
      <c r="K493" s="7"/>
      <c r="L493" s="81"/>
      <c r="M493" s="81"/>
      <c r="N493" s="81"/>
      <c r="O493" s="81"/>
      <c r="P493" s="81">
        <v>0</v>
      </c>
      <c r="Q493" s="81">
        <v>0</v>
      </c>
      <c r="R493" s="81">
        <v>0</v>
      </c>
      <c r="S493" s="81">
        <v>0</v>
      </c>
      <c r="T493" s="81">
        <v>0</v>
      </c>
      <c r="U493" s="81">
        <v>0</v>
      </c>
      <c r="V493" s="81">
        <v>0</v>
      </c>
      <c r="W493" s="81">
        <v>0</v>
      </c>
      <c r="X493" s="81">
        <v>0</v>
      </c>
      <c r="Y493" s="276">
        <f>Y494-Y492</f>
        <v>43379.5</v>
      </c>
      <c r="Z493" s="81">
        <v>71013</v>
      </c>
      <c r="AA493" s="81">
        <v>70948</v>
      </c>
      <c r="AB493" s="81">
        <v>53207</v>
      </c>
    </row>
    <row r="494" spans="2:40" hidden="1" outlineLevel="1">
      <c r="B494"/>
      <c r="D494" s="280" t="s">
        <v>538</v>
      </c>
      <c r="E494" s="280"/>
      <c r="F494" s="280"/>
      <c r="G494" s="280"/>
      <c r="H494" s="280"/>
      <c r="I494" s="282"/>
      <c r="J494" s="282"/>
      <c r="K494" s="282"/>
      <c r="L494" s="278"/>
      <c r="M494" s="278"/>
      <c r="N494" s="278"/>
      <c r="O494" s="278"/>
      <c r="P494" s="278">
        <v>102032</v>
      </c>
      <c r="Q494" s="278">
        <v>99038</v>
      </c>
      <c r="R494" s="278">
        <v>103222</v>
      </c>
      <c r="S494" s="278">
        <v>121213</v>
      </c>
      <c r="T494" s="278">
        <v>142343</v>
      </c>
      <c r="U494" s="278">
        <v>163356</v>
      </c>
      <c r="V494" s="278">
        <v>182109</v>
      </c>
      <c r="W494" s="278">
        <v>198459</v>
      </c>
      <c r="X494" s="278">
        <v>207556</v>
      </c>
      <c r="Y494" s="278">
        <v>252922</v>
      </c>
      <c r="Z494" s="278">
        <v>282542</v>
      </c>
      <c r="AA494" s="278">
        <v>284190</v>
      </c>
      <c r="AB494" s="278">
        <v>233469</v>
      </c>
    </row>
    <row r="495" spans="2:40" hidden="1" outlineLevel="1">
      <c r="B495"/>
      <c r="I495" s="7"/>
      <c r="J495" s="7"/>
      <c r="K495" s="7"/>
      <c r="L495" s="81"/>
      <c r="M495" s="81"/>
      <c r="N495" s="81"/>
      <c r="O495" s="81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</row>
    <row r="496" spans="2:40" hidden="1" outlineLevel="1">
      <c r="B496"/>
      <c r="D496" s="71" t="s">
        <v>539</v>
      </c>
      <c r="I496" s="7"/>
      <c r="J496" s="7"/>
      <c r="K496" s="7"/>
      <c r="L496" s="81"/>
      <c r="M496" s="81"/>
      <c r="N496" s="81"/>
      <c r="O496" s="81"/>
      <c r="P496" s="81">
        <v>5935.9</v>
      </c>
      <c r="Q496" s="81">
        <v>4481.7</v>
      </c>
      <c r="R496" s="81">
        <v>5106.7</v>
      </c>
      <c r="S496" s="81">
        <v>5605.8</v>
      </c>
      <c r="T496" s="81">
        <v>6534.3</v>
      </c>
      <c r="U496" s="81">
        <v>7528.2</v>
      </c>
      <c r="V496" s="81">
        <v>8698.7999999999993</v>
      </c>
      <c r="W496" s="81">
        <v>9208.9</v>
      </c>
      <c r="X496" s="81">
        <v>9547.1</v>
      </c>
      <c r="Y496" s="81">
        <v>9678.5</v>
      </c>
      <c r="Z496" s="81">
        <v>9666.4</v>
      </c>
      <c r="AA496" s="81">
        <v>9329.5</v>
      </c>
      <c r="AB496" s="81">
        <v>8080.5</v>
      </c>
    </row>
    <row r="497" spans="2:30" hidden="1" outlineLevel="1">
      <c r="B497"/>
      <c r="D497" s="305" t="s">
        <v>540</v>
      </c>
      <c r="I497" s="7"/>
      <c r="J497" s="7"/>
      <c r="K497" s="7"/>
      <c r="L497" s="81"/>
      <c r="M497" s="81"/>
      <c r="N497" s="81"/>
      <c r="O497" s="81"/>
      <c r="P497" s="76">
        <f t="shared" ref="P497:X497" si="631">P499-P498</f>
        <v>2848.1</v>
      </c>
      <c r="Q497" s="76">
        <f t="shared" si="631"/>
        <v>2524.4</v>
      </c>
      <c r="R497" s="76">
        <f t="shared" si="631"/>
        <v>2728.1</v>
      </c>
      <c r="S497" s="76">
        <f t="shared" si="631"/>
        <v>3190</v>
      </c>
      <c r="T497" s="76">
        <f t="shared" si="631"/>
        <v>3607.5</v>
      </c>
      <c r="U497" s="76">
        <f t="shared" si="631"/>
        <v>4201.3</v>
      </c>
      <c r="V497" s="76">
        <f t="shared" si="631"/>
        <v>4971.1000000000004</v>
      </c>
      <c r="W497" s="76">
        <f t="shared" si="631"/>
        <v>5425.5</v>
      </c>
      <c r="X497" s="76">
        <f t="shared" si="631"/>
        <v>5663.7</v>
      </c>
      <c r="Y497" s="276">
        <f>AVERAGE(Z497,X497)</f>
        <v>5807.9</v>
      </c>
      <c r="Z497" s="76">
        <f t="shared" ref="Z497" si="632">Z499-Z498</f>
        <v>5952.1</v>
      </c>
      <c r="AA497" s="76">
        <f>AA499-AA498</f>
        <v>6041.2</v>
      </c>
      <c r="AB497" s="76">
        <f>AB499-AB498</f>
        <v>5414.7</v>
      </c>
    </row>
    <row r="498" spans="2:30" hidden="1" outlineLevel="1">
      <c r="B498"/>
      <c r="D498" s="305" t="s">
        <v>536</v>
      </c>
      <c r="I498" s="7"/>
      <c r="J498" s="7"/>
      <c r="K498" s="7"/>
      <c r="L498" s="81"/>
      <c r="M498" s="81"/>
      <c r="N498" s="81"/>
      <c r="O498" s="81"/>
      <c r="P498" s="81">
        <v>0</v>
      </c>
      <c r="Q498" s="81">
        <v>0</v>
      </c>
      <c r="R498" s="81">
        <v>0</v>
      </c>
      <c r="S498" s="81">
        <v>0</v>
      </c>
      <c r="T498" s="81">
        <v>0</v>
      </c>
      <c r="U498" s="81">
        <v>0</v>
      </c>
      <c r="V498" s="81">
        <v>0</v>
      </c>
      <c r="W498" s="81">
        <v>0</v>
      </c>
      <c r="X498" s="81">
        <v>0</v>
      </c>
      <c r="Y498" s="276">
        <f>Y499-Y497</f>
        <v>578.90000000000055</v>
      </c>
      <c r="Z498" s="81">
        <v>1300</v>
      </c>
      <c r="AA498" s="81">
        <v>1200</v>
      </c>
      <c r="AB498" s="81">
        <v>1000</v>
      </c>
    </row>
    <row r="499" spans="2:30" hidden="1" outlineLevel="1">
      <c r="B499"/>
      <c r="D499" s="311" t="s">
        <v>541</v>
      </c>
      <c r="E499" s="280"/>
      <c r="F499" s="280"/>
      <c r="G499" s="280"/>
      <c r="H499" s="280"/>
      <c r="I499" s="282"/>
      <c r="J499" s="282"/>
      <c r="K499" s="282"/>
      <c r="L499" s="278"/>
      <c r="M499" s="278"/>
      <c r="N499" s="278"/>
      <c r="O499" s="278"/>
      <c r="P499" s="278">
        <v>2848.1</v>
      </c>
      <c r="Q499" s="278">
        <v>2524.4</v>
      </c>
      <c r="R499" s="278">
        <v>2728.1</v>
      </c>
      <c r="S499" s="278">
        <v>3190</v>
      </c>
      <c r="T499" s="278">
        <v>3607.5</v>
      </c>
      <c r="U499" s="278">
        <v>4201.3</v>
      </c>
      <c r="V499" s="278">
        <v>4971.1000000000004</v>
      </c>
      <c r="W499" s="278">
        <v>5425.5</v>
      </c>
      <c r="X499" s="278">
        <v>5663.7</v>
      </c>
      <c r="Y499" s="278">
        <v>6386.8</v>
      </c>
      <c r="Z499" s="278">
        <v>7252.1</v>
      </c>
      <c r="AA499" s="278">
        <v>7241.2</v>
      </c>
      <c r="AB499" s="278">
        <v>6414.7</v>
      </c>
      <c r="AD499" s="7"/>
    </row>
    <row r="500" spans="2:30" hidden="1" outlineLevel="1">
      <c r="B500"/>
      <c r="D500" s="71" t="s">
        <v>130</v>
      </c>
      <c r="I500" s="7"/>
      <c r="J500" s="7"/>
      <c r="K500" s="7"/>
      <c r="L500" s="81"/>
      <c r="M500" s="81"/>
      <c r="N500" s="81"/>
      <c r="O500" s="81"/>
      <c r="P500" s="76">
        <f t="shared" ref="P500:AB500" si="633">P501-P499-P496</f>
        <v>2514</v>
      </c>
      <c r="Q500" s="76">
        <f t="shared" si="633"/>
        <v>2337.9000000000005</v>
      </c>
      <c r="R500" s="76">
        <f t="shared" si="633"/>
        <v>2828.2</v>
      </c>
      <c r="S500" s="76">
        <f t="shared" si="633"/>
        <v>2760.2</v>
      </c>
      <c r="T500" s="76">
        <f t="shared" si="633"/>
        <v>3022.2</v>
      </c>
      <c r="U500" s="76">
        <f t="shared" si="633"/>
        <v>2600.3999999999987</v>
      </c>
      <c r="V500" s="76">
        <f t="shared" si="633"/>
        <v>2987.6000000000004</v>
      </c>
      <c r="W500" s="76">
        <f t="shared" si="633"/>
        <v>3261.6000000000004</v>
      </c>
      <c r="X500" s="76">
        <f t="shared" si="633"/>
        <v>3462.1999999999989</v>
      </c>
      <c r="Y500" s="76">
        <f t="shared" si="633"/>
        <v>3758.7000000000007</v>
      </c>
      <c r="Z500" s="76">
        <f t="shared" si="633"/>
        <v>3930.5</v>
      </c>
      <c r="AA500" s="76">
        <f t="shared" si="633"/>
        <v>4045.2999999999993</v>
      </c>
      <c r="AB500" s="76">
        <f t="shared" si="633"/>
        <v>3433.7999999999993</v>
      </c>
    </row>
    <row r="501" spans="2:30" hidden="1" outlineLevel="1">
      <c r="B501"/>
      <c r="D501" s="280" t="s">
        <v>542</v>
      </c>
      <c r="E501" s="280"/>
      <c r="F501" s="280"/>
      <c r="G501" s="280"/>
      <c r="H501" s="280"/>
      <c r="I501" s="282"/>
      <c r="J501" s="282"/>
      <c r="K501" s="282"/>
      <c r="L501" s="278"/>
      <c r="M501" s="278">
        <v>10190</v>
      </c>
      <c r="N501" s="278">
        <v>11247.199999999999</v>
      </c>
      <c r="O501" s="278">
        <v>12958</v>
      </c>
      <c r="P501" s="278">
        <v>11298</v>
      </c>
      <c r="Q501" s="278">
        <v>9344</v>
      </c>
      <c r="R501" s="278">
        <v>10663</v>
      </c>
      <c r="S501" s="278">
        <v>11556</v>
      </c>
      <c r="T501" s="278">
        <v>13164</v>
      </c>
      <c r="U501" s="278">
        <v>14329.9</v>
      </c>
      <c r="V501" s="278">
        <v>16657.5</v>
      </c>
      <c r="W501" s="278">
        <v>17896</v>
      </c>
      <c r="X501" s="278">
        <v>18673</v>
      </c>
      <c r="Y501" s="278">
        <v>19824</v>
      </c>
      <c r="Z501" s="278">
        <v>20849</v>
      </c>
      <c r="AA501" s="278">
        <v>20616</v>
      </c>
      <c r="AB501" s="278">
        <v>17929</v>
      </c>
    </row>
    <row r="502" spans="2:30" hidden="1" outlineLevel="1">
      <c r="B502"/>
      <c r="D502" s="71" t="s">
        <v>543</v>
      </c>
      <c r="I502" s="7"/>
      <c r="J502" s="7"/>
      <c r="K502" s="7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>
        <v>0.30299999999999999</v>
      </c>
      <c r="X502" s="78">
        <v>0.30299999999999999</v>
      </c>
      <c r="Y502" s="78">
        <v>0.32200000000000001</v>
      </c>
      <c r="Z502" s="78">
        <v>0.34799999999999998</v>
      </c>
      <c r="AA502" s="78">
        <v>0.35099999999999998</v>
      </c>
      <c r="AB502" s="78">
        <v>0.35799999999999998</v>
      </c>
    </row>
    <row r="503" spans="2:30" hidden="1" outlineLevel="1">
      <c r="B503"/>
      <c r="D503" t="s">
        <v>544</v>
      </c>
      <c r="I503" s="7"/>
      <c r="J503" s="7"/>
      <c r="K503" s="7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>
        <v>125.6</v>
      </c>
      <c r="W503" s="81">
        <v>944</v>
      </c>
      <c r="X503" s="81">
        <v>1001</v>
      </c>
      <c r="Y503" s="81">
        <v>1048</v>
      </c>
      <c r="Z503" s="81">
        <v>1375</v>
      </c>
      <c r="AA503" s="81">
        <v>2051</v>
      </c>
      <c r="AB503" s="81">
        <v>2061</v>
      </c>
    </row>
    <row r="504" spans="2:30" hidden="1" outlineLevel="1">
      <c r="B504"/>
      <c r="D504" s="71" t="s">
        <v>543</v>
      </c>
      <c r="I504" s="7"/>
      <c r="J504" s="7"/>
      <c r="K504" s="7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>
        <v>0.08</v>
      </c>
      <c r="Z504" s="78">
        <v>0.08</v>
      </c>
      <c r="AA504" s="78">
        <v>0.06</v>
      </c>
      <c r="AB504" s="78">
        <v>0.09</v>
      </c>
    </row>
    <row r="505" spans="2:30" hidden="1" outlineLevel="1">
      <c r="B505"/>
      <c r="I505" s="7"/>
      <c r="J505" s="7"/>
      <c r="K505" s="7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</row>
    <row r="506" spans="2:30" hidden="1" outlineLevel="1">
      <c r="B506"/>
      <c r="I506" s="7"/>
      <c r="J506" s="7"/>
      <c r="K506" s="7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</row>
    <row r="507" spans="2:30" hidden="1" outlineLevel="1">
      <c r="B507"/>
      <c r="D507" s="71" t="s">
        <v>545</v>
      </c>
      <c r="I507" s="7"/>
      <c r="J507" s="7"/>
      <c r="K507" s="7"/>
      <c r="L507" s="81"/>
      <c r="M507" s="81"/>
      <c r="N507" s="81"/>
      <c r="O507" s="81"/>
      <c r="P507" s="81"/>
      <c r="Q507" s="81">
        <v>898.11</v>
      </c>
      <c r="R507" s="81">
        <v>1004.893</v>
      </c>
      <c r="S507" s="81">
        <v>1029.2940000000001</v>
      </c>
      <c r="T507" s="81">
        <v>1410.5</v>
      </c>
      <c r="U507" s="81">
        <v>1696.7</v>
      </c>
      <c r="V507" s="81">
        <v>1803.4</v>
      </c>
      <c r="W507" s="81">
        <v>2218.6</v>
      </c>
      <c r="X507" s="81">
        <v>2153</v>
      </c>
      <c r="Y507" s="81">
        <v>2344.1</v>
      </c>
      <c r="Z507" s="81">
        <v>2397</v>
      </c>
      <c r="AA507" s="81">
        <v>2346.1999999999998</v>
      </c>
      <c r="AB507" s="81">
        <v>1810.9</v>
      </c>
    </row>
    <row r="508" spans="2:30" hidden="1" outlineLevel="1">
      <c r="B508"/>
      <c r="D508" s="71" t="s">
        <v>546</v>
      </c>
      <c r="I508" s="7"/>
      <c r="J508" s="7"/>
      <c r="K508" s="7"/>
      <c r="L508" s="81"/>
      <c r="M508" s="81"/>
      <c r="N508" s="81"/>
      <c r="O508" s="81"/>
      <c r="P508" s="81"/>
      <c r="Q508" s="81">
        <v>325.70699999999999</v>
      </c>
      <c r="R508" s="81">
        <v>364.101</v>
      </c>
      <c r="S508" s="81">
        <v>428.589</v>
      </c>
      <c r="T508" s="81">
        <v>479.7</v>
      </c>
      <c r="U508" s="81">
        <v>582.1</v>
      </c>
      <c r="V508" s="81">
        <v>645.4</v>
      </c>
      <c r="W508" s="81">
        <v>719</v>
      </c>
      <c r="X508" s="81">
        <v>771.7</v>
      </c>
      <c r="Y508" s="81">
        <v>993.1</v>
      </c>
      <c r="Z508" s="81">
        <v>1060.8</v>
      </c>
      <c r="AA508" s="81">
        <v>1080.8</v>
      </c>
      <c r="AB508" s="81">
        <v>1019.7</v>
      </c>
    </row>
    <row r="509" spans="2:30" hidden="1" outlineLevel="1">
      <c r="B509"/>
      <c r="D509" s="280" t="s">
        <v>508</v>
      </c>
      <c r="E509" s="280"/>
      <c r="F509" s="280"/>
      <c r="G509" s="280"/>
      <c r="H509" s="280"/>
      <c r="I509" s="282"/>
      <c r="J509" s="282"/>
      <c r="K509" s="282"/>
      <c r="L509" s="306"/>
      <c r="M509" s="306"/>
      <c r="N509" s="306"/>
      <c r="O509" s="306"/>
      <c r="P509" s="306"/>
      <c r="Q509" s="306">
        <f t="shared" ref="Q509:Z509" si="634">SUM(Q507:Q508)</f>
        <v>1223.817</v>
      </c>
      <c r="R509" s="306">
        <f t="shared" si="634"/>
        <v>1368.9940000000001</v>
      </c>
      <c r="S509" s="306">
        <f t="shared" si="634"/>
        <v>1457.883</v>
      </c>
      <c r="T509" s="306">
        <f t="shared" si="634"/>
        <v>1890.2</v>
      </c>
      <c r="U509" s="306">
        <f t="shared" si="634"/>
        <v>2278.8000000000002</v>
      </c>
      <c r="V509" s="306">
        <f t="shared" si="634"/>
        <v>2448.8000000000002</v>
      </c>
      <c r="W509" s="306">
        <f t="shared" si="634"/>
        <v>2937.6</v>
      </c>
      <c r="X509" s="306">
        <f t="shared" si="634"/>
        <v>2924.7</v>
      </c>
      <c r="Y509" s="306">
        <f t="shared" si="634"/>
        <v>3337.2</v>
      </c>
      <c r="Z509" s="306">
        <f t="shared" si="634"/>
        <v>3457.8</v>
      </c>
      <c r="AA509" s="306">
        <f>SUM(AA507:AA508)</f>
        <v>3427</v>
      </c>
      <c r="AB509" s="306">
        <f>SUM(AB507:AB508)</f>
        <v>2830.6000000000004</v>
      </c>
    </row>
    <row r="510" spans="2:30" hidden="1" outlineLevel="1">
      <c r="B510"/>
      <c r="I510" s="7"/>
      <c r="J510" s="7"/>
      <c r="K510" s="7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</row>
    <row r="511" spans="2:30" hidden="1" outlineLevel="1">
      <c r="B511"/>
      <c r="D511" t="s">
        <v>547</v>
      </c>
      <c r="I511" s="66"/>
      <c r="J511" s="66"/>
      <c r="K511" s="66"/>
      <c r="L511" s="76"/>
      <c r="M511" s="76"/>
      <c r="N511" s="76"/>
      <c r="O511" s="76"/>
      <c r="P511" s="76">
        <f t="shared" ref="P511:AA511" si="635">P499</f>
        <v>2848.1</v>
      </c>
      <c r="Q511" s="76">
        <f t="shared" si="635"/>
        <v>2524.4</v>
      </c>
      <c r="R511" s="76">
        <f t="shared" si="635"/>
        <v>2728.1</v>
      </c>
      <c r="S511" s="76">
        <f t="shared" si="635"/>
        <v>3190</v>
      </c>
      <c r="T511" s="76">
        <f t="shared" si="635"/>
        <v>3607.5</v>
      </c>
      <c r="U511" s="76">
        <f t="shared" si="635"/>
        <v>4201.3</v>
      </c>
      <c r="V511" s="76">
        <f t="shared" si="635"/>
        <v>4971.1000000000004</v>
      </c>
      <c r="W511" s="76">
        <f t="shared" si="635"/>
        <v>5425.5</v>
      </c>
      <c r="X511" s="76">
        <f t="shared" si="635"/>
        <v>5663.7</v>
      </c>
      <c r="Y511" s="76">
        <f t="shared" si="635"/>
        <v>6386.8</v>
      </c>
      <c r="Z511" s="76">
        <f t="shared" si="635"/>
        <v>7252.1</v>
      </c>
      <c r="AA511" s="76">
        <f t="shared" si="635"/>
        <v>7241.2</v>
      </c>
      <c r="AB511" s="76">
        <f>AB499</f>
        <v>6414.7</v>
      </c>
    </row>
    <row r="512" spans="2:30" hidden="1" outlineLevel="1">
      <c r="B512"/>
      <c r="D512" t="s">
        <v>548</v>
      </c>
      <c r="I512" s="66"/>
      <c r="J512" s="66"/>
      <c r="K512" s="66"/>
      <c r="L512" s="259"/>
      <c r="M512" s="259"/>
      <c r="N512" s="259"/>
      <c r="O512" s="259"/>
      <c r="P512" s="259"/>
      <c r="Q512" s="259"/>
      <c r="R512" s="259">
        <f t="shared" ref="R512:AA512" si="636">AVERAGE(Q508:R508)/R511*365</f>
        <v>46.145654484806279</v>
      </c>
      <c r="S512" s="259">
        <f t="shared" si="636"/>
        <v>45.349819749216302</v>
      </c>
      <c r="T512" s="259">
        <f t="shared" si="636"/>
        <v>45.949478170478173</v>
      </c>
      <c r="U512" s="259">
        <f t="shared" si="636"/>
        <v>46.123461785637772</v>
      </c>
      <c r="V512" s="259">
        <f t="shared" si="636"/>
        <v>45.064221198527484</v>
      </c>
      <c r="W512" s="259">
        <f t="shared" si="636"/>
        <v>45.894940558473877</v>
      </c>
      <c r="X512" s="259">
        <f t="shared" si="636"/>
        <v>48.03445627416707</v>
      </c>
      <c r="Y512" s="259">
        <f t="shared" si="636"/>
        <v>50.428383541053428</v>
      </c>
      <c r="Z512" s="259">
        <f t="shared" si="636"/>
        <v>51.686649384316269</v>
      </c>
      <c r="AA512" s="259">
        <f t="shared" si="636"/>
        <v>53.974755565375901</v>
      </c>
      <c r="AB512" s="259">
        <f>AVERAGE(AA508:AB508)/AB511*365</f>
        <v>59.759809500054565</v>
      </c>
    </row>
    <row r="513" spans="2:40" hidden="1" outlineLevel="1">
      <c r="B513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/>
    </row>
    <row r="514" spans="2:40" hidden="1" outlineLevel="1">
      <c r="B514"/>
      <c r="D514" t="s">
        <v>549</v>
      </c>
      <c r="L514" s="109"/>
      <c r="M514" s="109"/>
      <c r="N514" s="109"/>
      <c r="O514" s="109"/>
      <c r="P514" s="109"/>
      <c r="Q514" s="109"/>
      <c r="R514" s="109">
        <v>11.6</v>
      </c>
      <c r="S514" s="109">
        <v>12.8</v>
      </c>
      <c r="T514" s="109">
        <v>14.5</v>
      </c>
      <c r="U514" s="109">
        <v>15.6</v>
      </c>
      <c r="V514" s="109">
        <v>16.5</v>
      </c>
      <c r="W514" s="109">
        <v>17.5</v>
      </c>
      <c r="X514" s="109">
        <v>17.5</v>
      </c>
      <c r="Y514" s="109">
        <v>17.2</v>
      </c>
      <c r="Z514" s="109">
        <v>17.3</v>
      </c>
      <c r="AA514" s="109">
        <v>17.100000000000001</v>
      </c>
      <c r="AB514" s="109">
        <v>14.7</v>
      </c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</row>
    <row r="515" spans="2:40" hidden="1" outlineLevel="1">
      <c r="B515"/>
      <c r="D515" t="s">
        <v>550</v>
      </c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>
        <v>40</v>
      </c>
      <c r="Y515" s="109">
        <v>40</v>
      </c>
      <c r="Z515" s="109">
        <v>40</v>
      </c>
      <c r="AA515" s="109">
        <v>40</v>
      </c>
      <c r="AB515" s="109">
        <v>38</v>
      </c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</row>
    <row r="516" spans="2:40" hidden="1" outlineLevel="1">
      <c r="B516"/>
      <c r="D516" t="s">
        <v>551</v>
      </c>
      <c r="L516" s="109"/>
      <c r="M516" s="109"/>
      <c r="N516" s="109"/>
      <c r="O516" s="109"/>
      <c r="P516" s="109"/>
      <c r="Q516" s="109"/>
      <c r="R516" s="109">
        <v>18.5</v>
      </c>
      <c r="S516" s="109">
        <v>17.7</v>
      </c>
      <c r="T516" s="109">
        <v>17.8</v>
      </c>
      <c r="U516" s="109">
        <v>17.8</v>
      </c>
      <c r="V516" s="109">
        <v>17.952999999999999</v>
      </c>
      <c r="W516" s="109">
        <v>18</v>
      </c>
      <c r="X516" s="109">
        <v>18</v>
      </c>
      <c r="Y516" s="109">
        <v>18.2</v>
      </c>
      <c r="Z516" s="109">
        <v>18.3</v>
      </c>
      <c r="AA516" s="109">
        <v>16.7</v>
      </c>
      <c r="AB516" s="109">
        <v>16.600000000000001</v>
      </c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</row>
    <row r="517" spans="2:40" hidden="1" outlineLevel="1">
      <c r="B517"/>
      <c r="D517" t="s">
        <v>552</v>
      </c>
      <c r="L517" s="78"/>
      <c r="M517" s="78"/>
      <c r="N517" s="78"/>
      <c r="O517" s="78"/>
      <c r="P517" s="78"/>
      <c r="Q517" s="78"/>
      <c r="R517" s="78">
        <v>0.32</v>
      </c>
      <c r="S517" s="78">
        <v>0.33</v>
      </c>
      <c r="T517" s="78">
        <v>0.32</v>
      </c>
      <c r="U517" s="78">
        <v>0.32</v>
      </c>
      <c r="V517" s="78">
        <v>0.31</v>
      </c>
      <c r="W517" s="78">
        <v>0.31</v>
      </c>
      <c r="X517" s="78">
        <v>0.31</v>
      </c>
      <c r="Y517" s="78">
        <v>0.3</v>
      </c>
      <c r="Z517" s="78">
        <v>0.3</v>
      </c>
      <c r="AA517" s="78">
        <v>0.33</v>
      </c>
      <c r="AB517" s="78">
        <v>0.35</v>
      </c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</row>
    <row r="518" spans="2:40" hidden="1" outlineLevel="1">
      <c r="B518"/>
      <c r="D518" t="s">
        <v>553</v>
      </c>
      <c r="L518" s="84"/>
      <c r="M518" s="84"/>
      <c r="N518" s="84"/>
      <c r="O518" s="84"/>
      <c r="P518" s="84"/>
      <c r="Q518" s="84"/>
      <c r="R518" s="84" t="s">
        <v>554</v>
      </c>
      <c r="S518" s="84" t="s">
        <v>554</v>
      </c>
      <c r="T518" s="84" t="s">
        <v>554</v>
      </c>
      <c r="U518" s="84" t="s">
        <v>554</v>
      </c>
      <c r="V518" s="84" t="s">
        <v>554</v>
      </c>
      <c r="W518" s="84" t="s">
        <v>554</v>
      </c>
      <c r="X518" s="84" t="s">
        <v>554</v>
      </c>
      <c r="Y518" s="84" t="s">
        <v>554</v>
      </c>
      <c r="Z518" s="84" t="s">
        <v>554</v>
      </c>
      <c r="AA518" s="84" t="s">
        <v>554</v>
      </c>
      <c r="AB518" s="84" t="s">
        <v>554</v>
      </c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</row>
    <row r="519" spans="2:40" collapsed="1">
      <c r="B519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  <c r="AM519" s="66"/>
      <c r="AN519" s="66"/>
    </row>
    <row r="520" spans="2:40">
      <c r="B520"/>
      <c r="D520" s="303" t="s">
        <v>518</v>
      </c>
      <c r="E520" s="304"/>
      <c r="F520" s="304"/>
      <c r="G520" s="304"/>
      <c r="H520" s="304"/>
      <c r="I520" s="304"/>
      <c r="J520" s="304"/>
      <c r="K520" s="304"/>
      <c r="L520" s="304"/>
      <c r="M520" s="304"/>
      <c r="N520" s="304"/>
      <c r="O520" s="304"/>
      <c r="P520" s="304"/>
      <c r="Q520" s="304"/>
      <c r="R520" s="304"/>
      <c r="S520" s="304"/>
      <c r="T520" s="304"/>
      <c r="U520" s="304"/>
      <c r="V520" s="304"/>
      <c r="W520" s="304"/>
      <c r="X520" s="304"/>
      <c r="Y520" s="304"/>
      <c r="Z520" s="304"/>
      <c r="AA520" s="304"/>
      <c r="AB520" s="304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</row>
    <row r="521" spans="2:40" hidden="1" outlineLevel="1">
      <c r="B521"/>
      <c r="I521" s="7"/>
      <c r="J521" s="7"/>
      <c r="K521" s="7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</row>
    <row r="522" spans="2:40" hidden="1" outlineLevel="1">
      <c r="B522"/>
      <c r="D522" s="71" t="s">
        <v>555</v>
      </c>
      <c r="I522" s="7"/>
      <c r="J522" s="7"/>
      <c r="K522" s="7"/>
      <c r="L522" s="81"/>
      <c r="M522" s="81"/>
      <c r="N522" s="81">
        <v>105</v>
      </c>
      <c r="O522" s="81">
        <v>104</v>
      </c>
      <c r="P522" s="81">
        <v>97</v>
      </c>
      <c r="Q522" s="81">
        <v>95</v>
      </c>
      <c r="R522" s="81">
        <v>95</v>
      </c>
      <c r="S522" s="81">
        <v>104</v>
      </c>
      <c r="T522" s="81">
        <v>111</v>
      </c>
      <c r="U522" s="81">
        <v>116</v>
      </c>
      <c r="V522" s="81">
        <v>116</v>
      </c>
      <c r="W522" s="81">
        <v>116</v>
      </c>
      <c r="X522" s="81">
        <f>36+75</f>
        <v>111</v>
      </c>
      <c r="Y522" s="81">
        <v>115</v>
      </c>
      <c r="Z522" s="81">
        <v>118</v>
      </c>
      <c r="AA522" s="81">
        <v>119</v>
      </c>
      <c r="AB522" s="81">
        <v>117</v>
      </c>
    </row>
    <row r="523" spans="2:40" hidden="1" outlineLevel="1">
      <c r="B523"/>
      <c r="D523" s="71" t="s">
        <v>556</v>
      </c>
      <c r="I523" s="7"/>
      <c r="J523" s="7"/>
      <c r="K523" s="7"/>
      <c r="L523" s="76"/>
      <c r="M523" s="76"/>
      <c r="N523" s="76">
        <f t="shared" ref="N523:U523" si="637">N524-N522</f>
        <v>0</v>
      </c>
      <c r="O523" s="76">
        <f t="shared" si="637"/>
        <v>3</v>
      </c>
      <c r="P523" s="76">
        <f t="shared" si="637"/>
        <v>3</v>
      </c>
      <c r="Q523" s="76">
        <f t="shared" si="637"/>
        <v>3</v>
      </c>
      <c r="R523" s="76">
        <f t="shared" si="637"/>
        <v>5</v>
      </c>
      <c r="S523" s="76">
        <f t="shared" si="637"/>
        <v>5</v>
      </c>
      <c r="T523" s="76">
        <f t="shared" si="637"/>
        <v>10</v>
      </c>
      <c r="U523" s="76">
        <f t="shared" si="637"/>
        <v>32</v>
      </c>
      <c r="V523" s="76">
        <f>V524-V522</f>
        <v>34</v>
      </c>
      <c r="W523" s="76">
        <f t="shared" ref="W523:AB523" si="638">W524-W522</f>
        <v>36</v>
      </c>
      <c r="X523" s="76">
        <f t="shared" si="638"/>
        <v>48</v>
      </c>
      <c r="Y523" s="76">
        <f t="shared" si="638"/>
        <v>58</v>
      </c>
      <c r="Z523" s="76">
        <f t="shared" si="638"/>
        <v>65</v>
      </c>
      <c r="AA523" s="76">
        <f t="shared" si="638"/>
        <v>67</v>
      </c>
      <c r="AB523" s="76">
        <f t="shared" si="638"/>
        <v>67</v>
      </c>
    </row>
    <row r="524" spans="2:40" hidden="1" outlineLevel="1">
      <c r="B524"/>
      <c r="D524" s="280" t="s">
        <v>557</v>
      </c>
      <c r="E524" s="280"/>
      <c r="F524" s="280"/>
      <c r="G524" s="280"/>
      <c r="H524" s="280"/>
      <c r="I524" s="282"/>
      <c r="J524" s="282"/>
      <c r="K524" s="282"/>
      <c r="L524" s="278"/>
      <c r="M524" s="278"/>
      <c r="N524" s="278">
        <v>105</v>
      </c>
      <c r="O524" s="278">
        <v>107</v>
      </c>
      <c r="P524" s="278">
        <v>100</v>
      </c>
      <c r="Q524" s="278">
        <v>98</v>
      </c>
      <c r="R524" s="278">
        <v>100</v>
      </c>
      <c r="S524" s="278">
        <v>109</v>
      </c>
      <c r="T524" s="278">
        <v>121</v>
      </c>
      <c r="U524" s="278">
        <v>148</v>
      </c>
      <c r="V524" s="278">
        <v>150</v>
      </c>
      <c r="W524" s="278">
        <v>152</v>
      </c>
      <c r="X524" s="278">
        <v>159</v>
      </c>
      <c r="Y524" s="278">
        <v>173</v>
      </c>
      <c r="Z524" s="278">
        <v>183</v>
      </c>
      <c r="AA524" s="278">
        <v>186</v>
      </c>
      <c r="AB524" s="278">
        <v>184</v>
      </c>
    </row>
    <row r="525" spans="2:40" hidden="1" outlineLevel="1">
      <c r="B525"/>
      <c r="D525" s="71" t="s">
        <v>558</v>
      </c>
      <c r="I525" s="7"/>
      <c r="J525" s="7"/>
      <c r="K525" s="7"/>
      <c r="L525" s="81"/>
      <c r="M525" s="81"/>
      <c r="N525" s="81"/>
      <c r="O525" s="81"/>
      <c r="P525" s="81"/>
      <c r="Q525" s="81"/>
      <c r="R525" s="81">
        <v>14</v>
      </c>
      <c r="S525" s="81">
        <v>15</v>
      </c>
      <c r="T525" s="81">
        <v>15</v>
      </c>
      <c r="U525" s="81">
        <v>15</v>
      </c>
      <c r="V525" s="81">
        <v>15</v>
      </c>
      <c r="W525" s="81">
        <v>15</v>
      </c>
      <c r="X525" s="81">
        <v>15</v>
      </c>
      <c r="Y525" s="81">
        <v>15</v>
      </c>
      <c r="Z525" s="81">
        <v>15</v>
      </c>
      <c r="AA525" s="81">
        <v>15</v>
      </c>
      <c r="AB525" s="81">
        <v>15</v>
      </c>
    </row>
    <row r="526" spans="2:40" hidden="1" outlineLevel="1">
      <c r="B526"/>
      <c r="I526" s="7"/>
      <c r="J526" s="7"/>
      <c r="K526" s="7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</row>
    <row r="527" spans="2:40" hidden="1" outlineLevel="1">
      <c r="B527"/>
      <c r="D527" s="71" t="s">
        <v>559</v>
      </c>
      <c r="I527" s="7"/>
      <c r="J527" s="7"/>
      <c r="K527" s="7"/>
      <c r="L527" s="81"/>
      <c r="M527" s="81"/>
      <c r="N527" s="81"/>
      <c r="O527" s="81">
        <v>3985.694</v>
      </c>
      <c r="P527" s="81">
        <v>3392.8879999999999</v>
      </c>
      <c r="Q527" s="81">
        <v>2543.0309999999999</v>
      </c>
      <c r="R527" s="81">
        <v>3086.8069999999998</v>
      </c>
      <c r="S527" s="81">
        <v>3402.6469999999999</v>
      </c>
      <c r="T527" s="81">
        <v>4291.098</v>
      </c>
      <c r="U527" s="81">
        <v>5224.9210000000003</v>
      </c>
      <c r="V527" s="81">
        <v>5741.6189999999997</v>
      </c>
      <c r="W527" s="81">
        <v>6001.3059999999996</v>
      </c>
      <c r="X527" s="81">
        <v>6046.0749999999998</v>
      </c>
      <c r="Y527" s="81">
        <v>6157.5309999999999</v>
      </c>
      <c r="Z527" s="81">
        <v>6181.3710000000001</v>
      </c>
      <c r="AA527" s="81">
        <v>6314.1</v>
      </c>
      <c r="AB527" s="81">
        <v>5580.8</v>
      </c>
    </row>
    <row r="528" spans="2:40" hidden="1" outlineLevel="1">
      <c r="B528"/>
      <c r="D528" s="71" t="s">
        <v>560</v>
      </c>
      <c r="I528" s="7"/>
      <c r="J528" s="7"/>
      <c r="K528" s="7"/>
      <c r="L528" s="81"/>
      <c r="M528" s="81"/>
      <c r="N528" s="81"/>
      <c r="O528" s="81">
        <v>1168.8679999999999</v>
      </c>
      <c r="P528" s="81">
        <v>1090.559</v>
      </c>
      <c r="Q528" s="81">
        <v>970.61400000000003</v>
      </c>
      <c r="R528" s="81">
        <v>1271.039</v>
      </c>
      <c r="S528" s="81">
        <v>1416.52</v>
      </c>
      <c r="T528" s="81">
        <v>1756.9179999999999</v>
      </c>
      <c r="U528" s="81">
        <v>2039.4280000000001</v>
      </c>
      <c r="V528" s="81">
        <v>2324.8679999999999</v>
      </c>
      <c r="W528" s="81">
        <v>2638.9690000000001</v>
      </c>
      <c r="X528" s="81">
        <v>2757.7130000000002</v>
      </c>
      <c r="Y528" s="81">
        <v>2798.9859999999999</v>
      </c>
      <c r="Z528" s="81">
        <v>3166.07</v>
      </c>
      <c r="AA528" s="81">
        <v>3366.6</v>
      </c>
      <c r="AB528" s="81">
        <v>3105.7</v>
      </c>
    </row>
    <row r="529" spans="2:28" hidden="1" outlineLevel="1">
      <c r="B529"/>
      <c r="D529" s="71" t="s">
        <v>561</v>
      </c>
      <c r="I529" s="7"/>
      <c r="J529" s="7"/>
      <c r="K529" s="7"/>
      <c r="L529" s="81"/>
      <c r="M529" s="81"/>
      <c r="N529" s="81"/>
      <c r="O529" s="81">
        <v>208.90700000000001</v>
      </c>
      <c r="P529" s="81">
        <v>233.262</v>
      </c>
      <c r="Q529" s="81">
        <v>153.06800000000001</v>
      </c>
      <c r="R529" s="81">
        <v>215.53</v>
      </c>
      <c r="S529" s="81">
        <v>251.04300000000001</v>
      </c>
      <c r="T529" s="81">
        <v>288.13900000000001</v>
      </c>
      <c r="U529" s="81">
        <v>332.185</v>
      </c>
      <c r="V529" s="81">
        <v>379.14299999999997</v>
      </c>
      <c r="W529" s="81">
        <v>397.25099999999998</v>
      </c>
      <c r="X529" s="81">
        <v>401.863</v>
      </c>
      <c r="Y529" s="81">
        <v>400.17</v>
      </c>
      <c r="Z529" s="81">
        <v>369.57499999999999</v>
      </c>
      <c r="AA529" s="81">
        <v>355.2</v>
      </c>
      <c r="AB529" s="81">
        <v>308.10000000000002</v>
      </c>
    </row>
    <row r="530" spans="2:28" hidden="1" outlineLevel="1">
      <c r="B530"/>
      <c r="D530" s="71" t="s">
        <v>130</v>
      </c>
      <c r="I530" s="7"/>
      <c r="J530" s="7"/>
      <c r="K530" s="7"/>
      <c r="L530" s="76"/>
      <c r="M530" s="76"/>
      <c r="N530" s="76"/>
      <c r="O530" s="76">
        <f t="shared" ref="O530:AA530" si="639">O531-SUM(O527:O529)</f>
        <v>920.55699999999979</v>
      </c>
      <c r="P530" s="76">
        <f t="shared" si="639"/>
        <v>937.37800000000061</v>
      </c>
      <c r="Q530" s="76">
        <f t="shared" si="639"/>
        <v>858.99400000000014</v>
      </c>
      <c r="R530" s="76">
        <f t="shared" si="639"/>
        <v>935.79300000000057</v>
      </c>
      <c r="S530" s="76">
        <f t="shared" si="639"/>
        <v>1009.5550000000012</v>
      </c>
      <c r="T530" s="76">
        <f t="shared" si="639"/>
        <v>1139.9450000000006</v>
      </c>
      <c r="U530" s="76">
        <f t="shared" si="639"/>
        <v>1322.0469999999996</v>
      </c>
      <c r="V530" s="76">
        <f t="shared" si="639"/>
        <v>1492.259</v>
      </c>
      <c r="W530" s="76">
        <f t="shared" si="639"/>
        <v>1594.9789999999994</v>
      </c>
      <c r="X530" s="76">
        <f t="shared" si="639"/>
        <v>1681.9609999999993</v>
      </c>
      <c r="Y530" s="76">
        <f t="shared" si="639"/>
        <v>1767.0339999999997</v>
      </c>
      <c r="Z530" s="76">
        <f t="shared" si="639"/>
        <v>1884.3419999999987</v>
      </c>
      <c r="AA530" s="76">
        <f t="shared" si="639"/>
        <v>2007.8999999999978</v>
      </c>
      <c r="AB530" s="76">
        <f>AB531-SUM(AB527:AB529)</f>
        <v>1857.1999999999989</v>
      </c>
    </row>
    <row r="531" spans="2:28" hidden="1" outlineLevel="1">
      <c r="B531"/>
      <c r="D531" s="280" t="s">
        <v>260</v>
      </c>
      <c r="E531" s="280"/>
      <c r="F531" s="280"/>
      <c r="G531" s="280"/>
      <c r="H531" s="280"/>
      <c r="I531" s="282"/>
      <c r="J531" s="282"/>
      <c r="K531" s="282"/>
      <c r="L531" s="278"/>
      <c r="M531" s="278"/>
      <c r="N531" s="278"/>
      <c r="O531" s="278">
        <v>6284.0259999999998</v>
      </c>
      <c r="P531" s="278">
        <v>5654.0870000000004</v>
      </c>
      <c r="Q531" s="278">
        <v>4525.7070000000003</v>
      </c>
      <c r="R531" s="278">
        <v>5509.1689999999999</v>
      </c>
      <c r="S531" s="278">
        <v>6079.7650000000003</v>
      </c>
      <c r="T531" s="278">
        <v>7476.1</v>
      </c>
      <c r="U531" s="278">
        <v>8918.5810000000001</v>
      </c>
      <c r="V531" s="278">
        <v>9937.8889999999992</v>
      </c>
      <c r="W531" s="278">
        <v>10632.504999999999</v>
      </c>
      <c r="X531" s="278">
        <v>10887.611999999999</v>
      </c>
      <c r="Y531" s="278">
        <v>11123.721</v>
      </c>
      <c r="Z531" s="278">
        <v>11601.358</v>
      </c>
      <c r="AA531" s="278">
        <v>12043.8</v>
      </c>
      <c r="AB531" s="278">
        <v>10851.8</v>
      </c>
    </row>
    <row r="532" spans="2:28" hidden="1" outlineLevel="1">
      <c r="B532"/>
      <c r="D532" s="71" t="s">
        <v>562</v>
      </c>
      <c r="I532" s="7"/>
      <c r="J532" s="7"/>
      <c r="K532" s="7"/>
      <c r="L532" s="81"/>
      <c r="M532" s="81"/>
      <c r="N532" s="81"/>
      <c r="O532" s="228">
        <f t="shared" ref="O532:AA532" si="640">O529/SUM(O528:O529)</f>
        <v>0.15162635408539132</v>
      </c>
      <c r="P532" s="228">
        <f t="shared" si="640"/>
        <v>0.17620358039342179</v>
      </c>
      <c r="Q532" s="228">
        <f t="shared" si="640"/>
        <v>0.13622003378179948</v>
      </c>
      <c r="R532" s="228">
        <f t="shared" si="640"/>
        <v>0.14498486111307313</v>
      </c>
      <c r="S532" s="228">
        <f t="shared" si="640"/>
        <v>0.15054483698666857</v>
      </c>
      <c r="T532" s="228">
        <f t="shared" si="640"/>
        <v>0.14089533934750964</v>
      </c>
      <c r="U532" s="228">
        <f t="shared" si="640"/>
        <v>0.14006711887647771</v>
      </c>
      <c r="V532" s="228">
        <f t="shared" si="640"/>
        <v>0.14021503610747144</v>
      </c>
      <c r="W532" s="228">
        <f t="shared" si="640"/>
        <v>0.13083735697676716</v>
      </c>
      <c r="X532" s="228">
        <f t="shared" si="640"/>
        <v>0.12718890129561689</v>
      </c>
      <c r="Y532" s="228">
        <f t="shared" si="640"/>
        <v>0.12508611646321718</v>
      </c>
      <c r="Z532" s="228">
        <f t="shared" si="640"/>
        <v>0.1045283109588208</v>
      </c>
      <c r="AA532" s="228">
        <f t="shared" si="640"/>
        <v>9.5437691439625993E-2</v>
      </c>
      <c r="AB532" s="228">
        <f>AB529/SUM(AB528:AB529)</f>
        <v>9.0251332825590266E-2</v>
      </c>
    </row>
    <row r="533" spans="2:28" hidden="1" outlineLevel="1">
      <c r="B533"/>
      <c r="I533" s="7"/>
      <c r="J533" s="7"/>
      <c r="K533" s="7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</row>
    <row r="534" spans="2:28" hidden="1" outlineLevel="1">
      <c r="B534"/>
      <c r="D534" s="71" t="s">
        <v>563</v>
      </c>
      <c r="I534" s="7"/>
      <c r="J534" s="7"/>
      <c r="K534" s="7"/>
      <c r="L534" s="81"/>
      <c r="M534" s="81"/>
      <c r="N534" s="81"/>
      <c r="O534" s="81">
        <v>129215</v>
      </c>
      <c r="P534" s="81">
        <v>110705</v>
      </c>
      <c r="Q534" s="81">
        <v>83182</v>
      </c>
      <c r="R534" s="81">
        <v>97511</v>
      </c>
      <c r="S534" s="81">
        <v>102022</v>
      </c>
      <c r="T534" s="81">
        <v>128550</v>
      </c>
      <c r="U534" s="81">
        <v>155866</v>
      </c>
      <c r="V534" s="81">
        <v>166896</v>
      </c>
      <c r="W534" s="81">
        <v>174614</v>
      </c>
      <c r="X534" s="81">
        <v>172053</v>
      </c>
      <c r="Y534" s="81">
        <v>172200</v>
      </c>
      <c r="Z534" s="81">
        <v>170517</v>
      </c>
      <c r="AA534" s="81">
        <v>169136</v>
      </c>
      <c r="AB534" s="81">
        <v>140221</v>
      </c>
    </row>
    <row r="535" spans="2:28" hidden="1" outlineLevel="1">
      <c r="B535"/>
      <c r="D535" s="71" t="s">
        <v>564</v>
      </c>
      <c r="I535" s="7"/>
      <c r="J535" s="7"/>
      <c r="K535" s="7"/>
      <c r="L535" s="81"/>
      <c r="M535" s="81"/>
      <c r="N535" s="81"/>
      <c r="O535" s="81">
        <v>65138</v>
      </c>
      <c r="P535" s="81">
        <v>61971</v>
      </c>
      <c r="Q535" s="81">
        <v>54067</v>
      </c>
      <c r="R535" s="81">
        <v>66001</v>
      </c>
      <c r="S535" s="81">
        <v>70475</v>
      </c>
      <c r="T535" s="81">
        <v>85366</v>
      </c>
      <c r="U535" s="81">
        <v>98813</v>
      </c>
      <c r="V535" s="81">
        <v>109873</v>
      </c>
      <c r="W535" s="81">
        <v>124153</v>
      </c>
      <c r="X535" s="81">
        <v>129131</v>
      </c>
      <c r="Y535" s="81">
        <v>129933</v>
      </c>
      <c r="Z535" s="81">
        <v>147999</v>
      </c>
      <c r="AA535" s="81">
        <v>158549</v>
      </c>
      <c r="AB535" s="81">
        <v>140118</v>
      </c>
    </row>
    <row r="536" spans="2:28" hidden="1" outlineLevel="1">
      <c r="B536"/>
      <c r="D536" s="71" t="s">
        <v>565</v>
      </c>
      <c r="I536" s="7"/>
      <c r="J536" s="7"/>
      <c r="K536" s="7"/>
      <c r="L536" s="81"/>
      <c r="M536" s="81"/>
      <c r="N536" s="81"/>
      <c r="O536" s="81">
        <v>44289</v>
      </c>
      <c r="P536" s="81">
        <v>36819</v>
      </c>
      <c r="Q536" s="81">
        <v>27793</v>
      </c>
      <c r="R536" s="81">
        <v>33524</v>
      </c>
      <c r="S536" s="81">
        <v>35997</v>
      </c>
      <c r="T536" s="81">
        <v>43756</v>
      </c>
      <c r="U536" s="81">
        <v>50736</v>
      </c>
      <c r="V536" s="81">
        <v>54602</v>
      </c>
      <c r="W536" s="81">
        <v>57226</v>
      </c>
      <c r="X536" s="81">
        <v>57339</v>
      </c>
      <c r="Y536" s="81">
        <v>57144</v>
      </c>
      <c r="Z536" s="81">
        <v>53887</v>
      </c>
      <c r="AA536" s="81">
        <v>51205</v>
      </c>
      <c r="AB536" s="81">
        <v>41786</v>
      </c>
    </row>
    <row r="537" spans="2:28" hidden="1" outlineLevel="1">
      <c r="B537"/>
      <c r="I537" s="7"/>
      <c r="J537" s="7"/>
      <c r="K537" s="7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  <c r="AA537" s="81"/>
      <c r="AB537" s="81"/>
    </row>
    <row r="538" spans="2:28" hidden="1" outlineLevel="1">
      <c r="B538"/>
      <c r="D538" t="str">
        <f>D534&amp;" - SSS"</f>
        <v>Retail New Vehicles sold - SSS</v>
      </c>
      <c r="I538" s="7"/>
      <c r="J538" s="7"/>
      <c r="K538" s="7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>
        <v>160841</v>
      </c>
      <c r="W538" s="81">
        <v>169734</v>
      </c>
      <c r="X538" s="81">
        <v>167958</v>
      </c>
      <c r="Y538" s="81"/>
      <c r="Z538" s="81"/>
      <c r="AA538" s="81"/>
      <c r="AB538" s="81"/>
    </row>
    <row r="539" spans="2:28" hidden="1" outlineLevel="1">
      <c r="B539"/>
      <c r="D539" t="str">
        <f t="shared" ref="D539:D540" si="641">D535&amp;" - SSS"</f>
        <v>Retail Used Vehicles sold - SSS</v>
      </c>
      <c r="I539" s="7"/>
      <c r="J539" s="7"/>
      <c r="K539" s="7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>
        <v>106992</v>
      </c>
      <c r="W539" s="81">
        <v>121446</v>
      </c>
      <c r="X539" s="81">
        <v>126372</v>
      </c>
      <c r="Y539" s="81"/>
      <c r="Z539" s="81"/>
      <c r="AA539" s="81"/>
      <c r="AB539" s="81"/>
    </row>
    <row r="540" spans="2:28" hidden="1" outlineLevel="1">
      <c r="B540"/>
      <c r="D540" t="str">
        <f t="shared" si="641"/>
        <v>Wholesale used vehicles sold - SSS</v>
      </c>
      <c r="I540" s="7"/>
      <c r="J540" s="7"/>
      <c r="K540" s="7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>
        <v>52740</v>
      </c>
      <c r="W540" s="81">
        <v>55502</v>
      </c>
      <c r="X540" s="81">
        <v>55723</v>
      </c>
      <c r="Y540" s="81"/>
      <c r="Z540" s="81"/>
      <c r="AA540" s="81"/>
      <c r="AB540" s="81"/>
    </row>
    <row r="541" spans="2:28" hidden="1" outlineLevel="1">
      <c r="B541"/>
      <c r="I541" s="7"/>
      <c r="J541" s="7"/>
      <c r="K541" s="7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  <c r="AA541" s="81"/>
      <c r="AB541" s="81"/>
    </row>
    <row r="542" spans="2:28" hidden="1" outlineLevel="1">
      <c r="B542"/>
      <c r="D542" s="71" t="s">
        <v>566</v>
      </c>
      <c r="I542" s="7"/>
      <c r="J542" s="7"/>
      <c r="K542" s="7"/>
      <c r="L542" s="81"/>
      <c r="M542" s="81"/>
      <c r="N542" s="81"/>
      <c r="O542" s="81"/>
      <c r="P542" s="81"/>
      <c r="Q542" s="81"/>
      <c r="R542" s="81"/>
      <c r="S542" s="81">
        <v>3227.6419999999998</v>
      </c>
      <c r="T542" s="81">
        <v>4004.2109999999998</v>
      </c>
      <c r="U542" s="81">
        <v>4220.9129999999996</v>
      </c>
      <c r="V542" s="81">
        <v>4669.5119999999997</v>
      </c>
      <c r="W542" s="81">
        <v>4989.29</v>
      </c>
      <c r="X542" s="81">
        <v>4766.0469999999996</v>
      </c>
      <c r="Y542" s="81">
        <v>4768.8999999999996</v>
      </c>
      <c r="Z542" s="81">
        <v>4682.8</v>
      </c>
      <c r="AA542" s="81">
        <v>4832.2</v>
      </c>
      <c r="AB542" s="81">
        <v>4406.6000000000004</v>
      </c>
    </row>
    <row r="543" spans="2:28" hidden="1" outlineLevel="1">
      <c r="B543"/>
      <c r="D543" s="71" t="s">
        <v>567</v>
      </c>
      <c r="I543" s="7"/>
      <c r="J543" s="7"/>
      <c r="K543" s="7"/>
      <c r="L543" s="81"/>
      <c r="M543" s="81"/>
      <c r="N543" s="81"/>
      <c r="O543" s="81"/>
      <c r="P543" s="81"/>
      <c r="Q543" s="81"/>
      <c r="R543" s="81"/>
      <c r="S543" s="81">
        <v>1333.1849999999999</v>
      </c>
      <c r="T543" s="81">
        <v>1623.588</v>
      </c>
      <c r="U543" s="81">
        <v>1728.0719999999999</v>
      </c>
      <c r="V543" s="81">
        <v>1923.74</v>
      </c>
      <c r="W543" s="81">
        <v>2204.7280000000001</v>
      </c>
      <c r="X543" s="81">
        <v>2242.5079999999998</v>
      </c>
      <c r="Y543" s="81">
        <v>2160.6999999999998</v>
      </c>
      <c r="Z543" s="81">
        <v>2307</v>
      </c>
      <c r="AA543" s="81">
        <v>2509.9</v>
      </c>
      <c r="AB543" s="81">
        <v>2348.5</v>
      </c>
    </row>
    <row r="544" spans="2:28" hidden="1" outlineLevel="1">
      <c r="B544"/>
      <c r="D544" s="71" t="s">
        <v>568</v>
      </c>
      <c r="I544" s="7"/>
      <c r="J544" s="7"/>
      <c r="K544" s="7"/>
      <c r="L544" s="81"/>
      <c r="M544" s="81"/>
      <c r="N544" s="81"/>
      <c r="O544" s="81"/>
      <c r="P544" s="81"/>
      <c r="Q544" s="81"/>
      <c r="R544" s="81"/>
      <c r="S544" s="81">
        <v>223.80799999999999</v>
      </c>
      <c r="T544" s="81">
        <v>240.78899999999999</v>
      </c>
      <c r="U544" s="81">
        <v>236.995</v>
      </c>
      <c r="V544" s="81">
        <v>279.07400000000001</v>
      </c>
      <c r="W544" s="81">
        <v>289.58</v>
      </c>
      <c r="X544" s="81">
        <v>276.70999999999998</v>
      </c>
      <c r="Y544" s="81">
        <v>250.7</v>
      </c>
      <c r="Z544" s="81">
        <v>178.9</v>
      </c>
      <c r="AA544" s="81">
        <v>174.5</v>
      </c>
      <c r="AB544" s="81">
        <v>169.4</v>
      </c>
    </row>
    <row r="545" spans="2:40" hidden="1" outlineLevel="1">
      <c r="B545"/>
      <c r="D545" s="71" t="s">
        <v>569</v>
      </c>
      <c r="I545" s="7"/>
      <c r="J545" s="7"/>
      <c r="K545" s="7"/>
      <c r="L545" s="76"/>
      <c r="M545" s="76"/>
      <c r="N545" s="76"/>
      <c r="O545" s="76"/>
      <c r="P545" s="76"/>
      <c r="Q545" s="76"/>
      <c r="R545" s="76"/>
      <c r="S545" s="76">
        <f t="shared" ref="S545:AA545" si="642">S546-SUM(S542:S544)</f>
        <v>975.59300000000076</v>
      </c>
      <c r="T545" s="76">
        <f t="shared" si="642"/>
        <v>1085.4220000000005</v>
      </c>
      <c r="U545" s="76">
        <f t="shared" si="642"/>
        <v>1167.3600000000006</v>
      </c>
      <c r="V545" s="76">
        <f t="shared" si="642"/>
        <v>1302.9150000000009</v>
      </c>
      <c r="W545" s="76">
        <f t="shared" si="642"/>
        <v>1410.3919999999998</v>
      </c>
      <c r="X545" s="76">
        <f t="shared" si="642"/>
        <v>1449.4070000000011</v>
      </c>
      <c r="Y545" s="76">
        <f t="shared" si="642"/>
        <v>1500.3000000000011</v>
      </c>
      <c r="Z545" s="76">
        <f t="shared" si="642"/>
        <v>1554.5999999999995</v>
      </c>
      <c r="AA545" s="76">
        <f t="shared" si="642"/>
        <v>1667.6000000000004</v>
      </c>
      <c r="AB545" s="76">
        <f>AB546-SUM(AB542:AB544)</f>
        <v>1578.8999999999996</v>
      </c>
    </row>
    <row r="546" spans="2:40" hidden="1" outlineLevel="1">
      <c r="B546"/>
      <c r="D546" s="280" t="s">
        <v>570</v>
      </c>
      <c r="E546" s="280"/>
      <c r="F546" s="280"/>
      <c r="G546" s="280"/>
      <c r="H546" s="280"/>
      <c r="I546" s="282"/>
      <c r="J546" s="282"/>
      <c r="K546" s="282"/>
      <c r="L546" s="278"/>
      <c r="M546" s="278"/>
      <c r="N546" s="278"/>
      <c r="O546" s="278"/>
      <c r="P546" s="278"/>
      <c r="Q546" s="278"/>
      <c r="R546" s="278"/>
      <c r="S546" s="278">
        <v>5760.2280000000001</v>
      </c>
      <c r="T546" s="278">
        <v>6954.01</v>
      </c>
      <c r="U546" s="278">
        <v>7353.34</v>
      </c>
      <c r="V546" s="278">
        <v>8175.241</v>
      </c>
      <c r="W546" s="278">
        <v>8893.99</v>
      </c>
      <c r="X546" s="278">
        <v>8734.6720000000005</v>
      </c>
      <c r="Y546" s="278">
        <v>8680.6</v>
      </c>
      <c r="Z546" s="278">
        <v>8723.2999999999993</v>
      </c>
      <c r="AA546" s="278">
        <v>9184.2000000000007</v>
      </c>
      <c r="AB546" s="278">
        <v>8503.4</v>
      </c>
    </row>
    <row r="547" spans="2:40" hidden="1" outlineLevel="1">
      <c r="B547"/>
      <c r="I547" s="7"/>
      <c r="J547" s="7"/>
      <c r="K547" s="7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  <c r="AA547" s="81"/>
      <c r="AB547" s="81"/>
    </row>
    <row r="548" spans="2:40" hidden="1" outlineLevel="1">
      <c r="B548"/>
      <c r="D548" s="71" t="s">
        <v>571</v>
      </c>
      <c r="I548" s="7"/>
      <c r="J548" s="7"/>
      <c r="K548" s="7"/>
      <c r="L548" s="81"/>
      <c r="M548" s="81"/>
      <c r="N548" s="81"/>
      <c r="O548" s="81"/>
      <c r="P548" s="81"/>
      <c r="Q548" s="81"/>
      <c r="R548" s="81"/>
      <c r="S548" s="81">
        <f>96188+757</f>
        <v>96945</v>
      </c>
      <c r="T548" s="81">
        <f>114265+6270</f>
        <v>120535</v>
      </c>
      <c r="U548" s="81">
        <f>119213+5856</f>
        <v>125069</v>
      </c>
      <c r="V548" s="350">
        <f>131249*V534/V538</f>
        <v>136189.98330027791</v>
      </c>
      <c r="W548" s="350">
        <f>138599*W534/W538</f>
        <v>142583.84169347331</v>
      </c>
      <c r="X548" s="350">
        <f>128441*X534/X538</f>
        <v>131572.53225806452</v>
      </c>
      <c r="Y548" s="81">
        <v>127141</v>
      </c>
      <c r="Z548" s="81">
        <v>122873</v>
      </c>
      <c r="AA548" s="81">
        <v>122096</v>
      </c>
      <c r="AB548" s="81">
        <v>105022</v>
      </c>
    </row>
    <row r="549" spans="2:40" hidden="1" outlineLevel="1">
      <c r="B549"/>
      <c r="D549" s="71" t="s">
        <v>572</v>
      </c>
      <c r="I549" s="7"/>
      <c r="J549" s="7"/>
      <c r="K549" s="7"/>
      <c r="L549" s="81"/>
      <c r="M549" s="81"/>
      <c r="N549" s="81"/>
      <c r="O549" s="81"/>
      <c r="P549" s="81"/>
      <c r="Q549" s="81"/>
      <c r="R549" s="81"/>
      <c r="S549" s="81">
        <f>66939+406</f>
        <v>67345</v>
      </c>
      <c r="T549" s="81">
        <f>77214+3500</f>
        <v>80714</v>
      </c>
      <c r="U549" s="81">
        <f>80434+4931</f>
        <v>85365</v>
      </c>
      <c r="V549" s="350">
        <f>91606*V535/V539</f>
        <v>94072.697379243313</v>
      </c>
      <c r="W549" s="350">
        <f>103151*W535/W539</f>
        <v>105450.20917115426</v>
      </c>
      <c r="X549" s="350">
        <f>104451*X535/X539</f>
        <v>106731.41266261514</v>
      </c>
      <c r="Y549" s="81">
        <v>101170</v>
      </c>
      <c r="Z549" s="81">
        <v>111806</v>
      </c>
      <c r="AA549" s="81">
        <v>121016</v>
      </c>
      <c r="AB549" s="81">
        <v>108411</v>
      </c>
    </row>
    <row r="550" spans="2:40" hidden="1" outlineLevel="1">
      <c r="B550"/>
      <c r="D550" s="71" t="s">
        <v>573</v>
      </c>
      <c r="I550" s="7"/>
      <c r="J550" s="7"/>
      <c r="K550" s="7"/>
      <c r="L550" s="81"/>
      <c r="M550" s="81"/>
      <c r="N550" s="81"/>
      <c r="O550" s="81"/>
      <c r="P550" s="81"/>
      <c r="Q550" s="81"/>
      <c r="R550" s="81"/>
      <c r="S550" s="81">
        <f>32951+316</f>
        <v>33267</v>
      </c>
      <c r="T550" s="81">
        <f>36590+2466</f>
        <v>39056</v>
      </c>
      <c r="U550" s="81">
        <f>37614+2507</f>
        <v>40121</v>
      </c>
      <c r="V550" s="350">
        <f>42120*V536/V540</f>
        <v>43607.058020477816</v>
      </c>
      <c r="W550" s="350">
        <f>42928*W536/W540</f>
        <v>44261.427119743435</v>
      </c>
      <c r="X550" s="350">
        <f>40361*X536/X540</f>
        <v>41531.492902392187</v>
      </c>
      <c r="Y550" s="81">
        <v>37662</v>
      </c>
      <c r="Z550" s="81">
        <v>30625</v>
      </c>
      <c r="AA550" s="81">
        <v>28577</v>
      </c>
      <c r="AB550" s="81">
        <v>24679</v>
      </c>
    </row>
    <row r="551" spans="2:40" hidden="1" outlineLevel="1">
      <c r="B551"/>
      <c r="I551" s="7"/>
      <c r="J551" s="7"/>
      <c r="K551" s="7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  <c r="AA551" s="81"/>
      <c r="AB551" s="81"/>
    </row>
    <row r="552" spans="2:40" hidden="1" outlineLevel="1">
      <c r="B552"/>
      <c r="D552" s="71" t="s">
        <v>574</v>
      </c>
      <c r="I552" s="7"/>
      <c r="J552" s="7"/>
      <c r="K552" s="7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  <c r="AA552" s="81">
        <f>AB552/2.05</f>
        <v>5391.707317073171</v>
      </c>
      <c r="AB552" s="81">
        <v>11053</v>
      </c>
    </row>
    <row r="553" spans="2:40" hidden="1" outlineLevel="1">
      <c r="B553"/>
      <c r="I553" s="7"/>
      <c r="J553" s="7"/>
      <c r="K553" s="7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  <c r="AA553" s="81"/>
      <c r="AB553" s="81"/>
    </row>
    <row r="554" spans="2:40" hidden="1" outlineLevel="1">
      <c r="B554"/>
      <c r="D554" s="71" t="s">
        <v>575</v>
      </c>
      <c r="I554" s="7"/>
      <c r="J554" s="7"/>
      <c r="K554" s="7"/>
      <c r="L554" s="81"/>
      <c r="M554" s="81"/>
      <c r="N554" s="81"/>
      <c r="O554" s="81"/>
      <c r="P554" s="81">
        <v>683.01400000000001</v>
      </c>
      <c r="Q554" s="81">
        <v>422.92</v>
      </c>
      <c r="R554" s="81">
        <v>564.07100000000003</v>
      </c>
      <c r="S554" s="81">
        <v>611.93100000000004</v>
      </c>
      <c r="T554" s="81">
        <v>895.48400000000004</v>
      </c>
      <c r="U554" s="81">
        <v>1165.335</v>
      </c>
      <c r="V554" s="81">
        <v>1137.4780000000001</v>
      </c>
      <c r="W554" s="81">
        <v>1262.797</v>
      </c>
      <c r="X554" s="81">
        <v>1156.383</v>
      </c>
      <c r="Y554" s="81">
        <v>1194.6320000000001</v>
      </c>
      <c r="Z554" s="81">
        <v>1274.3</v>
      </c>
      <c r="AA554" s="81">
        <v>1328.6</v>
      </c>
      <c r="AB554" s="81">
        <v>902.5</v>
      </c>
    </row>
    <row r="555" spans="2:40" hidden="1" outlineLevel="1">
      <c r="B555"/>
      <c r="D555" s="71" t="s">
        <v>576</v>
      </c>
      <c r="I555" s="7"/>
      <c r="J555" s="7"/>
      <c r="K555" s="7"/>
      <c r="L555" s="81"/>
      <c r="M555" s="81"/>
      <c r="N555" s="81"/>
      <c r="O555" s="81"/>
      <c r="P555" s="81">
        <v>65.215999999999994</v>
      </c>
      <c r="Q555" s="81">
        <v>93.138999999999996</v>
      </c>
      <c r="R555" s="81">
        <v>120.648</v>
      </c>
      <c r="S555" s="81">
        <v>154.41999999999999</v>
      </c>
      <c r="T555" s="81">
        <v>184.77500000000001</v>
      </c>
      <c r="U555" s="81">
        <v>231.96</v>
      </c>
      <c r="V555" s="81">
        <v>254.93899999999999</v>
      </c>
      <c r="W555" s="81">
        <v>275.50799999999998</v>
      </c>
      <c r="X555" s="81">
        <v>294.81200000000001</v>
      </c>
      <c r="Y555" s="81">
        <v>350.76</v>
      </c>
      <c r="Z555" s="81">
        <v>347.4</v>
      </c>
      <c r="AA555" s="81">
        <v>346.7</v>
      </c>
      <c r="AB555" s="81">
        <v>374.8</v>
      </c>
    </row>
    <row r="556" spans="2:40" hidden="1" outlineLevel="1">
      <c r="B556"/>
      <c r="D556" s="280" t="s">
        <v>509</v>
      </c>
      <c r="E556" s="280"/>
      <c r="F556" s="280"/>
      <c r="G556" s="280"/>
      <c r="H556" s="280"/>
      <c r="I556" s="282"/>
      <c r="J556" s="282"/>
      <c r="K556" s="282"/>
      <c r="L556" s="306"/>
      <c r="M556" s="306"/>
      <c r="N556" s="306"/>
      <c r="O556" s="306"/>
      <c r="P556" s="306">
        <f t="shared" ref="P556:AB556" si="643">SUM(P554:P555)</f>
        <v>748.23</v>
      </c>
      <c r="Q556" s="306">
        <f t="shared" si="643"/>
        <v>516.05899999999997</v>
      </c>
      <c r="R556" s="306">
        <f t="shared" si="643"/>
        <v>684.71900000000005</v>
      </c>
      <c r="S556" s="306">
        <f t="shared" si="643"/>
        <v>766.351</v>
      </c>
      <c r="T556" s="306">
        <f t="shared" si="643"/>
        <v>1080.259</v>
      </c>
      <c r="U556" s="306">
        <f t="shared" si="643"/>
        <v>1397.2950000000001</v>
      </c>
      <c r="V556" s="306">
        <f t="shared" si="643"/>
        <v>1392.4170000000001</v>
      </c>
      <c r="W556" s="306">
        <f t="shared" si="643"/>
        <v>1538.3050000000001</v>
      </c>
      <c r="X556" s="306">
        <f t="shared" si="643"/>
        <v>1451.1950000000002</v>
      </c>
      <c r="Y556" s="306">
        <f t="shared" si="643"/>
        <v>1545.3920000000001</v>
      </c>
      <c r="Z556" s="306">
        <f t="shared" si="643"/>
        <v>1621.6999999999998</v>
      </c>
      <c r="AA556" s="306">
        <f t="shared" si="643"/>
        <v>1675.3</v>
      </c>
      <c r="AB556" s="306">
        <f t="shared" si="643"/>
        <v>1277.3</v>
      </c>
    </row>
    <row r="557" spans="2:40" hidden="1" outlineLevel="1">
      <c r="B557"/>
      <c r="I557" s="7"/>
      <c r="J557" s="7"/>
      <c r="K557" s="7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  <c r="AA557" s="81"/>
      <c r="AB557" s="81"/>
    </row>
    <row r="558" spans="2:40" hidden="1" outlineLevel="1">
      <c r="B558"/>
      <c r="D558" t="s">
        <v>577</v>
      </c>
      <c r="I558" s="66"/>
      <c r="J558" s="66"/>
      <c r="K558" s="66"/>
      <c r="L558" s="259"/>
      <c r="M558" s="259"/>
      <c r="N558" s="259"/>
      <c r="O558" s="259"/>
      <c r="P558" s="259"/>
      <c r="Q558" s="259">
        <f t="shared" ref="Q558:AB558" si="644">AVERAGE(P555:Q555)/SUM(Q528:Q529)*365</f>
        <v>25.718831039386586</v>
      </c>
      <c r="R558" s="259">
        <f t="shared" si="644"/>
        <v>26.245756167389469</v>
      </c>
      <c r="S558" s="259">
        <f t="shared" si="644"/>
        <v>30.103756199915679</v>
      </c>
      <c r="T558" s="259">
        <f t="shared" si="644"/>
        <v>30.269614734454837</v>
      </c>
      <c r="U558" s="259">
        <f t="shared" si="644"/>
        <v>32.068527833166705</v>
      </c>
      <c r="V558" s="259">
        <f t="shared" si="644"/>
        <v>32.861947492077512</v>
      </c>
      <c r="W558" s="259">
        <f t="shared" si="644"/>
        <v>31.883914044436828</v>
      </c>
      <c r="X558" s="259">
        <f t="shared" si="644"/>
        <v>32.942204903442736</v>
      </c>
      <c r="Y558" s="259">
        <f t="shared" si="644"/>
        <v>36.827491375850379</v>
      </c>
      <c r="Z558" s="259">
        <f t="shared" si="644"/>
        <v>36.037045574428426</v>
      </c>
      <c r="AA558" s="259">
        <f t="shared" si="644"/>
        <v>34.035480144016333</v>
      </c>
      <c r="AB558" s="259">
        <f t="shared" si="644"/>
        <v>38.571020563594821</v>
      </c>
    </row>
    <row r="559" spans="2:40" hidden="1" outlineLevel="1">
      <c r="B559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</row>
    <row r="560" spans="2:40" hidden="1" outlineLevel="1">
      <c r="B560"/>
      <c r="D560" t="s">
        <v>578</v>
      </c>
      <c r="L560" s="109"/>
      <c r="M560" s="109"/>
      <c r="N560" s="109"/>
      <c r="O560" s="109"/>
      <c r="P560" s="109"/>
      <c r="Q560" s="109">
        <v>10.4</v>
      </c>
      <c r="R560" s="109">
        <v>11.6</v>
      </c>
      <c r="S560" s="109">
        <v>12.8</v>
      </c>
      <c r="T560" s="109">
        <v>14.5</v>
      </c>
      <c r="U560" s="109">
        <v>15.6</v>
      </c>
      <c r="V560" s="109">
        <v>16.5</v>
      </c>
      <c r="W560" s="109">
        <v>17.399999999999999</v>
      </c>
      <c r="X560" s="109">
        <v>17.5</v>
      </c>
      <c r="Y560" s="109">
        <v>17.2</v>
      </c>
      <c r="Z560" s="109">
        <v>17.3</v>
      </c>
      <c r="AA560" s="109">
        <v>17</v>
      </c>
      <c r="AB560" s="109">
        <v>14.5</v>
      </c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</row>
    <row r="561" spans="2:40" collapsed="1">
      <c r="B561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</row>
    <row r="562" spans="2:40">
      <c r="B562"/>
      <c r="D562" s="303" t="s">
        <v>516</v>
      </c>
      <c r="E562" s="304"/>
      <c r="F562" s="304"/>
      <c r="G562" s="304"/>
      <c r="H562" s="304"/>
      <c r="I562" s="304"/>
      <c r="J562" s="304"/>
      <c r="K562" s="304"/>
      <c r="L562" s="304"/>
      <c r="M562" s="304"/>
      <c r="N562" s="304"/>
      <c r="O562" s="304"/>
      <c r="P562" s="304"/>
      <c r="Q562" s="304"/>
      <c r="R562" s="304"/>
      <c r="S562" s="304"/>
      <c r="T562" s="304"/>
      <c r="U562" s="304"/>
      <c r="V562" s="304"/>
      <c r="W562" s="304"/>
      <c r="X562" s="304"/>
      <c r="Y562" s="304"/>
      <c r="Z562" s="304"/>
      <c r="AA562" s="304"/>
      <c r="AB562" s="304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</row>
    <row r="563" spans="2:40" hidden="1" outlineLevel="1">
      <c r="B563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</row>
    <row r="564" spans="2:40" hidden="1" outlineLevel="1">
      <c r="B564"/>
      <c r="D564" s="280" t="s">
        <v>579</v>
      </c>
      <c r="E564" s="280"/>
      <c r="F564" s="280"/>
      <c r="G564" s="280"/>
      <c r="H564" s="280"/>
      <c r="I564" s="282"/>
      <c r="J564" s="282"/>
      <c r="K564" s="282"/>
      <c r="L564" s="278"/>
      <c r="M564" s="278"/>
      <c r="N564" s="278">
        <v>104</v>
      </c>
      <c r="O564" s="278">
        <v>108</v>
      </c>
      <c r="P564" s="278">
        <v>96</v>
      </c>
      <c r="Q564" s="278">
        <v>85</v>
      </c>
      <c r="R564" s="278">
        <v>84</v>
      </c>
      <c r="S564" s="278">
        <v>85</v>
      </c>
      <c r="T564" s="278">
        <v>87</v>
      </c>
      <c r="U564" s="278">
        <v>94</v>
      </c>
      <c r="V564" s="278">
        <v>130</v>
      </c>
      <c r="W564" s="278">
        <v>137</v>
      </c>
      <c r="X564" s="278">
        <v>154</v>
      </c>
      <c r="Y564" s="278">
        <v>169</v>
      </c>
      <c r="Z564" s="278">
        <v>181</v>
      </c>
      <c r="AA564" s="278">
        <v>188</v>
      </c>
      <c r="AB564" s="278">
        <v>210</v>
      </c>
    </row>
    <row r="565" spans="2:40" hidden="1" outlineLevel="1">
      <c r="B565"/>
      <c r="T565" s="66"/>
      <c r="U565" s="66"/>
      <c r="V565" s="66"/>
      <c r="W565" s="66"/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  <c r="AM565" s="66"/>
      <c r="AN565" s="66"/>
    </row>
    <row r="566" spans="2:40" hidden="1" outlineLevel="1">
      <c r="B566"/>
      <c r="D566" s="71" t="s">
        <v>580</v>
      </c>
      <c r="L566" s="81">
        <v>1112.4749999999999</v>
      </c>
      <c r="M566" s="81">
        <v>1252.607</v>
      </c>
      <c r="N566" s="81">
        <v>1449.0119999999999</v>
      </c>
      <c r="O566" s="81">
        <v>1526.559</v>
      </c>
      <c r="P566" s="81">
        <v>1167.5319999999999</v>
      </c>
      <c r="Q566" s="81">
        <v>881.32899999999995</v>
      </c>
      <c r="R566" s="81">
        <v>1020.883</v>
      </c>
      <c r="S566" s="81">
        <v>1391.375</v>
      </c>
      <c r="T566" s="81">
        <v>1847.6030000000001</v>
      </c>
      <c r="U566" s="81">
        <v>2256.598</v>
      </c>
      <c r="V566" s="81">
        <v>3077.67</v>
      </c>
      <c r="W566" s="81">
        <v>4552.3010000000004</v>
      </c>
      <c r="X566" s="81">
        <v>4938.4359999999997</v>
      </c>
      <c r="Y566" s="81">
        <v>5763.5870000000004</v>
      </c>
      <c r="Z566" s="81">
        <v>6602.8</v>
      </c>
      <c r="AA566" s="81">
        <v>6799.1</v>
      </c>
      <c r="AB566" s="81">
        <v>6773.9</v>
      </c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</row>
    <row r="567" spans="2:40" hidden="1" outlineLevel="1">
      <c r="B567"/>
      <c r="D567" s="305" t="s">
        <v>581</v>
      </c>
      <c r="L567" s="81">
        <v>449.23200000000003</v>
      </c>
      <c r="M567" s="81">
        <v>504.99</v>
      </c>
      <c r="N567" s="81">
        <v>541.51700000000005</v>
      </c>
      <c r="O567" s="81">
        <v>538.96500000000003</v>
      </c>
      <c r="P567" s="81">
        <v>469.60300000000001</v>
      </c>
      <c r="Q567" s="81">
        <v>477.25299999999999</v>
      </c>
      <c r="R567" s="81">
        <v>558.10500000000002</v>
      </c>
      <c r="S567" s="81">
        <v>678.57100000000003</v>
      </c>
      <c r="T567" s="81">
        <v>833.48400000000004</v>
      </c>
      <c r="U567" s="81">
        <v>1032.2239999999999</v>
      </c>
      <c r="V567" s="81">
        <v>1362.481</v>
      </c>
      <c r="W567" s="81">
        <v>1927.0160000000001</v>
      </c>
      <c r="X567" s="81">
        <v>2226.951</v>
      </c>
      <c r="Y567" s="81">
        <v>2544.3789999999999</v>
      </c>
      <c r="Z567" s="81">
        <v>3079</v>
      </c>
      <c r="AA567" s="81">
        <v>3527.2</v>
      </c>
      <c r="AB567" s="81">
        <v>3998.4</v>
      </c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</row>
    <row r="568" spans="2:40" hidden="1" outlineLevel="1">
      <c r="B568"/>
      <c r="D568" s="305" t="s">
        <v>582</v>
      </c>
      <c r="L568" s="81">
        <v>83.078999999999994</v>
      </c>
      <c r="M568" s="81">
        <v>99.138999999999996</v>
      </c>
      <c r="N568" s="81">
        <v>119.071</v>
      </c>
      <c r="O568" s="81">
        <v>130.947</v>
      </c>
      <c r="P568" s="81">
        <v>96.475999999999999</v>
      </c>
      <c r="Q568" s="81">
        <v>72.698999999999998</v>
      </c>
      <c r="R568" s="81">
        <v>103.81699999999999</v>
      </c>
      <c r="S568" s="81">
        <v>128.32900000000001</v>
      </c>
      <c r="T568" s="81">
        <v>139.23699999999999</v>
      </c>
      <c r="U568" s="81">
        <v>158.23500000000001</v>
      </c>
      <c r="V568" s="81">
        <v>195.69900000000001</v>
      </c>
      <c r="W568" s="81">
        <v>261.52999999999997</v>
      </c>
      <c r="X568" s="81">
        <v>276.61599999999999</v>
      </c>
      <c r="Y568" s="81">
        <v>277.84399999999999</v>
      </c>
      <c r="Z568" s="81">
        <v>331.3</v>
      </c>
      <c r="AA568" s="81">
        <v>301.2</v>
      </c>
      <c r="AB568" s="81">
        <v>308.7</v>
      </c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</row>
    <row r="569" spans="2:40" hidden="1" outlineLevel="1">
      <c r="B569"/>
      <c r="D569" s="71" t="s">
        <v>541</v>
      </c>
      <c r="L569" s="76">
        <f t="shared" ref="L569" si="645">SUM(L567:L568)</f>
        <v>532.31100000000004</v>
      </c>
      <c r="M569" s="76">
        <f t="shared" ref="M569:V569" si="646">SUM(M567:M568)</f>
        <v>604.12900000000002</v>
      </c>
      <c r="N569" s="76">
        <f t="shared" si="646"/>
        <v>660.58800000000008</v>
      </c>
      <c r="O569" s="76">
        <f t="shared" si="646"/>
        <v>669.91200000000003</v>
      </c>
      <c r="P569" s="76">
        <f t="shared" si="646"/>
        <v>566.07899999999995</v>
      </c>
      <c r="Q569" s="76">
        <f t="shared" si="646"/>
        <v>549.952</v>
      </c>
      <c r="R569" s="76">
        <f t="shared" si="646"/>
        <v>661.92200000000003</v>
      </c>
      <c r="S569" s="76">
        <f t="shared" si="646"/>
        <v>806.90000000000009</v>
      </c>
      <c r="T569" s="76">
        <f t="shared" si="646"/>
        <v>972.721</v>
      </c>
      <c r="U569" s="76">
        <f t="shared" si="646"/>
        <v>1190.4589999999998</v>
      </c>
      <c r="V569" s="76">
        <f t="shared" si="646"/>
        <v>1558.18</v>
      </c>
      <c r="W569" s="76">
        <f>SUM(W567:W568)</f>
        <v>2188.5460000000003</v>
      </c>
      <c r="X569" s="76">
        <f t="shared" ref="X569:AB569" si="647">SUM(X567:X568)</f>
        <v>2503.567</v>
      </c>
      <c r="Y569" s="76">
        <f t="shared" si="647"/>
        <v>2822.223</v>
      </c>
      <c r="Z569" s="76">
        <f t="shared" si="647"/>
        <v>3410.3</v>
      </c>
      <c r="AA569" s="76">
        <f t="shared" si="647"/>
        <v>3828.3999999999996</v>
      </c>
      <c r="AB569" s="76">
        <f t="shared" si="647"/>
        <v>4307.1000000000004</v>
      </c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</row>
    <row r="570" spans="2:40" hidden="1" outlineLevel="1">
      <c r="B570"/>
      <c r="D570" s="71" t="s">
        <v>130</v>
      </c>
      <c r="L570" s="76">
        <f t="shared" ref="L570:M570" si="648">L571-SUM(L569,L566)</f>
        <v>278.46299999999997</v>
      </c>
      <c r="M570" s="76">
        <f t="shared" si="648"/>
        <v>316.7800000000002</v>
      </c>
      <c r="N570" s="76">
        <f>N571-SUM(N569,N566)</f>
        <v>364.23500000000013</v>
      </c>
      <c r="O570" s="76">
        <f t="shared" ref="O570:AB570" si="649">O571-SUM(O569,O566)</f>
        <v>388.62899999999991</v>
      </c>
      <c r="P570" s="76">
        <f t="shared" si="649"/>
        <v>385.96600000000035</v>
      </c>
      <c r="Q570" s="76">
        <f t="shared" si="649"/>
        <v>350.08600000000001</v>
      </c>
      <c r="R570" s="76">
        <f t="shared" si="649"/>
        <v>448.79299999999989</v>
      </c>
      <c r="S570" s="76">
        <f t="shared" si="649"/>
        <v>501.08500000000004</v>
      </c>
      <c r="T570" s="76">
        <f t="shared" si="649"/>
        <v>496.16300000000001</v>
      </c>
      <c r="U570" s="76">
        <f t="shared" si="649"/>
        <v>558.69200000000001</v>
      </c>
      <c r="V570" s="76">
        <f t="shared" si="649"/>
        <v>754.47599999999966</v>
      </c>
      <c r="W570" s="76">
        <f t="shared" si="649"/>
        <v>1123.4049999999997</v>
      </c>
      <c r="X570" s="76">
        <f t="shared" si="649"/>
        <v>1236.1539999999995</v>
      </c>
      <c r="Y570" s="76">
        <f t="shared" si="649"/>
        <v>1500.6999999999989</v>
      </c>
      <c r="Z570" s="76">
        <f t="shared" si="649"/>
        <v>1808.2999999999993</v>
      </c>
      <c r="AA570" s="76">
        <f t="shared" si="649"/>
        <v>2045.2000000000007</v>
      </c>
      <c r="AB570" s="76">
        <f t="shared" si="649"/>
        <v>2043.2999999999993</v>
      </c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</row>
    <row r="571" spans="2:40" hidden="1" outlineLevel="1">
      <c r="B571"/>
      <c r="D571" s="280" t="s">
        <v>260</v>
      </c>
      <c r="E571" s="280"/>
      <c r="F571" s="280"/>
      <c r="G571" s="280"/>
      <c r="H571" s="280"/>
      <c r="I571" s="280"/>
      <c r="J571" s="280"/>
      <c r="K571" s="280"/>
      <c r="L571" s="278">
        <v>1923.249</v>
      </c>
      <c r="M571" s="278">
        <v>2173.5160000000001</v>
      </c>
      <c r="N571" s="278">
        <v>2473.835</v>
      </c>
      <c r="O571" s="278">
        <v>2585.1</v>
      </c>
      <c r="P571" s="278">
        <v>2119.5770000000002</v>
      </c>
      <c r="Q571" s="278">
        <v>1781.367</v>
      </c>
      <c r="R571" s="278">
        <v>2131.598</v>
      </c>
      <c r="S571" s="278">
        <v>2699.36</v>
      </c>
      <c r="T571" s="278">
        <v>3316.4870000000001</v>
      </c>
      <c r="U571" s="278">
        <v>4005.7489999999998</v>
      </c>
      <c r="V571" s="278">
        <v>5390.326</v>
      </c>
      <c r="W571" s="278">
        <v>7864.2520000000004</v>
      </c>
      <c r="X571" s="278">
        <v>8678.1569999999992</v>
      </c>
      <c r="Y571" s="278">
        <v>10086.51</v>
      </c>
      <c r="Z571" s="278">
        <v>11821.4</v>
      </c>
      <c r="AA571" s="278">
        <v>12672.7</v>
      </c>
      <c r="AB571" s="278">
        <v>13124.3</v>
      </c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</row>
    <row r="572" spans="2:40" hidden="1" outlineLevel="1">
      <c r="B572"/>
      <c r="D572" s="71" t="s">
        <v>583</v>
      </c>
      <c r="L572" s="228">
        <f t="shared" ref="L572:AA572" si="650">L568/L569</f>
        <v>0.15607229608255321</v>
      </c>
      <c r="M572" s="228">
        <f t="shared" si="650"/>
        <v>0.16410236886492785</v>
      </c>
      <c r="N572" s="228">
        <f t="shared" si="650"/>
        <v>0.18025001967943707</v>
      </c>
      <c r="O572" s="228">
        <f t="shared" si="650"/>
        <v>0.19546895711675563</v>
      </c>
      <c r="P572" s="228">
        <f t="shared" si="650"/>
        <v>0.17042850909502033</v>
      </c>
      <c r="Q572" s="228">
        <f t="shared" si="650"/>
        <v>0.13219153671593156</v>
      </c>
      <c r="R572" s="228">
        <f t="shared" si="650"/>
        <v>0.15684174268267256</v>
      </c>
      <c r="S572" s="228">
        <f t="shared" si="650"/>
        <v>0.15903953401908538</v>
      </c>
      <c r="T572" s="228">
        <f t="shared" si="650"/>
        <v>0.1431417641852083</v>
      </c>
      <c r="U572" s="228">
        <f t="shared" si="650"/>
        <v>0.1329193193549715</v>
      </c>
      <c r="V572" s="228">
        <f t="shared" si="650"/>
        <v>0.12559460396103148</v>
      </c>
      <c r="W572" s="228">
        <f t="shared" si="650"/>
        <v>0.11949943021531187</v>
      </c>
      <c r="X572" s="228">
        <f t="shared" si="650"/>
        <v>0.11048875464487269</v>
      </c>
      <c r="Y572" s="228">
        <f t="shared" si="650"/>
        <v>9.8448634285809453E-2</v>
      </c>
      <c r="Z572" s="228">
        <f t="shared" si="650"/>
        <v>9.7146878573732512E-2</v>
      </c>
      <c r="AA572" s="228">
        <f t="shared" si="650"/>
        <v>7.8675164559607144E-2</v>
      </c>
      <c r="AB572" s="228">
        <f>AB568/AB569</f>
        <v>7.1672354948805458E-2</v>
      </c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</row>
    <row r="573" spans="2:40" hidden="1" outlineLevel="1">
      <c r="B573"/>
      <c r="R573" s="7"/>
      <c r="S573" s="7"/>
      <c r="T573" s="7"/>
      <c r="U573" s="7"/>
      <c r="V573" s="7"/>
      <c r="W573" s="7"/>
      <c r="X573" s="66"/>
      <c r="Y573" s="66"/>
      <c r="Z573" s="81"/>
      <c r="AA573" s="81"/>
      <c r="AB573" s="81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</row>
    <row r="574" spans="2:40" hidden="1" outlineLevel="1">
      <c r="B574"/>
      <c r="D574" t="s">
        <v>584</v>
      </c>
      <c r="L574" s="81">
        <v>40200</v>
      </c>
      <c r="M574" s="81">
        <v>45205</v>
      </c>
      <c r="N574" s="81">
        <v>52340</v>
      </c>
      <c r="O574" s="81">
        <v>52139</v>
      </c>
      <c r="P574" s="81">
        <v>39756</v>
      </c>
      <c r="Q574" s="81">
        <v>29316</v>
      </c>
      <c r="R574" s="81">
        <v>31945</v>
      </c>
      <c r="S574" s="81">
        <v>42139</v>
      </c>
      <c r="T574" s="81">
        <v>55666</v>
      </c>
      <c r="U574" s="81">
        <v>66857</v>
      </c>
      <c r="V574" s="81">
        <v>91104</v>
      </c>
      <c r="W574" s="81">
        <v>137486</v>
      </c>
      <c r="X574" s="81">
        <v>145772</v>
      </c>
      <c r="Y574" s="81">
        <v>167146</v>
      </c>
      <c r="Z574" s="81">
        <v>184601</v>
      </c>
      <c r="AA574" s="81">
        <v>180532</v>
      </c>
      <c r="AB574" s="81">
        <v>171168</v>
      </c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</row>
    <row r="575" spans="2:40" hidden="1" outlineLevel="1">
      <c r="B575"/>
      <c r="D575" t="s">
        <v>585</v>
      </c>
      <c r="L575" s="81">
        <v>29902</v>
      </c>
      <c r="M575" s="81">
        <v>32468</v>
      </c>
      <c r="N575" s="81">
        <v>33225</v>
      </c>
      <c r="O575" s="81">
        <v>31741</v>
      </c>
      <c r="P575" s="81">
        <v>28339</v>
      </c>
      <c r="Q575" s="81">
        <v>29453</v>
      </c>
      <c r="R575" s="81">
        <v>33241</v>
      </c>
      <c r="S575" s="81">
        <v>39436</v>
      </c>
      <c r="T575" s="81">
        <v>47965</v>
      </c>
      <c r="U575" s="81">
        <v>57061</v>
      </c>
      <c r="V575" s="81">
        <v>71674</v>
      </c>
      <c r="W575" s="81">
        <v>99109</v>
      </c>
      <c r="X575" s="81">
        <v>113498</v>
      </c>
      <c r="Y575" s="81">
        <v>129913</v>
      </c>
      <c r="Z575" s="81">
        <v>151234</v>
      </c>
      <c r="AA575" s="81">
        <v>170423</v>
      </c>
      <c r="AB575" s="81">
        <v>183230</v>
      </c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</row>
    <row r="576" spans="2:40" hidden="1" outlineLevel="1">
      <c r="B576"/>
      <c r="D576" t="s">
        <v>586</v>
      </c>
      <c r="L576" s="81">
        <v>15824</v>
      </c>
      <c r="M576" s="81">
        <v>17180</v>
      </c>
      <c r="N576" s="81">
        <v>19244</v>
      </c>
      <c r="O576" s="81">
        <v>19753</v>
      </c>
      <c r="P576" s="81">
        <v>16477</v>
      </c>
      <c r="Q576" s="81">
        <v>13623</v>
      </c>
      <c r="R576" s="81">
        <v>13594</v>
      </c>
      <c r="S576" s="81">
        <v>16085</v>
      </c>
      <c r="T576" s="81">
        <v>19144</v>
      </c>
      <c r="U576" s="81">
        <v>22086</v>
      </c>
      <c r="V576" s="81">
        <v>27918</v>
      </c>
      <c r="W576" s="81">
        <v>38167</v>
      </c>
      <c r="X576" s="81">
        <v>40615</v>
      </c>
      <c r="Y576" s="81">
        <v>43912</v>
      </c>
      <c r="Z576" s="76">
        <f>Z568*1000000/Z577</f>
        <v>49719.284842142457</v>
      </c>
      <c r="AA576" s="76">
        <f t="shared" ref="AA576:AB576" si="651">AA568*1000000/AA577</f>
        <v>45202.078461977988</v>
      </c>
      <c r="AB576" s="76">
        <f t="shared" si="651"/>
        <v>48765.924446818361</v>
      </c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  <c r="AM576" s="66"/>
      <c r="AN576" s="66"/>
    </row>
    <row r="577" spans="2:44" hidden="1" outlineLevel="1">
      <c r="B577"/>
      <c r="D577" s="71" t="s">
        <v>587</v>
      </c>
      <c r="L577" s="76">
        <f t="shared" ref="L577:X577" si="652">L568*1000000/L576</f>
        <v>5250.1895854398381</v>
      </c>
      <c r="M577" s="76">
        <f t="shared" si="652"/>
        <v>5770.6053550640281</v>
      </c>
      <c r="N577" s="76">
        <f t="shared" si="652"/>
        <v>6187.435044689254</v>
      </c>
      <c r="O577" s="76">
        <f t="shared" si="652"/>
        <v>6629.2208778413406</v>
      </c>
      <c r="P577" s="76">
        <f t="shared" si="652"/>
        <v>5855.1920859379743</v>
      </c>
      <c r="Q577" s="76">
        <f t="shared" si="652"/>
        <v>5336.4897599647657</v>
      </c>
      <c r="R577" s="76">
        <f t="shared" si="652"/>
        <v>7636.9721936148298</v>
      </c>
      <c r="S577" s="76">
        <f t="shared" si="652"/>
        <v>7978.1784271060005</v>
      </c>
      <c r="T577" s="76">
        <f t="shared" si="652"/>
        <v>7273.1404095277894</v>
      </c>
      <c r="U577" s="76">
        <f t="shared" si="652"/>
        <v>7164.4933441999456</v>
      </c>
      <c r="V577" s="76">
        <f t="shared" si="652"/>
        <v>7009.7786374382122</v>
      </c>
      <c r="W577" s="76">
        <f t="shared" si="652"/>
        <v>6852.25456546231</v>
      </c>
      <c r="X577" s="76">
        <f t="shared" si="652"/>
        <v>6810.6857072510156</v>
      </c>
      <c r="Y577" s="76">
        <f>Y568*1000000/Y576</f>
        <v>6327.2909455274184</v>
      </c>
      <c r="Z577" s="276">
        <f>AVERAGE(W577:Y577)</f>
        <v>6663.4104060802483</v>
      </c>
      <c r="AA577" s="276">
        <f>Z577</f>
        <v>6663.4104060802483</v>
      </c>
      <c r="AB577" s="276">
        <f>AA577*0.95</f>
        <v>6330.2398857762355</v>
      </c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  <c r="AM577" s="66"/>
      <c r="AN577" s="66"/>
    </row>
    <row r="578" spans="2:44" hidden="1" outlineLevel="1">
      <c r="B578"/>
      <c r="R578" s="7"/>
      <c r="S578" s="7"/>
      <c r="T578" s="7"/>
      <c r="U578" s="7"/>
      <c r="V578" s="7"/>
      <c r="W578" s="7"/>
      <c r="X578" s="66"/>
      <c r="Y578" s="66"/>
      <c r="Z578" s="81"/>
      <c r="AA578" s="81"/>
      <c r="AB578" s="81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/>
    </row>
    <row r="579" spans="2:44" hidden="1" outlineLevel="1">
      <c r="B579"/>
      <c r="D579" s="71" t="s">
        <v>588</v>
      </c>
      <c r="L579" s="81">
        <v>427.13499999999999</v>
      </c>
      <c r="M579" s="81">
        <v>491.48599999999999</v>
      </c>
      <c r="N579" s="81">
        <v>466.70299999999997</v>
      </c>
      <c r="O579" s="81">
        <v>432.71800000000002</v>
      </c>
      <c r="P579" s="81">
        <v>338.79899999999998</v>
      </c>
      <c r="Q579" s="81">
        <v>243.71600000000001</v>
      </c>
      <c r="R579" s="81">
        <v>312.21899999999999</v>
      </c>
      <c r="S579" s="81">
        <v>372.83800000000002</v>
      </c>
      <c r="T579" s="81">
        <v>563.27499999999998</v>
      </c>
      <c r="U579" s="81">
        <v>657.04300000000001</v>
      </c>
      <c r="V579" s="81">
        <v>958.87599999999998</v>
      </c>
      <c r="W579" s="81">
        <v>1113.6130000000001</v>
      </c>
      <c r="X579" s="81">
        <v>1338.11</v>
      </c>
      <c r="Y579" s="81">
        <v>1553.8</v>
      </c>
      <c r="Z579" s="81">
        <v>1700.1</v>
      </c>
      <c r="AA579" s="81">
        <v>1704.1</v>
      </c>
      <c r="AB579" s="81">
        <v>1556.6</v>
      </c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</row>
    <row r="580" spans="2:44" hidden="1" outlineLevel="1">
      <c r="B580"/>
      <c r="D580" s="71" t="s">
        <v>589</v>
      </c>
      <c r="L580" s="81">
        <v>84.739000000000004</v>
      </c>
      <c r="M580" s="81">
        <v>87.852999999999994</v>
      </c>
      <c r="N580" s="81">
        <v>103.857</v>
      </c>
      <c r="O580" s="81">
        <v>136.239</v>
      </c>
      <c r="P580" s="81">
        <v>59.406999999999996</v>
      </c>
      <c r="Q580" s="81">
        <v>70.819000000000003</v>
      </c>
      <c r="R580" s="81">
        <v>80.850999999999999</v>
      </c>
      <c r="S580" s="81">
        <v>106.622</v>
      </c>
      <c r="T580" s="81">
        <v>130.529</v>
      </c>
      <c r="U580" s="81">
        <v>167.81399999999999</v>
      </c>
      <c r="V580" s="81">
        <v>240.90799999999999</v>
      </c>
      <c r="W580" s="81">
        <v>302.911</v>
      </c>
      <c r="X580" s="81">
        <v>368.06700000000001</v>
      </c>
      <c r="Y580" s="81">
        <v>500</v>
      </c>
      <c r="Z580" s="81">
        <v>576.79999999999995</v>
      </c>
      <c r="AA580" s="81">
        <v>638.1</v>
      </c>
      <c r="AB580" s="81">
        <v>835.9</v>
      </c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</row>
    <row r="581" spans="2:44" hidden="1" outlineLevel="1">
      <c r="B581"/>
      <c r="D581" s="280" t="s">
        <v>504</v>
      </c>
      <c r="E581" s="280"/>
      <c r="F581" s="280"/>
      <c r="G581" s="280"/>
      <c r="H581" s="280"/>
      <c r="I581" s="282"/>
      <c r="J581" s="282"/>
      <c r="K581" s="282"/>
      <c r="L581" s="306">
        <f t="shared" ref="L581:Y581" si="653">SUM(L579:L580)</f>
        <v>511.87400000000002</v>
      </c>
      <c r="M581" s="306">
        <f t="shared" si="653"/>
        <v>579.33899999999994</v>
      </c>
      <c r="N581" s="306">
        <f t="shared" si="653"/>
        <v>570.55999999999995</v>
      </c>
      <c r="O581" s="306">
        <f t="shared" si="653"/>
        <v>568.95699999999999</v>
      </c>
      <c r="P581" s="306">
        <f t="shared" si="653"/>
        <v>398.20599999999996</v>
      </c>
      <c r="Q581" s="306">
        <f t="shared" si="653"/>
        <v>314.53500000000003</v>
      </c>
      <c r="R581" s="306">
        <f t="shared" si="653"/>
        <v>393.07</v>
      </c>
      <c r="S581" s="306">
        <f t="shared" si="653"/>
        <v>479.46000000000004</v>
      </c>
      <c r="T581" s="306">
        <f t="shared" si="653"/>
        <v>693.80399999999997</v>
      </c>
      <c r="U581" s="306">
        <f t="shared" si="653"/>
        <v>824.85699999999997</v>
      </c>
      <c r="V581" s="306">
        <f t="shared" si="653"/>
        <v>1199.7839999999999</v>
      </c>
      <c r="W581" s="306">
        <f t="shared" si="653"/>
        <v>1416.5240000000001</v>
      </c>
      <c r="X581" s="306">
        <f t="shared" si="653"/>
        <v>1706.1769999999999</v>
      </c>
      <c r="Y581" s="306">
        <f t="shared" si="653"/>
        <v>2053.8000000000002</v>
      </c>
      <c r="Z581" s="306">
        <f>SUM(Z579:Z580)</f>
        <v>2276.8999999999996</v>
      </c>
      <c r="AA581" s="306">
        <f>SUM(AA579:AA580)</f>
        <v>2342.1999999999998</v>
      </c>
      <c r="AB581" s="306">
        <f>SUM(AB579:AB580)</f>
        <v>2392.5</v>
      </c>
    </row>
    <row r="582" spans="2:44" hidden="1" outlineLevel="1">
      <c r="B582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</row>
    <row r="583" spans="2:44" hidden="1" outlineLevel="1">
      <c r="B583"/>
      <c r="D583" t="s">
        <v>505</v>
      </c>
      <c r="I583" s="66"/>
      <c r="J583" s="66"/>
      <c r="K583" s="66"/>
      <c r="L583" s="259">
        <f t="shared" ref="L583:AA583" si="654">AVERAGE(K580:L580)/L569*365</f>
        <v>58.104632442312855</v>
      </c>
      <c r="M583" s="259">
        <f t="shared" si="654"/>
        <v>52.137937427271325</v>
      </c>
      <c r="N583" s="259">
        <f t="shared" si="654"/>
        <v>52.963534003039705</v>
      </c>
      <c r="O583" s="259">
        <f t="shared" si="654"/>
        <v>65.407874467094175</v>
      </c>
      <c r="P583" s="259">
        <f t="shared" si="654"/>
        <v>63.074933004050678</v>
      </c>
      <c r="Q583" s="259">
        <f t="shared" si="654"/>
        <v>43.215126047364137</v>
      </c>
      <c r="R583" s="259">
        <f t="shared" si="654"/>
        <v>41.817276053674</v>
      </c>
      <c r="S583" s="259">
        <f t="shared" si="654"/>
        <v>42.401564630065685</v>
      </c>
      <c r="T583" s="259">
        <f t="shared" si="654"/>
        <v>44.49380397873594</v>
      </c>
      <c r="U583" s="259">
        <f t="shared" si="654"/>
        <v>45.736642337115342</v>
      </c>
      <c r="V583" s="259">
        <f t="shared" si="654"/>
        <v>47.871083571859472</v>
      </c>
      <c r="W583" s="259">
        <f t="shared" si="654"/>
        <v>45.34835799658768</v>
      </c>
      <c r="X583" s="259">
        <f t="shared" si="654"/>
        <v>48.911606919247625</v>
      </c>
      <c r="Y583" s="259">
        <f t="shared" si="654"/>
        <v>56.133844667838083</v>
      </c>
      <c r="Z583" s="259">
        <f t="shared" si="654"/>
        <v>57.624255930563287</v>
      </c>
      <c r="AA583" s="259">
        <f t="shared" si="654"/>
        <v>57.914337582279813</v>
      </c>
      <c r="AB583" s="259">
        <f>AVERAGE(AA580:AB580)/AB569*365</f>
        <v>62.45617701005316</v>
      </c>
    </row>
    <row r="584" spans="2:44" hidden="1" outlineLevel="1">
      <c r="B584"/>
    </row>
    <row r="585" spans="2:44" hidden="1" outlineLevel="1">
      <c r="B585"/>
      <c r="D585" t="s">
        <v>607</v>
      </c>
      <c r="L585" s="1"/>
      <c r="M585" s="1"/>
      <c r="N585" s="1"/>
      <c r="O585" s="1"/>
      <c r="P585" s="1"/>
      <c r="Q585" s="1"/>
      <c r="R585" s="1"/>
      <c r="S585" s="17">
        <v>0.159</v>
      </c>
      <c r="T585" s="17">
        <v>0.152</v>
      </c>
      <c r="U585" s="17">
        <v>0.13700000000000001</v>
      </c>
      <c r="V585" s="17">
        <v>0.08</v>
      </c>
      <c r="W585" s="17">
        <v>9.2999999999999999E-2</v>
      </c>
      <c r="X585" s="17">
        <v>3.5000000000000003E-2</v>
      </c>
      <c r="Y585" s="17">
        <v>3.5000000000000003E-2</v>
      </c>
      <c r="Z585" s="17">
        <v>4.1000000000000002E-2</v>
      </c>
      <c r="AA585" s="17">
        <v>0.127</v>
      </c>
      <c r="AB585" s="17">
        <v>0.01</v>
      </c>
    </row>
    <row r="586" spans="2:44" hidden="1" outlineLevel="1">
      <c r="B586"/>
      <c r="D586" t="s">
        <v>608</v>
      </c>
      <c r="R586" s="1"/>
      <c r="S586" s="1">
        <f t="shared" ref="S586:AB586" si="655">+S71/R71-1</f>
        <v>3.0034252021172048E-2</v>
      </c>
      <c r="T586" s="1">
        <f t="shared" si="655"/>
        <v>9.7157420113703319E-2</v>
      </c>
      <c r="U586" s="1">
        <f t="shared" si="655"/>
        <v>0.17689534717507049</v>
      </c>
      <c r="V586" s="1">
        <f t="shared" si="655"/>
        <v>0.10504830821609756</v>
      </c>
      <c r="W586" s="1">
        <f t="shared" si="655"/>
        <v>6.4666261364768163E-2</v>
      </c>
      <c r="X586" s="1">
        <f t="shared" si="655"/>
        <v>8.2844035513343295E-2</v>
      </c>
      <c r="Y586" s="1">
        <f t="shared" si="655"/>
        <v>7.4807759342404356E-2</v>
      </c>
      <c r="Z586" s="1">
        <f t="shared" si="655"/>
        <v>3.8043719300580037E-2</v>
      </c>
      <c r="AA586" s="1">
        <f t="shared" si="655"/>
        <v>0.1117267788309404</v>
      </c>
      <c r="AB586" s="1">
        <f t="shared" si="655"/>
        <v>-9.7014315910837867E-2</v>
      </c>
    </row>
    <row r="587" spans="2:44" collapsed="1">
      <c r="B587"/>
    </row>
    <row r="588" spans="2:44">
      <c r="B588"/>
      <c r="D588" s="303" t="s">
        <v>519</v>
      </c>
      <c r="E588" s="304"/>
      <c r="F588" s="304"/>
      <c r="G588" s="304"/>
      <c r="H588" s="304"/>
      <c r="I588" s="304"/>
      <c r="J588" s="304"/>
      <c r="K588" s="304"/>
      <c r="L588" s="304"/>
      <c r="M588" s="304"/>
      <c r="N588" s="304"/>
      <c r="O588" s="304"/>
      <c r="P588" s="304"/>
      <c r="Q588" s="304"/>
      <c r="R588" s="304"/>
      <c r="S588" s="304"/>
      <c r="T588" s="304"/>
      <c r="U588" s="304"/>
      <c r="V588" s="304"/>
      <c r="W588" s="304"/>
      <c r="X588" s="304"/>
      <c r="Y588" s="304"/>
      <c r="Z588" s="304"/>
      <c r="AA588" s="304"/>
      <c r="AB588" s="304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</row>
    <row r="589" spans="2:44" hidden="1" outlineLevel="1">
      <c r="B589"/>
      <c r="T589" s="66"/>
      <c r="U589" s="66"/>
      <c r="V589" s="66"/>
      <c r="W589" s="66"/>
      <c r="X589" s="66"/>
      <c r="Y589" s="66"/>
      <c r="Z589" s="66"/>
      <c r="AA589" s="66"/>
      <c r="AB589" s="81"/>
      <c r="AC589" s="66"/>
      <c r="AD589" s="66"/>
      <c r="AE589" s="81"/>
      <c r="AF589" s="81"/>
      <c r="AG589" s="81"/>
      <c r="AH589" s="81"/>
      <c r="AI589" s="81"/>
      <c r="AJ589" s="81"/>
      <c r="AK589" s="81"/>
      <c r="AL589" s="81"/>
      <c r="AM589" s="81"/>
      <c r="AN589" s="81"/>
      <c r="AO589" s="81"/>
      <c r="AP589" s="81"/>
      <c r="AQ589" s="81"/>
      <c r="AR589" s="81"/>
    </row>
    <row r="590" spans="2:44" hidden="1" outlineLevel="1">
      <c r="B590"/>
      <c r="D590" t="s">
        <v>590</v>
      </c>
      <c r="L590" s="81">
        <v>0</v>
      </c>
      <c r="M590" s="81">
        <v>0</v>
      </c>
      <c r="N590" s="81">
        <v>0</v>
      </c>
      <c r="O590" s="81">
        <v>0</v>
      </c>
      <c r="P590" s="81">
        <v>0</v>
      </c>
      <c r="Q590" s="81">
        <v>0</v>
      </c>
      <c r="R590" s="81">
        <v>0</v>
      </c>
      <c r="S590" s="81">
        <v>0</v>
      </c>
      <c r="T590" s="81">
        <v>0</v>
      </c>
      <c r="U590" s="81">
        <v>0</v>
      </c>
      <c r="V590" s="81">
        <v>0</v>
      </c>
      <c r="W590" s="81">
        <v>2</v>
      </c>
      <c r="X590" s="81">
        <v>5</v>
      </c>
      <c r="Y590" s="81">
        <v>6</v>
      </c>
      <c r="Z590" s="81">
        <v>8</v>
      </c>
      <c r="AA590" s="81">
        <v>9</v>
      </c>
      <c r="AB590" s="81">
        <v>16</v>
      </c>
      <c r="AC590" s="66"/>
      <c r="AD590" s="66"/>
      <c r="AE590" s="81"/>
      <c r="AF590" s="81"/>
      <c r="AG590" s="81"/>
      <c r="AH590" s="81"/>
      <c r="AI590" s="81"/>
      <c r="AJ590" s="81"/>
      <c r="AK590" s="81"/>
      <c r="AL590" s="81"/>
      <c r="AM590" s="81"/>
      <c r="AN590" s="81"/>
      <c r="AO590" s="81"/>
      <c r="AP590" s="81"/>
      <c r="AQ590" s="81"/>
      <c r="AR590" s="81"/>
    </row>
    <row r="591" spans="2:44" hidden="1" outlineLevel="1">
      <c r="B591"/>
      <c r="D591" t="s">
        <v>591</v>
      </c>
      <c r="L591" s="76">
        <f t="shared" ref="L591:AA591" si="656">L592-L590</f>
        <v>159</v>
      </c>
      <c r="M591" s="76">
        <f t="shared" si="656"/>
        <v>151</v>
      </c>
      <c r="N591" s="76">
        <f t="shared" si="656"/>
        <v>149</v>
      </c>
      <c r="O591" s="76">
        <f t="shared" si="656"/>
        <v>144</v>
      </c>
      <c r="P591" s="76">
        <f t="shared" si="656"/>
        <v>135</v>
      </c>
      <c r="Q591" s="76">
        <f t="shared" si="656"/>
        <v>123</v>
      </c>
      <c r="R591" s="76">
        <f t="shared" si="656"/>
        <v>118</v>
      </c>
      <c r="S591" s="76">
        <f t="shared" si="656"/>
        <v>119</v>
      </c>
      <c r="T591" s="76">
        <f t="shared" si="656"/>
        <v>100</v>
      </c>
      <c r="U591" s="76">
        <f t="shared" si="656"/>
        <v>102</v>
      </c>
      <c r="V591" s="76">
        <f t="shared" si="656"/>
        <v>102</v>
      </c>
      <c r="W591" s="76">
        <f t="shared" si="656"/>
        <v>97</v>
      </c>
      <c r="X591" s="76">
        <f t="shared" si="656"/>
        <v>107</v>
      </c>
      <c r="Y591" s="76">
        <f t="shared" si="656"/>
        <v>106</v>
      </c>
      <c r="Z591" s="76">
        <f t="shared" si="656"/>
        <v>96</v>
      </c>
      <c r="AA591" s="76">
        <f t="shared" si="656"/>
        <v>86</v>
      </c>
      <c r="AB591" s="76">
        <f>AB592-AB590</f>
        <v>84</v>
      </c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</row>
    <row r="592" spans="2:44" hidden="1" outlineLevel="1">
      <c r="B592"/>
      <c r="D592" s="280" t="s">
        <v>579</v>
      </c>
      <c r="E592" s="280"/>
      <c r="F592" s="280"/>
      <c r="G592" s="280"/>
      <c r="H592" s="280"/>
      <c r="I592" s="282"/>
      <c r="J592" s="282"/>
      <c r="K592" s="282"/>
      <c r="L592" s="278">
        <v>159</v>
      </c>
      <c r="M592" s="278">
        <v>151</v>
      </c>
      <c r="N592" s="278">
        <v>149</v>
      </c>
      <c r="O592" s="278">
        <v>144</v>
      </c>
      <c r="P592" s="278">
        <v>135</v>
      </c>
      <c r="Q592" s="278">
        <v>123</v>
      </c>
      <c r="R592" s="278">
        <v>118</v>
      </c>
      <c r="S592" s="278">
        <v>119</v>
      </c>
      <c r="T592" s="278">
        <v>100</v>
      </c>
      <c r="U592" s="278">
        <v>102</v>
      </c>
      <c r="V592" s="278">
        <v>102</v>
      </c>
      <c r="W592" s="278">
        <v>99</v>
      </c>
      <c r="X592" s="278">
        <v>112</v>
      </c>
      <c r="Y592" s="278">
        <v>112</v>
      </c>
      <c r="Z592" s="278">
        <v>104</v>
      </c>
      <c r="AA592" s="278">
        <v>95</v>
      </c>
      <c r="AB592" s="278">
        <v>100</v>
      </c>
      <c r="AE592" s="81"/>
      <c r="AF592" s="81"/>
    </row>
    <row r="593" spans="2:40" hidden="1" outlineLevel="1">
      <c r="B593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  <c r="AA593" s="81"/>
      <c r="AB593" s="81"/>
      <c r="AC593" s="66"/>
      <c r="AD593" s="66"/>
      <c r="AE593" s="81"/>
      <c r="AF593" s="81"/>
      <c r="AG593" s="66"/>
      <c r="AH593" s="66"/>
      <c r="AI593" s="66"/>
      <c r="AJ593" s="66"/>
      <c r="AK593" s="66"/>
      <c r="AL593" s="66"/>
      <c r="AM593" s="66"/>
      <c r="AN593" s="66"/>
    </row>
    <row r="594" spans="2:40" hidden="1" outlineLevel="1">
      <c r="B594"/>
      <c r="D594" s="71" t="s">
        <v>580</v>
      </c>
      <c r="L594" s="81"/>
      <c r="M594" s="81">
        <v>4490.8370000000004</v>
      </c>
      <c r="N594" s="81">
        <v>3847.3409999999999</v>
      </c>
      <c r="O594" s="81">
        <v>4842.4269999999997</v>
      </c>
      <c r="P594" s="81">
        <v>4009.4960000000001</v>
      </c>
      <c r="Q594" s="81">
        <v>3229.9479999999999</v>
      </c>
      <c r="R594" s="81">
        <v>3513.8420000000001</v>
      </c>
      <c r="S594" s="81">
        <v>4088.098</v>
      </c>
      <c r="T594" s="81">
        <v>4715.924</v>
      </c>
      <c r="U594" s="81">
        <v>4989.1850000000004</v>
      </c>
      <c r="V594" s="81">
        <v>5124.0290000000005</v>
      </c>
      <c r="W594" s="81">
        <v>5265.4009999999998</v>
      </c>
      <c r="X594" s="81">
        <v>5234.5050000000001</v>
      </c>
      <c r="Y594" s="81">
        <v>5295.0510000000004</v>
      </c>
      <c r="Z594" s="81">
        <v>4974.0969999999998</v>
      </c>
      <c r="AA594" s="81">
        <v>4889.1710000000003</v>
      </c>
      <c r="AB594" s="81">
        <v>4281.223</v>
      </c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</row>
    <row r="595" spans="2:40" hidden="1" outlineLevel="1">
      <c r="B595"/>
      <c r="D595" s="305" t="s">
        <v>581</v>
      </c>
      <c r="L595" s="81"/>
      <c r="M595" s="81">
        <v>1135.873</v>
      </c>
      <c r="N595" s="81">
        <v>1035.7370000000001</v>
      </c>
      <c r="O595" s="81">
        <v>1370.89</v>
      </c>
      <c r="P595" s="81">
        <v>1342.4860000000001</v>
      </c>
      <c r="Q595" s="81">
        <v>1451.87</v>
      </c>
      <c r="R595" s="81">
        <v>1679.9269999999999</v>
      </c>
      <c r="S595" s="81">
        <v>1930.8520000000001</v>
      </c>
      <c r="T595" s="81">
        <v>2053.4769999999999</v>
      </c>
      <c r="U595" s="81">
        <v>2176.0340000000001</v>
      </c>
      <c r="V595" s="81">
        <v>2310.2469999999998</v>
      </c>
      <c r="W595" s="81">
        <v>2512.0239999999999</v>
      </c>
      <c r="X595" s="81">
        <v>2533.1219999999998</v>
      </c>
      <c r="Y595" s="81">
        <v>2622.0529999999999</v>
      </c>
      <c r="Z595" s="81">
        <v>2973.498</v>
      </c>
      <c r="AA595" s="81">
        <v>2489.9720000000002</v>
      </c>
      <c r="AB595" s="81">
        <v>3564.8319999999999</v>
      </c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  <c r="AM595" s="66"/>
      <c r="AN595" s="66"/>
    </row>
    <row r="596" spans="2:40" hidden="1" outlineLevel="1">
      <c r="B596"/>
      <c r="D596" s="305" t="s">
        <v>582</v>
      </c>
      <c r="L596" s="81"/>
      <c r="M596" s="81">
        <v>503.52100000000002</v>
      </c>
      <c r="N596" s="81">
        <v>380.93400000000003</v>
      </c>
      <c r="O596" s="81">
        <v>384.25099999999998</v>
      </c>
      <c r="P596" s="81">
        <v>272.17200000000003</v>
      </c>
      <c r="Q596" s="81">
        <v>147.00200000000001</v>
      </c>
      <c r="R596" s="81">
        <v>142.16900000000001</v>
      </c>
      <c r="S596" s="81">
        <v>167.07499999999999</v>
      </c>
      <c r="T596" s="81">
        <v>183.32599999999999</v>
      </c>
      <c r="U596" s="81">
        <v>175.328</v>
      </c>
      <c r="V596" s="81">
        <v>166.15799999999999</v>
      </c>
      <c r="W596" s="81">
        <v>155.339</v>
      </c>
      <c r="X596" s="81">
        <v>211.048</v>
      </c>
      <c r="Y596" s="81">
        <v>171.06399999999999</v>
      </c>
      <c r="Z596" s="81">
        <v>217.625</v>
      </c>
      <c r="AA596" s="81">
        <v>202.946</v>
      </c>
      <c r="AB596" s="81">
        <v>197.37799999999999</v>
      </c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  <c r="AM596" s="66"/>
      <c r="AN596" s="66"/>
    </row>
    <row r="597" spans="2:40" hidden="1" outlineLevel="1">
      <c r="B597"/>
      <c r="D597" s="71" t="s">
        <v>541</v>
      </c>
      <c r="L597" s="76"/>
      <c r="M597" s="76">
        <f t="shared" ref="M597" si="657">SUM(M595:M596)</f>
        <v>1639.394</v>
      </c>
      <c r="N597" s="76">
        <f t="shared" ref="N597:V597" si="658">SUM(N595:N596)</f>
        <v>1416.671</v>
      </c>
      <c r="O597" s="76">
        <f t="shared" si="658"/>
        <v>1755.1410000000001</v>
      </c>
      <c r="P597" s="76">
        <f t="shared" si="658"/>
        <v>1614.6580000000001</v>
      </c>
      <c r="Q597" s="76">
        <f t="shared" si="658"/>
        <v>1598.8719999999998</v>
      </c>
      <c r="R597" s="76">
        <f t="shared" si="658"/>
        <v>1822.096</v>
      </c>
      <c r="S597" s="76">
        <f t="shared" si="658"/>
        <v>2097.9270000000001</v>
      </c>
      <c r="T597" s="76">
        <f t="shared" si="658"/>
        <v>2236.8029999999999</v>
      </c>
      <c r="U597" s="76">
        <f t="shared" si="658"/>
        <v>2351.3620000000001</v>
      </c>
      <c r="V597" s="76">
        <f t="shared" si="658"/>
        <v>2476.4049999999997</v>
      </c>
      <c r="W597" s="76">
        <f>SUM(W595:W596)</f>
        <v>2667.3629999999998</v>
      </c>
      <c r="X597" s="76">
        <f t="shared" ref="X597:AB597" si="659">SUM(X595:X596)</f>
        <v>2744.17</v>
      </c>
      <c r="Y597" s="76">
        <f t="shared" si="659"/>
        <v>2793.1169999999997</v>
      </c>
      <c r="Z597" s="76">
        <f t="shared" si="659"/>
        <v>3191.123</v>
      </c>
      <c r="AA597" s="76">
        <f t="shared" si="659"/>
        <v>2692.9180000000001</v>
      </c>
      <c r="AB597" s="76">
        <f t="shared" si="659"/>
        <v>3762.21</v>
      </c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</row>
    <row r="598" spans="2:40" hidden="1" outlineLevel="1">
      <c r="B598"/>
      <c r="D598" s="71" t="s">
        <v>130</v>
      </c>
      <c r="L598" s="76"/>
      <c r="M598" s="76">
        <f t="shared" ref="M598" si="660">M599-SUM(M597,M594)</f>
        <v>1188.5689999999995</v>
      </c>
      <c r="N598" s="76">
        <f>N599-SUM(N597,N594)</f>
        <v>1054.7049999999999</v>
      </c>
      <c r="O598" s="76">
        <f t="shared" ref="O598:AB598" si="661">O599-SUM(O597,O594)</f>
        <v>1309.5440000000008</v>
      </c>
      <c r="P598" s="76">
        <f t="shared" si="661"/>
        <v>1276.0479999999998</v>
      </c>
      <c r="Q598" s="76">
        <f t="shared" si="661"/>
        <v>1226.5210000000006</v>
      </c>
      <c r="R598" s="76">
        <f t="shared" si="661"/>
        <v>1242.1980000000003</v>
      </c>
      <c r="S598" s="76">
        <f t="shared" si="661"/>
        <v>1334.7809999999999</v>
      </c>
      <c r="T598" s="76">
        <f t="shared" si="661"/>
        <v>1412.7410000000009</v>
      </c>
      <c r="U598" s="76">
        <f t="shared" si="661"/>
        <v>1502.6209999999992</v>
      </c>
      <c r="V598" s="76">
        <f t="shared" si="661"/>
        <v>1596.665</v>
      </c>
      <c r="W598" s="76">
        <f t="shared" si="661"/>
        <v>1691.5350000000017</v>
      </c>
      <c r="X598" s="76">
        <f t="shared" si="661"/>
        <v>1753.1040000000003</v>
      </c>
      <c r="Y598" s="76">
        <f t="shared" si="661"/>
        <v>1779.0400000000009</v>
      </c>
      <c r="Z598" s="76">
        <f t="shared" si="661"/>
        <v>1786.4099999999999</v>
      </c>
      <c r="AA598" s="76">
        <f t="shared" si="661"/>
        <v>2872.2540000000008</v>
      </c>
      <c r="AB598" s="76">
        <f t="shared" si="661"/>
        <v>1723.6089999999995</v>
      </c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</row>
    <row r="599" spans="2:40" hidden="1" outlineLevel="1">
      <c r="B599"/>
      <c r="D599" s="280" t="s">
        <v>260</v>
      </c>
      <c r="E599" s="280"/>
      <c r="F599" s="280"/>
      <c r="G599" s="280"/>
      <c r="H599" s="280"/>
      <c r="I599" s="280"/>
      <c r="J599" s="280"/>
      <c r="K599" s="280"/>
      <c r="L599" s="278"/>
      <c r="M599" s="278">
        <v>7318.8</v>
      </c>
      <c r="N599" s="278">
        <v>6318.7169999999996</v>
      </c>
      <c r="O599" s="278">
        <v>7907.1120000000001</v>
      </c>
      <c r="P599" s="278">
        <v>6900.2020000000002</v>
      </c>
      <c r="Q599" s="278">
        <v>6055.3410000000003</v>
      </c>
      <c r="R599" s="278">
        <v>6578.1360000000004</v>
      </c>
      <c r="S599" s="278">
        <v>7520.8059999999996</v>
      </c>
      <c r="T599" s="278">
        <v>8365.4680000000008</v>
      </c>
      <c r="U599" s="278">
        <v>8843.1679999999997</v>
      </c>
      <c r="V599" s="278">
        <v>9197.0990000000002</v>
      </c>
      <c r="W599" s="278">
        <v>9624.2990000000009</v>
      </c>
      <c r="X599" s="278">
        <v>9731.7790000000005</v>
      </c>
      <c r="Y599" s="278">
        <v>9867.2080000000005</v>
      </c>
      <c r="Z599" s="278">
        <v>9951.6299999999992</v>
      </c>
      <c r="AA599" s="278">
        <v>10454.343000000001</v>
      </c>
      <c r="AB599" s="278">
        <v>9767.0419999999995</v>
      </c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  <c r="AM599" s="66"/>
      <c r="AN599" s="66"/>
    </row>
    <row r="600" spans="2:40" hidden="1" outlineLevel="1">
      <c r="B600"/>
      <c r="D600" s="71" t="s">
        <v>583</v>
      </c>
      <c r="L600" s="228"/>
      <c r="M600" s="228">
        <f t="shared" ref="M600:AA600" si="662">M596/M597</f>
        <v>0.3071384914181704</v>
      </c>
      <c r="N600" s="228">
        <f t="shared" si="662"/>
        <v>0.26889376573671658</v>
      </c>
      <c r="O600" s="228">
        <f t="shared" si="662"/>
        <v>0.21892884959100151</v>
      </c>
      <c r="P600" s="228">
        <f t="shared" si="662"/>
        <v>0.16856324992660984</v>
      </c>
      <c r="Q600" s="228">
        <f t="shared" si="662"/>
        <v>9.194106845325957E-2</v>
      </c>
      <c r="R600" s="228">
        <f t="shared" si="662"/>
        <v>7.8024977827732461E-2</v>
      </c>
      <c r="S600" s="228">
        <f t="shared" si="662"/>
        <v>7.9638138028634925E-2</v>
      </c>
      <c r="T600" s="228">
        <f t="shared" si="662"/>
        <v>8.1958938717446292E-2</v>
      </c>
      <c r="U600" s="228">
        <f t="shared" si="662"/>
        <v>7.4564443926541296E-2</v>
      </c>
      <c r="V600" s="228">
        <f t="shared" si="662"/>
        <v>6.7096456355079243E-2</v>
      </c>
      <c r="W600" s="228">
        <f t="shared" si="662"/>
        <v>5.823691788481733E-2</v>
      </c>
      <c r="X600" s="228">
        <f t="shared" si="662"/>
        <v>7.6907771748834799E-2</v>
      </c>
      <c r="Y600" s="228">
        <f t="shared" si="662"/>
        <v>6.1244838651585309E-2</v>
      </c>
      <c r="Z600" s="228">
        <f t="shared" si="662"/>
        <v>6.8196995227072094E-2</v>
      </c>
      <c r="AA600" s="228">
        <f t="shared" si="662"/>
        <v>7.5362859173580474E-2</v>
      </c>
      <c r="AB600" s="228">
        <f>AB596/AB597</f>
        <v>5.2463312786899183E-2</v>
      </c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</row>
    <row r="601" spans="2:40" hidden="1" outlineLevel="1">
      <c r="B601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81"/>
      <c r="AF601" s="81"/>
      <c r="AG601" s="66"/>
      <c r="AH601" s="66"/>
      <c r="AI601" s="66"/>
      <c r="AJ601" s="66"/>
      <c r="AK601" s="66"/>
      <c r="AL601" s="66"/>
      <c r="AM601" s="66"/>
      <c r="AN601" s="66"/>
    </row>
    <row r="602" spans="2:40" hidden="1" outlineLevel="1">
      <c r="B602"/>
      <c r="D602" t="s">
        <v>592</v>
      </c>
      <c r="L602" s="81"/>
      <c r="M602" s="81"/>
      <c r="N602" s="81"/>
      <c r="O602" s="81">
        <v>147809</v>
      </c>
      <c r="P602" s="81">
        <v>123356</v>
      </c>
      <c r="Q602" s="81">
        <v>99361</v>
      </c>
      <c r="R602" s="81">
        <v>102705</v>
      </c>
      <c r="S602" s="81">
        <v>117072</v>
      </c>
      <c r="T602" s="81">
        <v>134564</v>
      </c>
      <c r="U602" s="81">
        <v>138274</v>
      </c>
      <c r="V602" s="81">
        <v>138417</v>
      </c>
      <c r="W602" s="81">
        <v>140001</v>
      </c>
      <c r="X602" s="81">
        <v>136003</v>
      </c>
      <c r="Y602" s="81">
        <v>135663</v>
      </c>
      <c r="Z602" s="81">
        <v>122717</v>
      </c>
      <c r="AA602" s="81">
        <v>114131</v>
      </c>
      <c r="AB602" s="81">
        <v>93281</v>
      </c>
      <c r="AC602" s="66"/>
      <c r="AD602" s="66"/>
      <c r="AE602" s="81"/>
      <c r="AF602" s="81"/>
      <c r="AG602" s="66"/>
      <c r="AH602" s="66"/>
      <c r="AI602" s="66"/>
      <c r="AJ602" s="66"/>
      <c r="AK602" s="66"/>
      <c r="AL602" s="66"/>
      <c r="AM602" s="66"/>
      <c r="AN602" s="66"/>
    </row>
    <row r="603" spans="2:40" hidden="1" outlineLevel="1">
      <c r="B603"/>
      <c r="D603" t="s">
        <v>593</v>
      </c>
      <c r="L603" s="81"/>
      <c r="M603" s="81"/>
      <c r="N603" s="81"/>
      <c r="O603" s="81">
        <v>68205</v>
      </c>
      <c r="P603" s="81">
        <v>67237</v>
      </c>
      <c r="Q603" s="81">
        <v>75795</v>
      </c>
      <c r="R603" s="81">
        <v>84172</v>
      </c>
      <c r="S603" s="81">
        <v>96355</v>
      </c>
      <c r="T603" s="81">
        <v>102556</v>
      </c>
      <c r="U603" s="81">
        <v>107054</v>
      </c>
      <c r="V603" s="81">
        <v>110113</v>
      </c>
      <c r="W603" s="81">
        <v>117123</v>
      </c>
      <c r="X603" s="81">
        <v>119174</v>
      </c>
      <c r="Y603" s="81">
        <v>123489</v>
      </c>
      <c r="Z603" s="81">
        <v>139605</v>
      </c>
      <c r="AA603" s="81">
        <v>162149</v>
      </c>
      <c r="AB603" s="81">
        <v>159025</v>
      </c>
      <c r="AC603" s="66"/>
      <c r="AD603" s="66"/>
      <c r="AE603" s="81"/>
      <c r="AF603" s="81"/>
      <c r="AG603" s="66"/>
      <c r="AH603" s="66"/>
      <c r="AI603" s="66"/>
      <c r="AJ603" s="66"/>
      <c r="AK603" s="66"/>
      <c r="AL603" s="66"/>
      <c r="AM603" s="66"/>
      <c r="AN603" s="66"/>
    </row>
    <row r="604" spans="2:40" hidden="1" outlineLevel="1">
      <c r="B604"/>
      <c r="D604" t="s">
        <v>594</v>
      </c>
      <c r="L604" s="81"/>
      <c r="M604" s="81"/>
      <c r="N604" s="81"/>
      <c r="O604" s="81">
        <v>43227</v>
      </c>
      <c r="P604" s="81">
        <v>35802</v>
      </c>
      <c r="Q604" s="81">
        <v>25271</v>
      </c>
      <c r="R604" s="81">
        <v>22767</v>
      </c>
      <c r="S604" s="81">
        <v>25180</v>
      </c>
      <c r="T604" s="81">
        <v>31188</v>
      </c>
      <c r="U604" s="81">
        <v>29961</v>
      </c>
      <c r="V604" s="81">
        <v>29946</v>
      </c>
      <c r="W604" s="81">
        <v>30168</v>
      </c>
      <c r="X604" s="81">
        <v>35098</v>
      </c>
      <c r="Y604" s="81">
        <v>31385</v>
      </c>
      <c r="Z604" s="81">
        <v>34167</v>
      </c>
      <c r="AA604" s="81">
        <v>34153</v>
      </c>
      <c r="AB604" s="81">
        <v>32057</v>
      </c>
      <c r="AC604" s="66"/>
      <c r="AD604" s="66"/>
      <c r="AE604" s="81"/>
      <c r="AF604" s="81"/>
      <c r="AG604" s="66"/>
      <c r="AH604" s="66"/>
      <c r="AI604" s="66"/>
      <c r="AJ604" s="66"/>
      <c r="AK604" s="66"/>
      <c r="AL604" s="66"/>
      <c r="AM604" s="66"/>
      <c r="AN604" s="66"/>
    </row>
    <row r="605" spans="2:40" hidden="1" outlineLevel="1">
      <c r="B605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66"/>
      <c r="AD605" s="66"/>
      <c r="AE605" s="81"/>
      <c r="AF605" s="81"/>
      <c r="AG605" s="66"/>
      <c r="AH605" s="66"/>
      <c r="AI605" s="66"/>
      <c r="AJ605" s="66"/>
      <c r="AK605" s="66"/>
      <c r="AL605" s="66"/>
      <c r="AM605" s="66"/>
      <c r="AN605" s="66"/>
    </row>
    <row r="606" spans="2:40" hidden="1" outlineLevel="1">
      <c r="B606"/>
      <c r="D606" s="71" t="s">
        <v>575</v>
      </c>
      <c r="L606" s="81"/>
      <c r="M606" s="81"/>
      <c r="N606" s="81"/>
      <c r="O606" s="81">
        <v>836.25199999999995</v>
      </c>
      <c r="P606" s="81">
        <v>910.46199999999999</v>
      </c>
      <c r="Q606" s="81">
        <v>557.31899999999996</v>
      </c>
      <c r="R606" s="81">
        <v>628.93899999999996</v>
      </c>
      <c r="S606" s="81">
        <v>569.57299999999998</v>
      </c>
      <c r="T606" s="81">
        <v>866.44200000000001</v>
      </c>
      <c r="U606" s="81">
        <v>938.26300000000003</v>
      </c>
      <c r="V606" s="81">
        <v>924.81799999999998</v>
      </c>
      <c r="W606" s="81">
        <v>1161.49</v>
      </c>
      <c r="X606" s="81">
        <v>1088.8140000000001</v>
      </c>
      <c r="Y606" s="81">
        <v>1017.523</v>
      </c>
      <c r="Z606" s="81">
        <v>1027.7270000000001</v>
      </c>
      <c r="AA606" s="81">
        <v>983.12300000000005</v>
      </c>
      <c r="AB606" s="81">
        <v>648.44799999999998</v>
      </c>
      <c r="AC606" s="66"/>
      <c r="AD606" s="66"/>
      <c r="AE606" s="81"/>
      <c r="AF606" s="81"/>
      <c r="AG606" s="66"/>
      <c r="AH606" s="66"/>
      <c r="AI606" s="66"/>
      <c r="AJ606" s="66"/>
      <c r="AK606" s="66"/>
      <c r="AL606" s="66"/>
      <c r="AM606" s="66"/>
      <c r="AN606" s="66"/>
    </row>
    <row r="607" spans="2:40" hidden="1" outlineLevel="1">
      <c r="B607"/>
      <c r="D607" s="71" t="s">
        <v>576</v>
      </c>
      <c r="L607" s="81"/>
      <c r="M607" s="81"/>
      <c r="N607" s="81"/>
      <c r="O607" s="81">
        <v>168.851</v>
      </c>
      <c r="P607" s="81">
        <v>87.894999999999996</v>
      </c>
      <c r="Q607" s="81">
        <v>138.40100000000001</v>
      </c>
      <c r="R607" s="81">
        <v>165.03899999999999</v>
      </c>
      <c r="S607" s="81">
        <v>178.56800000000001</v>
      </c>
      <c r="T607" s="81">
        <v>175.95699999999999</v>
      </c>
      <c r="U607" s="81">
        <v>171.90899999999999</v>
      </c>
      <c r="V607" s="81">
        <v>214.01499999999999</v>
      </c>
      <c r="W607" s="81">
        <v>251.10300000000001</v>
      </c>
      <c r="X607" s="81">
        <v>282.28800000000001</v>
      </c>
      <c r="Y607" s="81">
        <v>294.49599999999998</v>
      </c>
      <c r="Z607" s="81">
        <v>293.17899999999997</v>
      </c>
      <c r="AA607" s="81">
        <v>319.791</v>
      </c>
      <c r="AB607" s="81">
        <v>413.209</v>
      </c>
      <c r="AC607" s="66"/>
      <c r="AD607" s="66"/>
      <c r="AE607" s="81"/>
      <c r="AF607" s="81"/>
      <c r="AG607" s="66"/>
      <c r="AH607" s="66"/>
      <c r="AI607" s="66"/>
      <c r="AJ607" s="66"/>
      <c r="AK607" s="66"/>
      <c r="AL607" s="66"/>
      <c r="AM607" s="66"/>
      <c r="AN607" s="66"/>
    </row>
    <row r="608" spans="2:40" hidden="1" outlineLevel="1">
      <c r="B608"/>
      <c r="D608" s="280" t="s">
        <v>595</v>
      </c>
      <c r="E608" s="280"/>
      <c r="F608" s="280"/>
      <c r="G608" s="280"/>
      <c r="H608" s="280"/>
      <c r="I608" s="280"/>
      <c r="J608" s="280"/>
      <c r="K608" s="280"/>
      <c r="L608" s="306"/>
      <c r="M608" s="306"/>
      <c r="N608" s="306"/>
      <c r="O608" s="306">
        <f t="shared" ref="O608:AA608" si="663">SUM(O606:O607)</f>
        <v>1005.103</v>
      </c>
      <c r="P608" s="306">
        <f t="shared" si="663"/>
        <v>998.35699999999997</v>
      </c>
      <c r="Q608" s="306">
        <f t="shared" si="663"/>
        <v>695.72</v>
      </c>
      <c r="R608" s="306">
        <f t="shared" si="663"/>
        <v>793.97799999999995</v>
      </c>
      <c r="S608" s="306">
        <f t="shared" si="663"/>
        <v>748.14099999999996</v>
      </c>
      <c r="T608" s="306">
        <f t="shared" si="663"/>
        <v>1042.3989999999999</v>
      </c>
      <c r="U608" s="306">
        <f t="shared" si="663"/>
        <v>1110.172</v>
      </c>
      <c r="V608" s="306">
        <f t="shared" si="663"/>
        <v>1138.8330000000001</v>
      </c>
      <c r="W608" s="306">
        <f t="shared" si="663"/>
        <v>1412.5930000000001</v>
      </c>
      <c r="X608" s="306">
        <f t="shared" si="663"/>
        <v>1371.1020000000001</v>
      </c>
      <c r="Y608" s="306">
        <f t="shared" si="663"/>
        <v>1312.019</v>
      </c>
      <c r="Z608" s="306">
        <f t="shared" si="663"/>
        <v>1320.9059999999999</v>
      </c>
      <c r="AA608" s="306">
        <f t="shared" si="663"/>
        <v>1302.914</v>
      </c>
      <c r="AB608" s="306">
        <f>SUM(AB606:AB607)</f>
        <v>1061.6569999999999</v>
      </c>
      <c r="AC608" s="66"/>
      <c r="AD608" s="66"/>
      <c r="AE608" s="81"/>
      <c r="AF608" s="81"/>
      <c r="AG608" s="66"/>
      <c r="AH608" s="66"/>
      <c r="AI608" s="66"/>
      <c r="AJ608" s="66"/>
      <c r="AK608" s="66"/>
      <c r="AL608" s="66"/>
      <c r="AM608" s="66"/>
      <c r="AN608" s="66"/>
    </row>
    <row r="609" spans="2:40" hidden="1" outlineLevel="1">
      <c r="B609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81"/>
      <c r="AF609" s="81"/>
      <c r="AG609" s="66"/>
      <c r="AH609" s="66"/>
      <c r="AI609" s="66"/>
      <c r="AJ609" s="66"/>
      <c r="AK609" s="66"/>
      <c r="AL609" s="66"/>
      <c r="AM609" s="66"/>
      <c r="AN609" s="66"/>
    </row>
    <row r="610" spans="2:40" hidden="1" outlineLevel="1">
      <c r="B610"/>
      <c r="D610" t="s">
        <v>596</v>
      </c>
      <c r="I610" s="66"/>
      <c r="J610" s="66"/>
      <c r="K610" s="66"/>
      <c r="L610" s="259"/>
      <c r="M610" s="259"/>
      <c r="N610" s="259"/>
      <c r="O610" s="259"/>
      <c r="P610" s="259">
        <f t="shared" ref="P610:AA610" si="664">AVERAGE(O607:P607)/P597*365</f>
        <v>29.019238129684425</v>
      </c>
      <c r="Q610" s="259">
        <f t="shared" si="664"/>
        <v>25.830097718891821</v>
      </c>
      <c r="R610" s="259">
        <f t="shared" si="664"/>
        <v>30.392361324540527</v>
      </c>
      <c r="S610" s="259">
        <f t="shared" si="664"/>
        <v>29.890590807020448</v>
      </c>
      <c r="T610" s="259">
        <f t="shared" si="664"/>
        <v>28.925574804754824</v>
      </c>
      <c r="U610" s="259">
        <f t="shared" si="664"/>
        <v>26.999477324206136</v>
      </c>
      <c r="V610" s="259">
        <f t="shared" si="664"/>
        <v>28.44087699709862</v>
      </c>
      <c r="W610" s="259">
        <f t="shared" si="664"/>
        <v>31.823203291040628</v>
      </c>
      <c r="X610" s="259">
        <f t="shared" si="664"/>
        <v>35.472969058039411</v>
      </c>
      <c r="Y610" s="259">
        <f t="shared" si="664"/>
        <v>37.686598878600506</v>
      </c>
      <c r="Z610" s="259">
        <f t="shared" si="664"/>
        <v>33.609073514245608</v>
      </c>
      <c r="AA610" s="259">
        <f t="shared" si="664"/>
        <v>41.541192490822226</v>
      </c>
      <c r="AB610" s="259">
        <f>AVERAGE(AA607:AB607)/AB597*365</f>
        <v>35.556893421685658</v>
      </c>
      <c r="AE610" s="81"/>
      <c r="AF610" s="81"/>
    </row>
    <row r="611" spans="2:40" hidden="1" outlineLevel="1">
      <c r="B611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81"/>
      <c r="AF611" s="81"/>
      <c r="AG611" s="66"/>
      <c r="AH611" s="66"/>
      <c r="AI611" s="66"/>
      <c r="AJ611" s="66"/>
      <c r="AK611" s="66"/>
      <c r="AL611" s="66"/>
      <c r="AM611" s="66"/>
      <c r="AN611" s="66"/>
    </row>
    <row r="612" spans="2:40" hidden="1" outlineLevel="1">
      <c r="B612"/>
      <c r="D612" s="71" t="s">
        <v>494</v>
      </c>
      <c r="L612" s="109"/>
      <c r="M612" s="109"/>
      <c r="N612" s="109"/>
      <c r="O612" s="109"/>
      <c r="P612" s="109"/>
      <c r="Q612" s="109"/>
      <c r="R612" s="109"/>
      <c r="S612" s="109"/>
      <c r="T612" s="109"/>
      <c r="U612" s="109">
        <v>13.6</v>
      </c>
      <c r="V612" s="109">
        <v>14.2</v>
      </c>
      <c r="W612" s="109">
        <v>14.2</v>
      </c>
      <c r="X612" s="109">
        <v>14.1</v>
      </c>
      <c r="Y612" s="109">
        <v>13.9</v>
      </c>
      <c r="Z612" s="109">
        <v>14</v>
      </c>
      <c r="AA612" s="109">
        <v>13.5</v>
      </c>
      <c r="AB612" s="109">
        <v>12.4</v>
      </c>
      <c r="AC612" s="66"/>
      <c r="AD612" s="66"/>
      <c r="AE612" s="81"/>
      <c r="AF612" s="81"/>
      <c r="AG612" s="66"/>
      <c r="AH612" s="66"/>
      <c r="AI612" s="66"/>
      <c r="AJ612" s="66"/>
      <c r="AK612" s="66"/>
      <c r="AL612" s="66"/>
      <c r="AM612" s="66"/>
      <c r="AN612" s="66"/>
    </row>
    <row r="613" spans="2:40" hidden="1" outlineLevel="1">
      <c r="B613"/>
      <c r="D613" s="71" t="s">
        <v>597</v>
      </c>
      <c r="L613" s="109"/>
      <c r="M613" s="109"/>
      <c r="N613" s="109"/>
      <c r="O613" s="109"/>
      <c r="P613" s="109"/>
      <c r="Q613" s="109"/>
      <c r="R613" s="109"/>
      <c r="S613" s="109"/>
      <c r="T613" s="109"/>
      <c r="U613" s="109">
        <v>2.8</v>
      </c>
      <c r="V613" s="109">
        <v>3.2</v>
      </c>
      <c r="W613" s="109">
        <v>3.2</v>
      </c>
      <c r="X613" s="109">
        <v>3.4</v>
      </c>
      <c r="Y613" s="109">
        <v>3.3</v>
      </c>
      <c r="Z613" s="109">
        <v>3.2</v>
      </c>
      <c r="AA613" s="109">
        <v>3.5</v>
      </c>
      <c r="AB613" s="109">
        <v>2.1</v>
      </c>
      <c r="AC613" s="66"/>
      <c r="AD613" s="66"/>
      <c r="AE613" s="81"/>
      <c r="AF613" s="81"/>
      <c r="AG613" s="66"/>
      <c r="AH613" s="66"/>
      <c r="AI613" s="66"/>
      <c r="AJ613" s="66"/>
      <c r="AK613" s="66"/>
      <c r="AL613" s="66"/>
      <c r="AM613" s="66"/>
      <c r="AN613" s="66"/>
    </row>
    <row r="614" spans="2:40" hidden="1" outlineLevel="1">
      <c r="B614"/>
      <c r="D614" s="280" t="s">
        <v>598</v>
      </c>
      <c r="E614" s="280"/>
      <c r="F614" s="280"/>
      <c r="G614" s="280"/>
      <c r="H614" s="280"/>
      <c r="I614" s="280"/>
      <c r="J614" s="280"/>
      <c r="K614" s="280"/>
      <c r="L614" s="307"/>
      <c r="M614" s="307"/>
      <c r="N614" s="307"/>
      <c r="O614" s="307"/>
      <c r="P614" s="307"/>
      <c r="Q614" s="307"/>
      <c r="R614" s="307"/>
      <c r="S614" s="307"/>
      <c r="T614" s="307"/>
      <c r="U614" s="307">
        <f t="shared" ref="U614:AA614" si="665">SUM(U612:U613)</f>
        <v>16.399999999999999</v>
      </c>
      <c r="V614" s="307">
        <f t="shared" si="665"/>
        <v>17.399999999999999</v>
      </c>
      <c r="W614" s="307">
        <f t="shared" si="665"/>
        <v>17.399999999999999</v>
      </c>
      <c r="X614" s="307">
        <f t="shared" si="665"/>
        <v>17.5</v>
      </c>
      <c r="Y614" s="307">
        <f t="shared" si="665"/>
        <v>17.2</v>
      </c>
      <c r="Z614" s="307">
        <f t="shared" si="665"/>
        <v>17.2</v>
      </c>
      <c r="AA614" s="307">
        <f t="shared" si="665"/>
        <v>17</v>
      </c>
      <c r="AB614" s="307">
        <f>SUM(AB612:AB613)</f>
        <v>14.5</v>
      </c>
      <c r="AC614" s="66"/>
      <c r="AD614" s="66"/>
      <c r="AE614" s="81"/>
      <c r="AF614" s="81"/>
      <c r="AG614" s="66"/>
      <c r="AH614" s="66"/>
      <c r="AI614" s="66"/>
      <c r="AJ614" s="66"/>
      <c r="AK614" s="66"/>
      <c r="AL614" s="66"/>
      <c r="AM614" s="66"/>
      <c r="AN614" s="66"/>
    </row>
    <row r="615" spans="2:40" hidden="1" outlineLevel="1">
      <c r="B615"/>
      <c r="D615" t="s">
        <v>599</v>
      </c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>
        <v>37</v>
      </c>
      <c r="AC615" s="66"/>
      <c r="AD615" s="66"/>
      <c r="AE615" s="81"/>
      <c r="AF615" s="81"/>
      <c r="AG615" s="66"/>
      <c r="AH615" s="66"/>
      <c r="AI615" s="66"/>
      <c r="AJ615" s="66"/>
      <c r="AK615" s="66"/>
      <c r="AL615" s="66"/>
      <c r="AM615" s="66"/>
      <c r="AN615" s="66"/>
    </row>
    <row r="616" spans="2:40" collapsed="1">
      <c r="B61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81"/>
      <c r="AF616" s="81"/>
      <c r="AG616" s="66"/>
      <c r="AH616" s="66"/>
      <c r="AI616" s="66"/>
      <c r="AJ616" s="66"/>
      <c r="AK616" s="66"/>
      <c r="AL616" s="66"/>
      <c r="AM616" s="66"/>
      <c r="AN616" s="66"/>
    </row>
    <row r="617" spans="2:40">
      <c r="B617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81"/>
      <c r="AF617" s="81"/>
      <c r="AG617" s="66"/>
      <c r="AH617" s="66"/>
      <c r="AI617" s="66"/>
      <c r="AJ617" s="66"/>
      <c r="AK617" s="66"/>
      <c r="AL617" s="66"/>
      <c r="AM617" s="66"/>
      <c r="AN617" s="66"/>
    </row>
    <row r="618" spans="2:40">
      <c r="B618"/>
      <c r="AE618" s="81"/>
      <c r="AF618" s="81"/>
    </row>
    <row r="619" spans="2:40">
      <c r="B619"/>
      <c r="AE619" s="81"/>
      <c r="AF619" s="81"/>
    </row>
    <row r="620" spans="2:40">
      <c r="B620"/>
      <c r="AE620" s="81"/>
      <c r="AF620" s="81"/>
    </row>
    <row r="621" spans="2:40">
      <c r="B621"/>
      <c r="AE621" s="81"/>
      <c r="AF621" s="81"/>
    </row>
    <row r="622" spans="2:40">
      <c r="B622"/>
      <c r="AE622" s="81"/>
      <c r="AF622" s="81"/>
    </row>
    <row r="623" spans="2:40">
      <c r="B623"/>
      <c r="AE623" s="81"/>
      <c r="AF623" s="81"/>
    </row>
    <row r="624" spans="2:40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  <row r="641" spans="2:2">
      <c r="B641"/>
    </row>
    <row r="642" spans="2:2">
      <c r="B642"/>
    </row>
    <row r="643" spans="2:2">
      <c r="B643"/>
    </row>
    <row r="644" spans="2:2">
      <c r="B644"/>
    </row>
    <row r="645" spans="2:2">
      <c r="B645"/>
    </row>
    <row r="646" spans="2:2">
      <c r="B646"/>
    </row>
    <row r="647" spans="2:2">
      <c r="B647"/>
    </row>
    <row r="648" spans="2:2">
      <c r="B648"/>
    </row>
    <row r="649" spans="2:2">
      <c r="B649"/>
    </row>
    <row r="650" spans="2:2">
      <c r="B650"/>
    </row>
    <row r="651" spans="2:2">
      <c r="B651"/>
    </row>
    <row r="652" spans="2:2">
      <c r="B652"/>
    </row>
    <row r="653" spans="2:2">
      <c r="B653"/>
    </row>
    <row r="654" spans="2:2">
      <c r="B654"/>
    </row>
    <row r="655" spans="2:2">
      <c r="B655"/>
    </row>
  </sheetData>
  <conditionalFormatting sqref="N312:AA312 AC312:AK312">
    <cfRule type="cellIs" dxfId="11" priority="28" operator="equal">
      <formula>FALSE</formula>
    </cfRule>
  </conditionalFormatting>
  <conditionalFormatting sqref="L354:AM354">
    <cfRule type="cellIs" dxfId="10" priority="11" operator="equal">
      <formula>FALSE</formula>
    </cfRule>
  </conditionalFormatting>
  <conditionalFormatting sqref="L312:M312">
    <cfRule type="cellIs" dxfId="9" priority="10" operator="equal">
      <formula>FALSE</formula>
    </cfRule>
  </conditionalFormatting>
  <conditionalFormatting sqref="L312">
    <cfRule type="cellIs" dxfId="8" priority="9" operator="equal">
      <formula>FALSE</formula>
    </cfRule>
  </conditionalFormatting>
  <conditionalFormatting sqref="AL312:AM312">
    <cfRule type="cellIs" dxfId="7" priority="8" operator="equal">
      <formula>FALSE</formula>
    </cfRule>
  </conditionalFormatting>
  <conditionalFormatting sqref="AL354:AM354">
    <cfRule type="cellIs" dxfId="6" priority="7" operator="equal">
      <formula>FALSE</formula>
    </cfRule>
  </conditionalFormatting>
  <conditionalFormatting sqref="AB312">
    <cfRule type="cellIs" dxfId="5" priority="2" operator="equal">
      <formula>FALSE</formula>
    </cfRule>
  </conditionalFormatting>
  <conditionalFormatting sqref="AB354">
    <cfRule type="cellIs" dxfId="4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A328:K329 A247:K247 A242:K245 A246:C246 A249:K250 E246:K246 A257:Q257 A253:K256 A259:K259 A269:K269 A261:K266 A267:Z268 A270:Z271 A273:L273 A258:V258 A19:AA20 A157:Z157 A143:P143 A275:K280 A282:K289 A292:K295 A296:C296 A297:K298 A300:K302 A303:C303 A304:K305 E303:K303 A307:K310 A315:C315 E315:AA315 A314:K314 E296:K296 A222:K222 A224:K224 A291:S291 AN249:AU249 P273:T273 A188:C188 E188:O188 A194:K194 AN202:XFD204 A163:T163 A459:K459 A14:K14 AN319:XFD324 A130:C131 A132:L132 A115:C117 AN188:XFD188 Q171:AA171 E130:K131 AN130:XFD132 E115:Z117 A118:Z118 A66:K66 AN41:XFD45 A70:W70 AC118:AL118 AB132:AL132 M14:AA14 A15:AL15 M459:AL459 A460:AL460 A195:AL195 S257:AB257 A319:AL319 Y224:AA224 Y222:AA222 A223:AA223 AC314:AL314 A316:AA316 Z307:AA310 A311:AA312 Z300:AA305 A306:AA306 Z292:AA298 A299:AA299 Z282:AA289 A290:AA290 A281:AA281 A452:AL458 A144:AA146 A158:AA162 AD247:AL247 A93:AL94 AC19:AL23 A49:Z49 A36:AL36 A274:AL274 A252:AB252 AC329:AL329 A330:AL331 A1:V1 A164:AA169 A232:AL237 AC57:AL60 AC49:AL53 A67:AA69 A92:AA92 AC83:AL90 A102:AA112 AC102:AL102 AC104:AL104 AG103:AL103 AC175:AL177 AC149:AL150 AC153:AL153 AC165:AL169 A205:AA221 AC224:AL224 AD226:AL226 AC205:AL222 A225:AA230 AC230:AL230 A13:AL13 A12:C12 A17:AL18 A16:AA16 A327:AL327 A320:Y320 AC320:AL323 A251:C251 A241:AA241 AC241:AL241 AB273:AL273 AB267:AL268 Z275:AA280 AD316:AL316 AC311:AL312 AC299:AL299 AC281:AL281 AC73:AL75 AE112:AL112 AD328:AL328 AC325:AL326 AN325 AP325:XFD325 A334:AL337 AI332:AL332 A332:AE333 AC33:AL34 AC143:AL146 A204:AL204 A202:K202 AC202:AL202 AN194:XFD195 A198:C198 E198:K198 A199:K199 AN198:XFD199 AC290:AL291 AC306:AL306 AD250:AL250 AD257:AL258 A345:C347 E345:E347 A352:C352 AC353:AL353 E352:K352 A344:Z344 AD344:AL344 AC338:AL340 A338:AA342 AC342:AL342 A397:C398 AN397:XFD398 E397:K398 E400:K403 A400:C404 A436:AL449 A433:C433 E433:L433 AN400:XFD404 G345:K347 Z353:AA353 E404:M404 A434:AA435 AC434:AL435 AN384:XFD386 A384:AL385 A395:C395 A386:C386 E386:U386 E395:P395 AC386:AL386 AN395:XFD395 AC395:AL395 AB270 AD270:AL270 AN1:XFD1 AN352:XFD355 A353:K354 A355:C355 E355:K355 AN344:XFD347 A31:AA35 A30:Q30 AC31:AL31 A38:AA39 AC38:AL38 AN261:XFD271 AC271:AL271 A183:AA183 A175:X175 A148:AA156 A147:Z147 A240:AL240 AN273:XFD274 AN276:XFD312 AN275 AP275:XFD275 A238:W239 AD238:AL239 A37:K37 AC77:AL81 AB5:AL5 A24:AA29 A41:Y41 A42:N42 A43:Y45 AA41:AA45 AN103:XFD106 A23:K23 A3:AL4 A2:K2 AC2:AL2 A485:AL485 AN485:XFD486 A486:C486 E486:AL486 A450:K451 A656:AL1048576 P42:Y42 A51:AA65 A50:C50 E50:AA50 AN49:XFD51 A71:AA90 AN326:XFD342 AN92:XFD94 A95:AA96 AN98:XFD98 A98:K98 A114:Z114 AC113:AL114 O98:AA98 AC106:AL111 AN182:XFD182 A172:AA174 W170:AA170 A170:N171 AN143:XFD148 A176:AA180 A182:C182 E182:N182 AN656:XFD1048576 AN4:XFD6 AN3 AN12:XFD12 AN2:AP2 AS2:XFD3 AN19:XFD23 AN7:AN11 AS7:XFD11 AN13:AN17 AN18:AQ18 AS13:XFD18 AN30:XFD30 AN24:AN29 AS24:XFD29 AN32:XFD39 AN31 AS31:XFD31 AN58:XFD58 AN52:AN57 AS52:XFD57 AN63:XFD70 AN59:AN62 AS59:XFD62 AN72:XFD75 AN71 AS71:XFD71 AN77:XFD80 AN76 AS76:XFD76 AN82:XFD89 AN81 AS81:XFD81 AN90 AS90:XFD90 AN96:XFD96 AN95 AS95:XFD95 AN102 AS102:XFD102 AN112:XFD114 AN111 AS111:XFD111 AN115:AN118 AS115:XFD118 AC62:AL70 A6:AL11 A5:Z5 AN206:AR206 AN205 AN208:AR211 AN207 AN213:AR217 AN212 AN219:AR220 AN218 AN227:AR229 AN226 AN231:AR232 AN230 AN234:XFD247 AN233 AC155:AL162 AC154 A113:S113 U113:Z113 A231:Z231 AF231:AK231 E12:AA12 AC450:AL451 AN222:AR225 AN221:AP221 AU205:XFD233 A326:C326 E326:K326 A203:Y203 AB203:AL203 A322:Y325 B321:Y321 AN433:XFD460 AD24:AL30 AN314:XFD316 AN108:XFD108 AN107 AS107:XFD107 AN110:XFD110 AN109 AS109:XFD109 AN151:XFD180 AN149 AS149:XFD149 AN150 AS150:XFD150 AN183 AS183:XFD183 AE39:AL39 B21:AA21 B22:K22 E251:K251 AD252:AL252 AN252:AU259 AN250 AY250:XFD250 AN251:AU251 AY251:XFD251 AY252:XFD258 AY249:XFD249 AY259:XFD259 AQ250:AU250" formula="1"/>
    <ignoredError sqref="L66:AA66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11B7-7D0A-4F6D-A336-6C5C93B26F8A}">
  <sheetPr>
    <tabColor theme="6" tint="0.39997558519241921"/>
  </sheetPr>
  <dimension ref="A1:AN461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1" sqref="L11"/>
    </sheetView>
  </sheetViews>
  <sheetFormatPr defaultRowHeight="14.5" outlineLevelRow="1" outlineLevelCol="1"/>
  <cols>
    <col min="1" max="1" width="1.54296875" customWidth="1"/>
    <col min="2" max="2" width="37.453125" bestFit="1" customWidth="1"/>
    <col min="3" max="7" width="8.7265625" hidden="1" customWidth="1" outlineLevel="1"/>
    <col min="8" max="8" width="8.7265625" customWidth="1" collapsed="1"/>
    <col min="9" max="24" width="8.7265625" customWidth="1"/>
    <col min="37" max="37" width="15.54296875" style="242" customWidth="1"/>
  </cols>
  <sheetData>
    <row r="1" spans="1:37" ht="23.5">
      <c r="B1" s="202">
        <f ca="1">+Model!$D$1</f>
        <v>173.03892538854288</v>
      </c>
      <c r="C1">
        <f t="shared" ref="C1:W1" si="0">+C2-1</f>
        <v>1999</v>
      </c>
      <c r="D1">
        <f t="shared" si="0"/>
        <v>2000</v>
      </c>
      <c r="E1">
        <f t="shared" si="0"/>
        <v>2001</v>
      </c>
      <c r="F1">
        <f t="shared" si="0"/>
        <v>2002</v>
      </c>
      <c r="G1">
        <f t="shared" si="0"/>
        <v>2003</v>
      </c>
      <c r="H1">
        <f t="shared" si="0"/>
        <v>2004</v>
      </c>
      <c r="I1">
        <f t="shared" si="0"/>
        <v>2005</v>
      </c>
      <c r="J1">
        <f t="shared" si="0"/>
        <v>2006</v>
      </c>
      <c r="K1">
        <f t="shared" si="0"/>
        <v>2007</v>
      </c>
      <c r="L1">
        <f t="shared" si="0"/>
        <v>2008</v>
      </c>
      <c r="M1">
        <f t="shared" si="0"/>
        <v>2009</v>
      </c>
      <c r="N1">
        <f t="shared" si="0"/>
        <v>2010</v>
      </c>
      <c r="O1">
        <f t="shared" si="0"/>
        <v>2011</v>
      </c>
      <c r="P1">
        <f t="shared" si="0"/>
        <v>2012</v>
      </c>
      <c r="Q1">
        <f t="shared" si="0"/>
        <v>2013</v>
      </c>
      <c r="R1">
        <f t="shared" si="0"/>
        <v>2014</v>
      </c>
      <c r="S1">
        <f t="shared" si="0"/>
        <v>2015</v>
      </c>
      <c r="T1">
        <f t="shared" si="0"/>
        <v>2016</v>
      </c>
      <c r="U1">
        <f t="shared" si="0"/>
        <v>2017</v>
      </c>
      <c r="V1">
        <f t="shared" si="0"/>
        <v>2018</v>
      </c>
      <c r="W1">
        <f t="shared" si="0"/>
        <v>2019</v>
      </c>
      <c r="X1">
        <f>+X2-1</f>
        <v>2020</v>
      </c>
    </row>
    <row r="2" spans="1:37">
      <c r="A2" s="284"/>
      <c r="B2" s="53" t="s">
        <v>470</v>
      </c>
      <c r="C2" s="123">
        <v>2000</v>
      </c>
      <c r="D2" s="53">
        <f>+C2+1</f>
        <v>2001</v>
      </c>
      <c r="E2" s="53">
        <f t="shared" ref="E2:AI2" si="1">+D2+1</f>
        <v>2002</v>
      </c>
      <c r="F2" s="53">
        <f t="shared" si="1"/>
        <v>2003</v>
      </c>
      <c r="G2" s="53">
        <f t="shared" si="1"/>
        <v>2004</v>
      </c>
      <c r="H2" s="53">
        <f t="shared" si="1"/>
        <v>2005</v>
      </c>
      <c r="I2" s="53">
        <f t="shared" si="1"/>
        <v>2006</v>
      </c>
      <c r="J2" s="53">
        <f t="shared" si="1"/>
        <v>2007</v>
      </c>
      <c r="K2" s="53">
        <f t="shared" si="1"/>
        <v>2008</v>
      </c>
      <c r="L2" s="53">
        <f t="shared" si="1"/>
        <v>2009</v>
      </c>
      <c r="M2" s="53">
        <f t="shared" si="1"/>
        <v>2010</v>
      </c>
      <c r="N2" s="53">
        <f t="shared" si="1"/>
        <v>2011</v>
      </c>
      <c r="O2" s="53">
        <f t="shared" si="1"/>
        <v>2012</v>
      </c>
      <c r="P2" s="53">
        <f t="shared" si="1"/>
        <v>2013</v>
      </c>
      <c r="Q2" s="53">
        <f t="shared" si="1"/>
        <v>2014</v>
      </c>
      <c r="R2" s="53">
        <f t="shared" si="1"/>
        <v>2015</v>
      </c>
      <c r="S2" s="53">
        <f t="shared" si="1"/>
        <v>2016</v>
      </c>
      <c r="T2" s="53">
        <f t="shared" si="1"/>
        <v>2017</v>
      </c>
      <c r="U2" s="53">
        <f t="shared" si="1"/>
        <v>2018</v>
      </c>
      <c r="V2" s="53">
        <f t="shared" si="1"/>
        <v>2019</v>
      </c>
      <c r="W2" s="53">
        <f t="shared" si="1"/>
        <v>2020</v>
      </c>
      <c r="X2" s="53">
        <f t="shared" si="1"/>
        <v>2021</v>
      </c>
      <c r="Y2" s="53">
        <f t="shared" si="1"/>
        <v>2022</v>
      </c>
      <c r="Z2" s="53">
        <f t="shared" si="1"/>
        <v>2023</v>
      </c>
      <c r="AA2" s="53">
        <f t="shared" si="1"/>
        <v>2024</v>
      </c>
      <c r="AB2" s="53">
        <f t="shared" si="1"/>
        <v>2025</v>
      </c>
      <c r="AC2" s="53">
        <f t="shared" si="1"/>
        <v>2026</v>
      </c>
      <c r="AD2" s="53">
        <f t="shared" si="1"/>
        <v>2027</v>
      </c>
      <c r="AE2" s="53">
        <f t="shared" si="1"/>
        <v>2028</v>
      </c>
      <c r="AF2" s="53">
        <f t="shared" si="1"/>
        <v>2029</v>
      </c>
      <c r="AG2" s="53">
        <f t="shared" si="1"/>
        <v>2030</v>
      </c>
      <c r="AH2" s="53">
        <f t="shared" si="1"/>
        <v>2031</v>
      </c>
      <c r="AI2" s="53">
        <f t="shared" si="1"/>
        <v>2032</v>
      </c>
      <c r="AK2" s="241" t="s">
        <v>366</v>
      </c>
    </row>
    <row r="3" spans="1:37">
      <c r="C3" s="7"/>
      <c r="D3" s="7"/>
      <c r="E3" s="7"/>
      <c r="F3" s="7"/>
      <c r="G3" s="7"/>
      <c r="H3" s="7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7">
      <c r="B4" s="285" t="s">
        <v>350</v>
      </c>
      <c r="C4" s="42"/>
      <c r="D4" s="42"/>
      <c r="E4" s="42"/>
      <c r="F4" s="93"/>
      <c r="G4" s="7"/>
      <c r="H4" s="7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7" outlineLevel="1">
      <c r="B5" s="71" t="s">
        <v>301</v>
      </c>
      <c r="C5" s="354"/>
      <c r="D5" s="354"/>
      <c r="E5" s="355"/>
      <c r="F5" s="36"/>
      <c r="H5" s="6">
        <v>1</v>
      </c>
      <c r="I5" s="6">
        <v>1</v>
      </c>
      <c r="J5" s="6">
        <v>1</v>
      </c>
      <c r="K5" s="6">
        <v>1</v>
      </c>
      <c r="L5" s="6">
        <v>2</v>
      </c>
      <c r="M5" s="6">
        <v>2</v>
      </c>
      <c r="N5" s="6">
        <v>2</v>
      </c>
      <c r="O5" s="6">
        <v>2</v>
      </c>
      <c r="P5" s="6">
        <v>2</v>
      </c>
      <c r="Q5" s="6">
        <v>2</v>
      </c>
      <c r="R5" s="6">
        <v>3</v>
      </c>
      <c r="S5" s="6">
        <v>3</v>
      </c>
      <c r="T5" s="6">
        <v>4</v>
      </c>
      <c r="U5" s="6">
        <v>4</v>
      </c>
      <c r="V5" s="6">
        <v>5</v>
      </c>
      <c r="W5" s="6">
        <v>5</v>
      </c>
      <c r="X5" s="6">
        <v>5</v>
      </c>
      <c r="Y5" s="248">
        <f t="shared" ref="Y5:AI20" ca="1" si="2">+Y75*Y128/1000</f>
        <v>5.226408315533785</v>
      </c>
      <c r="Z5" s="248">
        <f t="shared" ca="1" si="2"/>
        <v>5.4709650266383996</v>
      </c>
      <c r="AA5" s="248">
        <f t="shared" ca="1" si="2"/>
        <v>5.7545251439690679</v>
      </c>
      <c r="AB5" s="248">
        <f t="shared" ca="1" si="2"/>
        <v>5.9997830971931325</v>
      </c>
      <c r="AC5" s="248">
        <f t="shared" ca="1" si="2"/>
        <v>6.2483962276762064</v>
      </c>
      <c r="AD5" s="248">
        <f t="shared" ca="1" si="2"/>
        <v>6.5004010673173074</v>
      </c>
      <c r="AE5" s="248">
        <f t="shared" ca="1" si="2"/>
        <v>6.7558345072652148</v>
      </c>
      <c r="AF5" s="248">
        <f t="shared" ca="1" si="2"/>
        <v>7.0147338012523033</v>
      </c>
      <c r="AG5" s="248">
        <f t="shared" ca="1" si="2"/>
        <v>7.2771365689581637</v>
      </c>
      <c r="AH5" s="248">
        <f t="shared" ca="1" si="2"/>
        <v>7.54308079940329</v>
      </c>
      <c r="AI5" s="248">
        <f t="shared" ca="1" si="2"/>
        <v>7.8656417920877741</v>
      </c>
    </row>
    <row r="6" spans="1:37" outlineLevel="1">
      <c r="B6" s="71" t="s">
        <v>302</v>
      </c>
      <c r="C6" s="354"/>
      <c r="D6" s="354"/>
      <c r="E6" s="355"/>
      <c r="F6" s="36"/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248">
        <f t="shared" si="2"/>
        <v>0</v>
      </c>
      <c r="Z6" s="248">
        <f t="shared" si="2"/>
        <v>0</v>
      </c>
      <c r="AA6" s="248">
        <f t="shared" si="2"/>
        <v>0</v>
      </c>
      <c r="AB6" s="248">
        <f t="shared" ca="1" si="2"/>
        <v>4.8386177524937284E-2</v>
      </c>
      <c r="AC6" s="248">
        <f t="shared" ca="1" si="2"/>
        <v>9.7498147837688245E-2</v>
      </c>
      <c r="AD6" s="248">
        <f t="shared" ca="1" si="2"/>
        <v>0.14734407612406589</v>
      </c>
      <c r="AE6" s="248">
        <f t="shared" ca="1" si="2"/>
        <v>0.19793220919229498</v>
      </c>
      <c r="AF6" s="248">
        <f t="shared" ca="1" si="2"/>
        <v>0.24927087624571242</v>
      </c>
      <c r="AG6" s="248">
        <f t="shared" ca="1" si="2"/>
        <v>0.30136848966523794</v>
      </c>
      <c r="AH6" s="248">
        <f t="shared" ca="1" si="2"/>
        <v>0.35423354579926747</v>
      </c>
      <c r="AI6" s="248">
        <f t="shared" ca="1" si="2"/>
        <v>0.36938145780150866</v>
      </c>
    </row>
    <row r="7" spans="1:37" outlineLevel="1">
      <c r="B7" s="71" t="s">
        <v>303</v>
      </c>
      <c r="C7" s="354"/>
      <c r="D7" s="354"/>
      <c r="E7" s="355"/>
      <c r="F7" s="36"/>
      <c r="H7" s="6">
        <v>0</v>
      </c>
      <c r="I7" s="6">
        <v>0</v>
      </c>
      <c r="J7" s="6">
        <v>0</v>
      </c>
      <c r="K7" s="6">
        <v>1</v>
      </c>
      <c r="L7" s="6">
        <v>3</v>
      </c>
      <c r="M7" s="6">
        <v>3</v>
      </c>
      <c r="N7" s="6">
        <v>3</v>
      </c>
      <c r="O7" s="6">
        <v>3</v>
      </c>
      <c r="P7" s="6">
        <v>3</v>
      </c>
      <c r="Q7" s="6">
        <v>3</v>
      </c>
      <c r="R7" s="6">
        <v>3</v>
      </c>
      <c r="S7" s="6">
        <v>3</v>
      </c>
      <c r="T7" s="6">
        <v>3</v>
      </c>
      <c r="U7" s="6">
        <v>3</v>
      </c>
      <c r="V7" s="6">
        <v>3</v>
      </c>
      <c r="W7" s="6">
        <v>4</v>
      </c>
      <c r="X7" s="6">
        <v>4</v>
      </c>
      <c r="Y7" s="248">
        <f t="shared" ca="1" si="2"/>
        <v>4.1811266333707833</v>
      </c>
      <c r="Z7" s="248">
        <f t="shared" ca="1" si="2"/>
        <v>4.3767720013627862</v>
      </c>
      <c r="AA7" s="248">
        <f t="shared" ca="1" si="2"/>
        <v>4.6036200941934204</v>
      </c>
      <c r="AB7" s="248">
        <f t="shared" ca="1" si="2"/>
        <v>4.7998264558784083</v>
      </c>
      <c r="AC7" s="248">
        <f t="shared" ca="1" si="2"/>
        <v>4.9987169593583767</v>
      </c>
      <c r="AD7" s="248">
        <f t="shared" ca="1" si="2"/>
        <v>5.2003208301524078</v>
      </c>
      <c r="AE7" s="248">
        <f t="shared" ca="1" si="2"/>
        <v>5.4046675811793889</v>
      </c>
      <c r="AF7" s="248">
        <f t="shared" ca="1" si="2"/>
        <v>5.6117870154250831</v>
      </c>
      <c r="AG7" s="248">
        <f t="shared" ca="1" si="2"/>
        <v>5.821709228633023</v>
      </c>
      <c r="AH7" s="248">
        <f t="shared" ca="1" si="2"/>
        <v>6.0344646120194652</v>
      </c>
      <c r="AI7" s="248">
        <f t="shared" ca="1" si="2"/>
        <v>6.292513404990947</v>
      </c>
    </row>
    <row r="8" spans="1:37" outlineLevel="1">
      <c r="B8" s="71" t="s">
        <v>304</v>
      </c>
      <c r="C8" s="354"/>
      <c r="D8" s="354"/>
      <c r="E8" s="355"/>
      <c r="F8" s="36"/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48">
        <f t="shared" si="2"/>
        <v>0</v>
      </c>
      <c r="Z8" s="248">
        <f t="shared" si="2"/>
        <v>0</v>
      </c>
      <c r="AA8" s="248">
        <f t="shared" si="2"/>
        <v>0</v>
      </c>
      <c r="AB8" s="248">
        <f t="shared" si="2"/>
        <v>0</v>
      </c>
      <c r="AC8" s="248">
        <f t="shared" si="2"/>
        <v>0</v>
      </c>
      <c r="AD8" s="248">
        <f t="shared" ca="1" si="2"/>
        <v>4.7878128811856713E-2</v>
      </c>
      <c r="AE8" s="248">
        <f t="shared" ca="1" si="2"/>
        <v>9.6474429555891236E-2</v>
      </c>
      <c r="AF8" s="248">
        <f t="shared" ca="1" si="2"/>
        <v>0.14579698166634064</v>
      </c>
      <c r="AG8" s="248">
        <f t="shared" ca="1" si="2"/>
        <v>0.19585394537178422</v>
      </c>
      <c r="AH8" s="248">
        <f t="shared" ca="1" si="2"/>
        <v>0.24665356245259071</v>
      </c>
      <c r="AI8" s="248">
        <f t="shared" ca="1" si="2"/>
        <v>0.25720108541696957</v>
      </c>
    </row>
    <row r="9" spans="1:37" outlineLevel="1">
      <c r="B9" s="71" t="s">
        <v>305</v>
      </c>
      <c r="C9" s="354"/>
      <c r="D9" s="354"/>
      <c r="E9" s="355"/>
      <c r="F9" s="36"/>
      <c r="H9" s="6">
        <v>6</v>
      </c>
      <c r="I9" s="6">
        <v>6</v>
      </c>
      <c r="J9" s="6">
        <v>8</v>
      </c>
      <c r="K9" s="6">
        <v>11</v>
      </c>
      <c r="L9" s="6">
        <v>13</v>
      </c>
      <c r="M9" s="6">
        <v>13</v>
      </c>
      <c r="N9" s="6">
        <v>13</v>
      </c>
      <c r="O9" s="6">
        <v>14</v>
      </c>
      <c r="P9" s="6">
        <v>16</v>
      </c>
      <c r="Q9" s="6">
        <v>18</v>
      </c>
      <c r="R9" s="6">
        <v>18</v>
      </c>
      <c r="S9" s="6">
        <v>18</v>
      </c>
      <c r="T9" s="6">
        <v>23</v>
      </c>
      <c r="U9" s="6">
        <v>25</v>
      </c>
      <c r="V9" s="6">
        <v>25</v>
      </c>
      <c r="W9" s="6">
        <v>27</v>
      </c>
      <c r="X9" s="6">
        <v>28</v>
      </c>
      <c r="Y9" s="248">
        <f t="shared" ca="1" si="2"/>
        <v>29.267887782200678</v>
      </c>
      <c r="Z9" s="248">
        <f t="shared" ca="1" si="2"/>
        <v>30.637405421249301</v>
      </c>
      <c r="AA9" s="248">
        <f t="shared" ca="1" si="2"/>
        <v>32.225342144232656</v>
      </c>
      <c r="AB9" s="248">
        <f t="shared" ca="1" si="2"/>
        <v>33.59878673931329</v>
      </c>
      <c r="AC9" s="248">
        <f t="shared" ca="1" si="2"/>
        <v>34.991020327824479</v>
      </c>
      <c r="AD9" s="248">
        <f t="shared" ca="1" si="2"/>
        <v>36.40224748840923</v>
      </c>
      <c r="AE9" s="248">
        <f t="shared" ca="1" si="2"/>
        <v>37.832674811509285</v>
      </c>
      <c r="AF9" s="248">
        <f t="shared" ca="1" si="2"/>
        <v>39.282510918034582</v>
      </c>
      <c r="AG9" s="248">
        <f t="shared" ca="1" si="2"/>
        <v>40.751966478199613</v>
      </c>
      <c r="AH9" s="248">
        <f t="shared" ca="1" si="2"/>
        <v>42.241254230527986</v>
      </c>
      <c r="AI9" s="248">
        <f t="shared" ca="1" si="2"/>
        <v>44.047595864560932</v>
      </c>
    </row>
    <row r="10" spans="1:37" outlineLevel="1">
      <c r="B10" s="71" t="s">
        <v>306</v>
      </c>
      <c r="C10" s="354"/>
      <c r="D10" s="354"/>
      <c r="E10" s="355"/>
      <c r="F10" s="36"/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1</v>
      </c>
      <c r="N10" s="6">
        <v>1</v>
      </c>
      <c r="O10" s="6">
        <v>1</v>
      </c>
      <c r="P10" s="6">
        <v>3</v>
      </c>
      <c r="Q10" s="6">
        <v>3</v>
      </c>
      <c r="R10" s="6">
        <v>3</v>
      </c>
      <c r="S10" s="6">
        <v>5</v>
      </c>
      <c r="T10" s="6">
        <v>5</v>
      </c>
      <c r="U10" s="6">
        <v>6</v>
      </c>
      <c r="V10" s="6">
        <v>6</v>
      </c>
      <c r="W10" s="6">
        <v>6</v>
      </c>
      <c r="X10" s="6">
        <v>6</v>
      </c>
      <c r="Y10" s="248">
        <f t="shared" ca="1" si="2"/>
        <v>6.2716886761936266</v>
      </c>
      <c r="Z10" s="248">
        <f t="shared" ca="1" si="2"/>
        <v>6.5651566685744154</v>
      </c>
      <c r="AA10" s="248">
        <f t="shared" ca="1" si="2"/>
        <v>6.905428738706628</v>
      </c>
      <c r="AB10" s="248">
        <f t="shared" ca="1" si="2"/>
        <v>7.1997382214560393</v>
      </c>
      <c r="AC10" s="248">
        <f t="shared" ca="1" si="2"/>
        <v>7.4980739160801235</v>
      </c>
      <c r="AD10" s="248">
        <f t="shared" ca="1" si="2"/>
        <v>7.8004796608485929</v>
      </c>
      <c r="AE10" s="248">
        <f t="shared" ca="1" si="2"/>
        <v>8.1069997251307946</v>
      </c>
      <c r="AF10" s="248">
        <f t="shared" ca="1" si="2"/>
        <v>8.4176788133962965</v>
      </c>
      <c r="AG10" s="248">
        <f t="shared" ca="1" si="2"/>
        <v>8.7325620692512338</v>
      </c>
      <c r="AH10" s="248">
        <f t="shared" ca="1" si="2"/>
        <v>9.0516950795107416</v>
      </c>
      <c r="AI10" s="248">
        <f t="shared" ca="1" si="2"/>
        <v>9.4387681903483216</v>
      </c>
    </row>
    <row r="11" spans="1:37" outlineLevel="1">
      <c r="B11" s="71" t="s">
        <v>307</v>
      </c>
      <c r="C11" s="354"/>
      <c r="D11" s="354"/>
      <c r="E11" s="355"/>
      <c r="F11" s="36"/>
      <c r="H11" s="6">
        <v>0</v>
      </c>
      <c r="I11" s="6">
        <v>0</v>
      </c>
      <c r="J11" s="6">
        <v>2</v>
      </c>
      <c r="K11" s="6">
        <v>2</v>
      </c>
      <c r="L11" s="6">
        <v>2</v>
      </c>
      <c r="M11" s="6">
        <v>2</v>
      </c>
      <c r="N11" s="6">
        <v>2</v>
      </c>
      <c r="O11" s="6">
        <v>2</v>
      </c>
      <c r="P11" s="6">
        <v>2</v>
      </c>
      <c r="Q11" s="6">
        <v>2</v>
      </c>
      <c r="R11" s="6">
        <v>2</v>
      </c>
      <c r="S11" s="6">
        <v>2</v>
      </c>
      <c r="T11" s="6">
        <v>2</v>
      </c>
      <c r="U11" s="6">
        <v>3</v>
      </c>
      <c r="V11" s="6">
        <v>3</v>
      </c>
      <c r="W11" s="6">
        <v>3</v>
      </c>
      <c r="X11" s="6">
        <v>3</v>
      </c>
      <c r="Y11" s="248">
        <f t="shared" ca="1" si="2"/>
        <v>3.1358447445418025</v>
      </c>
      <c r="Z11" s="248">
        <f t="shared" ca="1" si="2"/>
        <v>3.2825787597507743</v>
      </c>
      <c r="AA11" s="248">
        <f t="shared" ca="1" si="2"/>
        <v>3.452714816868657</v>
      </c>
      <c r="AB11" s="248">
        <f t="shared" ca="1" si="2"/>
        <v>3.5998695773164573</v>
      </c>
      <c r="AC11" s="248">
        <f t="shared" ca="1" si="2"/>
        <v>3.749037443962524</v>
      </c>
      <c r="AD11" s="248">
        <f t="shared" ca="1" si="2"/>
        <v>3.9002403359445559</v>
      </c>
      <c r="AE11" s="248">
        <f t="shared" ca="1" si="2"/>
        <v>4.053500387950093</v>
      </c>
      <c r="AF11" s="248">
        <f t="shared" ca="1" si="2"/>
        <v>4.2088399522168158</v>
      </c>
      <c r="AG11" s="248">
        <f t="shared" ca="1" si="2"/>
        <v>4.3662816005507157</v>
      </c>
      <c r="AH11" s="248">
        <f t="shared" ca="1" si="2"/>
        <v>4.5258481263623116</v>
      </c>
      <c r="AI11" s="248">
        <f t="shared" ca="1" si="2"/>
        <v>4.7193847068658803</v>
      </c>
    </row>
    <row r="12" spans="1:37" outlineLevel="1">
      <c r="B12" s="71" t="s">
        <v>308</v>
      </c>
      <c r="C12" s="354"/>
      <c r="D12" s="354"/>
      <c r="E12" s="355"/>
      <c r="F12" s="36"/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248">
        <f t="shared" ca="1" si="2"/>
        <v>1.0452814461692561</v>
      </c>
      <c r="Z12" s="248">
        <f t="shared" ca="1" si="2"/>
        <v>1.0941927782391307</v>
      </c>
      <c r="AA12" s="248">
        <f t="shared" ca="1" si="2"/>
        <v>1.1509047899352649</v>
      </c>
      <c r="AB12" s="248">
        <f t="shared" ca="1" si="2"/>
        <v>1.1999563703999276</v>
      </c>
      <c r="AC12" s="248">
        <f t="shared" ca="1" si="2"/>
        <v>1.249678986177124</v>
      </c>
      <c r="AD12" s="248">
        <f t="shared" ca="1" si="2"/>
        <v>1.3000799436451405</v>
      </c>
      <c r="AE12" s="248">
        <f t="shared" ca="1" si="2"/>
        <v>1.3511666210322029</v>
      </c>
      <c r="AF12" s="248">
        <f t="shared" ca="1" si="2"/>
        <v>1.4029464690832387</v>
      </c>
      <c r="AG12" s="248">
        <f t="shared" ca="1" si="2"/>
        <v>1.4554270117326067</v>
      </c>
      <c r="AH12" s="248">
        <f t="shared" ca="1" si="2"/>
        <v>1.5086158467828283</v>
      </c>
      <c r="AI12" s="248">
        <f t="shared" ca="1" si="2"/>
        <v>1.5731280319308789</v>
      </c>
    </row>
    <row r="13" spans="1:37" outlineLevel="1">
      <c r="B13" s="71" t="s">
        <v>309</v>
      </c>
      <c r="C13" s="354"/>
      <c r="D13" s="354"/>
      <c r="E13" s="355"/>
      <c r="F13" s="36"/>
      <c r="H13" s="6">
        <v>9</v>
      </c>
      <c r="I13" s="6">
        <v>10</v>
      </c>
      <c r="J13" s="6">
        <v>10</v>
      </c>
      <c r="K13" s="6">
        <v>10</v>
      </c>
      <c r="L13" s="6">
        <v>10</v>
      </c>
      <c r="M13" s="6">
        <v>10</v>
      </c>
      <c r="N13" s="6">
        <v>10</v>
      </c>
      <c r="O13" s="6">
        <v>10</v>
      </c>
      <c r="P13" s="6">
        <v>13</v>
      </c>
      <c r="Q13" s="6">
        <v>13</v>
      </c>
      <c r="R13" s="6">
        <v>13</v>
      </c>
      <c r="S13" s="6">
        <v>15</v>
      </c>
      <c r="T13" s="6">
        <v>16</v>
      </c>
      <c r="U13" s="6">
        <v>17</v>
      </c>
      <c r="V13" s="6">
        <v>19</v>
      </c>
      <c r="W13" s="6">
        <v>19</v>
      </c>
      <c r="X13" s="6">
        <v>20</v>
      </c>
      <c r="Y13" s="248">
        <f t="shared" ca="1" si="2"/>
        <v>20.905638228345932</v>
      </c>
      <c r="Z13" s="248">
        <f t="shared" ca="1" si="2"/>
        <v>21.883865305145811</v>
      </c>
      <c r="AA13" s="248">
        <f t="shared" ca="1" si="2"/>
        <v>23.018106043911519</v>
      </c>
      <c r="AB13" s="248">
        <f t="shared" ca="1" si="2"/>
        <v>23.999138089855467</v>
      </c>
      <c r="AC13" s="248">
        <f t="shared" ca="1" si="2"/>
        <v>24.993590848023619</v>
      </c>
      <c r="AD13" s="248">
        <f t="shared" ca="1" si="2"/>
        <v>26.001610446046747</v>
      </c>
      <c r="AE13" s="248">
        <f t="shared" ca="1" si="2"/>
        <v>27.023344448555036</v>
      </c>
      <c r="AF13" s="248">
        <f t="shared" ca="1" si="2"/>
        <v>28.058941870513369</v>
      </c>
      <c r="AG13" s="248">
        <f t="shared" ca="1" si="2"/>
        <v>29.108553190675853</v>
      </c>
      <c r="AH13" s="248">
        <f t="shared" ca="1" si="2"/>
        <v>30.172330365160555</v>
      </c>
      <c r="AI13" s="248">
        <f t="shared" ca="1" si="2"/>
        <v>31.462574642400739</v>
      </c>
    </row>
    <row r="14" spans="1:37" outlineLevel="1">
      <c r="B14" s="71" t="s">
        <v>310</v>
      </c>
      <c r="C14" s="354"/>
      <c r="D14" s="354"/>
      <c r="E14" s="355"/>
      <c r="F14" s="36"/>
      <c r="H14" s="6">
        <v>4</v>
      </c>
      <c r="I14" s="6">
        <v>4</v>
      </c>
      <c r="J14" s="6">
        <v>4</v>
      </c>
      <c r="K14" s="6">
        <v>5</v>
      </c>
      <c r="L14" s="6">
        <v>5</v>
      </c>
      <c r="M14" s="6">
        <v>5</v>
      </c>
      <c r="N14" s="6">
        <v>6</v>
      </c>
      <c r="O14" s="6">
        <v>6</v>
      </c>
      <c r="P14" s="6">
        <v>6</v>
      </c>
      <c r="Q14" s="6">
        <v>8</v>
      </c>
      <c r="R14" s="6">
        <v>8</v>
      </c>
      <c r="S14" s="6">
        <v>9</v>
      </c>
      <c r="T14" s="6">
        <v>9</v>
      </c>
      <c r="U14" s="6">
        <v>9</v>
      </c>
      <c r="V14" s="6">
        <v>10</v>
      </c>
      <c r="W14" s="6">
        <v>11</v>
      </c>
      <c r="X14" s="6">
        <v>11</v>
      </c>
      <c r="Y14" s="248">
        <f t="shared" ca="1" si="2"/>
        <v>11.498096666993096</v>
      </c>
      <c r="Z14" s="248">
        <f t="shared" ca="1" si="2"/>
        <v>12.036121355283369</v>
      </c>
      <c r="AA14" s="248">
        <f t="shared" ca="1" si="2"/>
        <v>12.659953525127706</v>
      </c>
      <c r="AB14" s="248">
        <f t="shared" ca="1" si="2"/>
        <v>13.199520945862416</v>
      </c>
      <c r="AC14" s="248">
        <f t="shared" ca="1" si="2"/>
        <v>13.746469755522362</v>
      </c>
      <c r="AD14" s="248">
        <f t="shared" ca="1" si="2"/>
        <v>14.300880324274015</v>
      </c>
      <c r="AE14" s="248">
        <f t="shared" ca="1" si="2"/>
        <v>14.862833812633196</v>
      </c>
      <c r="AF14" s="248">
        <f t="shared" ca="1" si="2"/>
        <v>15.432412178799529</v>
      </c>
      <c r="AG14" s="248">
        <f t="shared" ca="1" si="2"/>
        <v>16.009698186056401</v>
      </c>
      <c r="AH14" s="248">
        <f t="shared" ca="1" si="2"/>
        <v>16.594775410237066</v>
      </c>
      <c r="AI14" s="248">
        <f t="shared" ca="1" si="2"/>
        <v>17.30440949371733</v>
      </c>
    </row>
    <row r="15" spans="1:37" outlineLevel="1">
      <c r="B15" s="71" t="s">
        <v>311</v>
      </c>
      <c r="C15" s="354"/>
      <c r="D15" s="354"/>
      <c r="E15" s="355"/>
      <c r="F15" s="36"/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248">
        <f t="shared" si="2"/>
        <v>0</v>
      </c>
      <c r="Z15" s="248">
        <f t="shared" si="2"/>
        <v>0</v>
      </c>
      <c r="AA15" s="248">
        <f t="shared" si="2"/>
        <v>0</v>
      </c>
      <c r="AB15" s="248">
        <f t="shared" si="2"/>
        <v>0</v>
      </c>
      <c r="AC15" s="248">
        <f t="shared" si="2"/>
        <v>0</v>
      </c>
      <c r="AD15" s="248">
        <f t="shared" si="2"/>
        <v>0</v>
      </c>
      <c r="AE15" s="248">
        <f t="shared" si="2"/>
        <v>0</v>
      </c>
      <c r="AF15" s="248">
        <f t="shared" ca="1" si="2"/>
        <v>7.6477546248187422E-2</v>
      </c>
      <c r="AG15" s="248">
        <f t="shared" ca="1" si="2"/>
        <v>0.15410225569009764</v>
      </c>
      <c r="AH15" s="248">
        <f t="shared" ca="1" si="2"/>
        <v>0.2328870339116601</v>
      </c>
      <c r="AI15" s="248">
        <f t="shared" ca="1" si="2"/>
        <v>0.24284586569930747</v>
      </c>
    </row>
    <row r="16" spans="1:37" outlineLevel="1">
      <c r="B16" s="71" t="s">
        <v>312</v>
      </c>
      <c r="C16" s="354"/>
      <c r="D16" s="354"/>
      <c r="E16" s="355"/>
      <c r="F16" s="36"/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1</v>
      </c>
      <c r="U16" s="6">
        <v>1</v>
      </c>
      <c r="V16" s="6">
        <v>1</v>
      </c>
      <c r="W16" s="6">
        <v>1</v>
      </c>
      <c r="X16" s="6">
        <v>1</v>
      </c>
      <c r="Y16" s="248">
        <f t="shared" ca="1" si="2"/>
        <v>1.045282251059342</v>
      </c>
      <c r="Z16" s="248">
        <f t="shared" ca="1" si="2"/>
        <v>1.0941936207920362</v>
      </c>
      <c r="AA16" s="248">
        <f t="shared" ca="1" si="2"/>
        <v>1.1509056761576877</v>
      </c>
      <c r="AB16" s="248">
        <f t="shared" ca="1" si="2"/>
        <v>1.2193501522592316</v>
      </c>
      <c r="AC16" s="248">
        <f t="shared" ca="1" si="2"/>
        <v>1.288756557058014</v>
      </c>
      <c r="AD16" s="248">
        <f t="shared" ca="1" si="2"/>
        <v>1.3591354694827111</v>
      </c>
      <c r="AE16" s="248">
        <f t="shared" ca="1" si="2"/>
        <v>1.4304975730374434</v>
      </c>
      <c r="AF16" s="248">
        <f t="shared" ca="1" si="2"/>
        <v>1.5028536567753368</v>
      </c>
      <c r="AG16" s="248">
        <f t="shared" ca="1" si="2"/>
        <v>1.5762146162808146</v>
      </c>
      <c r="AH16" s="248">
        <f t="shared" ca="1" si="2"/>
        <v>1.6505914546606817</v>
      </c>
      <c r="AI16" s="248">
        <f t="shared" ca="1" si="2"/>
        <v>1.7211748717406092</v>
      </c>
    </row>
    <row r="17" spans="2:35" outlineLevel="1">
      <c r="B17" s="71" t="s">
        <v>313</v>
      </c>
      <c r="C17" s="354"/>
      <c r="D17" s="354"/>
      <c r="E17" s="355"/>
      <c r="F17" s="36"/>
      <c r="H17" s="6">
        <v>8</v>
      </c>
      <c r="I17" s="6">
        <v>8</v>
      </c>
      <c r="J17" s="6">
        <v>6</v>
      </c>
      <c r="K17" s="6">
        <v>6</v>
      </c>
      <c r="L17" s="6">
        <v>6</v>
      </c>
      <c r="M17" s="6">
        <v>6</v>
      </c>
      <c r="N17" s="6">
        <v>6</v>
      </c>
      <c r="O17" s="6">
        <v>6</v>
      </c>
      <c r="P17" s="6">
        <v>6</v>
      </c>
      <c r="Q17" s="6">
        <v>6</v>
      </c>
      <c r="R17" s="6">
        <v>6</v>
      </c>
      <c r="S17" s="6">
        <v>8</v>
      </c>
      <c r="T17" s="6">
        <v>9</v>
      </c>
      <c r="U17" s="6">
        <v>9</v>
      </c>
      <c r="V17" s="6">
        <v>9</v>
      </c>
      <c r="W17" s="6">
        <v>9</v>
      </c>
      <c r="X17" s="6">
        <v>9</v>
      </c>
      <c r="Y17" s="248">
        <f t="shared" ca="1" si="2"/>
        <v>9.4075405695382202</v>
      </c>
      <c r="Z17" s="248">
        <f t="shared" ca="1" si="2"/>
        <v>9.8477429116383366</v>
      </c>
      <c r="AA17" s="248">
        <f t="shared" ca="1" si="2"/>
        <v>10.358151426748552</v>
      </c>
      <c r="AB17" s="248">
        <f t="shared" ca="1" si="2"/>
        <v>10.799616005415176</v>
      </c>
      <c r="AC17" s="248">
        <f t="shared" ca="1" si="2"/>
        <v>11.24711990674407</v>
      </c>
      <c r="AD17" s="248">
        <f t="shared" ca="1" si="2"/>
        <v>11.700728888192627</v>
      </c>
      <c r="AE17" s="248">
        <f t="shared" ca="1" si="2"/>
        <v>12.160509353868182</v>
      </c>
      <c r="AF17" s="248">
        <f t="shared" ca="1" si="2"/>
        <v>12.626528360528928</v>
      </c>
      <c r="AG17" s="248">
        <f t="shared" ca="1" si="2"/>
        <v>13.098853623638442</v>
      </c>
      <c r="AH17" s="248">
        <f t="shared" ca="1" si="2"/>
        <v>13.577553523474322</v>
      </c>
      <c r="AI17" s="248">
        <f t="shared" ca="1" si="2"/>
        <v>14.158163656021893</v>
      </c>
    </row>
    <row r="18" spans="2:35" outlineLevel="1">
      <c r="B18" s="71" t="s">
        <v>314</v>
      </c>
      <c r="C18" s="354"/>
      <c r="D18" s="354"/>
      <c r="E18" s="355"/>
      <c r="F18" s="36"/>
      <c r="H18" s="6">
        <v>1</v>
      </c>
      <c r="I18" s="6">
        <v>1</v>
      </c>
      <c r="J18" s="6">
        <v>2</v>
      </c>
      <c r="K18" s="6">
        <v>2</v>
      </c>
      <c r="L18" s="6">
        <v>2</v>
      </c>
      <c r="M18" s="6">
        <v>2</v>
      </c>
      <c r="N18" s="6">
        <v>2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>
        <v>2</v>
      </c>
      <c r="V18" s="6">
        <v>2</v>
      </c>
      <c r="W18" s="6">
        <v>3</v>
      </c>
      <c r="X18" s="6">
        <v>3</v>
      </c>
      <c r="Y18" s="248">
        <f t="shared" ca="1" si="2"/>
        <v>3.1358439433245291</v>
      </c>
      <c r="Z18" s="248">
        <f t="shared" ca="1" si="2"/>
        <v>3.2825779210425421</v>
      </c>
      <c r="AA18" s="248">
        <f t="shared" ca="1" si="2"/>
        <v>3.4527139346901778</v>
      </c>
      <c r="AB18" s="248">
        <f t="shared" ca="1" si="2"/>
        <v>3.6898275183720375</v>
      </c>
      <c r="AC18" s="248">
        <f t="shared" ca="1" si="2"/>
        <v>3.9303035906502974</v>
      </c>
      <c r="AD18" s="248">
        <f t="shared" ca="1" si="2"/>
        <v>4.174179251214821</v>
      </c>
      <c r="AE18" s="248">
        <f t="shared" ca="1" si="2"/>
        <v>4.4214919671108381</v>
      </c>
      <c r="AF18" s="248">
        <f t="shared" ca="1" si="2"/>
        <v>4.6722795761624125</v>
      </c>
      <c r="AG18" s="248">
        <f t="shared" ca="1" si="2"/>
        <v>4.9265802904266112</v>
      </c>
      <c r="AH18" s="248">
        <f t="shared" ca="1" si="2"/>
        <v>5.1844326996786139</v>
      </c>
      <c r="AI18" s="248">
        <f t="shared" ca="1" si="2"/>
        <v>5.4061320029986213</v>
      </c>
    </row>
    <row r="19" spans="2:35" outlineLevel="1">
      <c r="B19" s="71" t="s">
        <v>315</v>
      </c>
      <c r="C19" s="354"/>
      <c r="D19" s="354"/>
      <c r="E19" s="355"/>
      <c r="F19" s="36"/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1</v>
      </c>
      <c r="R19" s="6">
        <v>1</v>
      </c>
      <c r="S19" s="6">
        <v>1</v>
      </c>
      <c r="T19" s="6">
        <v>1</v>
      </c>
      <c r="U19" s="6">
        <v>1</v>
      </c>
      <c r="V19" s="6">
        <v>1</v>
      </c>
      <c r="W19" s="6">
        <v>1</v>
      </c>
      <c r="X19" s="6">
        <v>1</v>
      </c>
      <c r="Y19" s="248">
        <f t="shared" ca="1" si="2"/>
        <v>1.0452813141375545</v>
      </c>
      <c r="Z19" s="248">
        <f t="shared" ca="1" si="2"/>
        <v>1.0941926400293362</v>
      </c>
      <c r="AA19" s="248">
        <f t="shared" ca="1" si="2"/>
        <v>1.1509046445620568</v>
      </c>
      <c r="AB19" s="248">
        <f t="shared" ca="1" si="2"/>
        <v>1.3740126585126033</v>
      </c>
      <c r="AC19" s="248">
        <f t="shared" ca="1" si="2"/>
        <v>1.6004025542861449</v>
      </c>
      <c r="AD19" s="248">
        <f t="shared" ca="1" si="2"/>
        <v>1.8301110102842415</v>
      </c>
      <c r="AE19" s="248">
        <f t="shared" ca="1" si="2"/>
        <v>2.063175070478624</v>
      </c>
      <c r="AF19" s="248">
        <f t="shared" ca="1" si="2"/>
        <v>2.2996321478315891</v>
      </c>
      <c r="AG19" s="248">
        <f t="shared" ca="1" si="2"/>
        <v>2.5395200277471317</v>
      </c>
      <c r="AH19" s="248">
        <f t="shared" ca="1" si="2"/>
        <v>2.7828768715530918</v>
      </c>
      <c r="AI19" s="248">
        <f t="shared" ca="1" si="2"/>
        <v>2.9018796437728809</v>
      </c>
    </row>
    <row r="20" spans="2:35" outlineLevel="1">
      <c r="B20" s="71" t="s">
        <v>316</v>
      </c>
      <c r="C20" s="354"/>
      <c r="D20" s="354"/>
      <c r="E20" s="355"/>
      <c r="F20" s="36"/>
      <c r="H20" s="6">
        <v>1</v>
      </c>
      <c r="I20" s="6">
        <v>2</v>
      </c>
      <c r="J20" s="6">
        <v>2</v>
      </c>
      <c r="K20" s="6">
        <v>2</v>
      </c>
      <c r="L20" s="6">
        <v>2</v>
      </c>
      <c r="M20" s="6">
        <v>2</v>
      </c>
      <c r="N20" s="6">
        <v>2</v>
      </c>
      <c r="O20" s="6">
        <v>2</v>
      </c>
      <c r="P20" s="6">
        <v>2</v>
      </c>
      <c r="Q20" s="6">
        <v>2</v>
      </c>
      <c r="R20" s="6">
        <v>2</v>
      </c>
      <c r="S20" s="6">
        <v>2</v>
      </c>
      <c r="T20" s="6">
        <v>2</v>
      </c>
      <c r="U20" s="6">
        <v>2</v>
      </c>
      <c r="V20" s="6">
        <v>2</v>
      </c>
      <c r="W20" s="6">
        <v>2</v>
      </c>
      <c r="X20" s="6">
        <v>2</v>
      </c>
      <c r="Y20" s="248">
        <f t="shared" ca="1" si="2"/>
        <v>2.0905650376688487</v>
      </c>
      <c r="Z20" s="248">
        <f t="shared" ca="1" si="2"/>
        <v>2.1883878021939682</v>
      </c>
      <c r="AA20" s="248">
        <f t="shared" ca="1" si="2"/>
        <v>2.3018119419816818</v>
      </c>
      <c r="AB20" s="248">
        <f t="shared" ca="1" si="2"/>
        <v>2.3999152035841851</v>
      </c>
      <c r="AC20" s="248">
        <f t="shared" ca="1" si="2"/>
        <v>2.4993605371889993</v>
      </c>
      <c r="AD20" s="248">
        <f t="shared" ca="1" si="2"/>
        <v>2.6001625555676942</v>
      </c>
      <c r="AE20" s="248">
        <f t="shared" ca="1" si="2"/>
        <v>2.7023360151918618</v>
      </c>
      <c r="AF20" s="248">
        <f t="shared" ca="1" si="2"/>
        <v>2.8058958175666486</v>
      </c>
      <c r="AG20" s="248">
        <f t="shared" ca="1" si="2"/>
        <v>2.9108570105762057</v>
      </c>
      <c r="AH20" s="248">
        <f t="shared" ca="1" si="2"/>
        <v>3.0172347898411682</v>
      </c>
      <c r="AI20" s="248">
        <f t="shared" ca="1" si="2"/>
        <v>3.146259292541751</v>
      </c>
    </row>
    <row r="21" spans="2:35" outlineLevel="1">
      <c r="B21" s="71" t="s">
        <v>317</v>
      </c>
      <c r="C21" s="354"/>
      <c r="D21" s="354"/>
      <c r="E21" s="355"/>
      <c r="F21" s="36"/>
      <c r="H21" s="6">
        <v>1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1</v>
      </c>
      <c r="O21" s="6">
        <v>2</v>
      </c>
      <c r="P21" s="6">
        <v>2</v>
      </c>
      <c r="Q21" s="6">
        <v>2</v>
      </c>
      <c r="R21" s="6">
        <v>2</v>
      </c>
      <c r="S21" s="6">
        <v>2</v>
      </c>
      <c r="T21" s="6">
        <v>2</v>
      </c>
      <c r="U21" s="6">
        <v>2</v>
      </c>
      <c r="V21" s="6">
        <v>2</v>
      </c>
      <c r="W21" s="6">
        <v>2</v>
      </c>
      <c r="X21" s="6">
        <v>2</v>
      </c>
      <c r="Y21" s="248">
        <f t="shared" ref="Y21:AI36" ca="1" si="3">+Y91*Y144/1000</f>
        <v>2.090564766096636</v>
      </c>
      <c r="Z21" s="248">
        <f t="shared" ca="1" si="3"/>
        <v>2.1883875179142129</v>
      </c>
      <c r="AA21" s="248">
        <f t="shared" ca="1" si="3"/>
        <v>2.3018116429677065</v>
      </c>
      <c r="AB21" s="248">
        <f t="shared" ca="1" si="3"/>
        <v>2.4739668327603628</v>
      </c>
      <c r="AC21" s="248">
        <f t="shared" ca="1" si="3"/>
        <v>2.6485748734949883</v>
      </c>
      <c r="AD21" s="248">
        <f t="shared" ca="1" si="3"/>
        <v>2.8256628742062877</v>
      </c>
      <c r="AE21" s="248">
        <f t="shared" ca="1" si="3"/>
        <v>3.0052582125916198</v>
      </c>
      <c r="AF21" s="248">
        <f t="shared" ca="1" si="3"/>
        <v>3.1873885375160551</v>
      </c>
      <c r="AG21" s="248">
        <f t="shared" ca="1" si="3"/>
        <v>3.3720817715398983</v>
      </c>
      <c r="AH21" s="248">
        <f t="shared" ca="1" si="3"/>
        <v>3.5593661134688643</v>
      </c>
      <c r="AI21" s="248">
        <f t="shared" ca="1" si="3"/>
        <v>3.7115735068960767</v>
      </c>
    </row>
    <row r="22" spans="2:35" outlineLevel="1">
      <c r="B22" s="71" t="s">
        <v>318</v>
      </c>
      <c r="C22" s="354"/>
      <c r="D22" s="354"/>
      <c r="E22" s="355"/>
      <c r="F22" s="36"/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1</v>
      </c>
      <c r="R22" s="6">
        <v>1</v>
      </c>
      <c r="S22" s="6">
        <v>1</v>
      </c>
      <c r="T22" s="6">
        <v>1</v>
      </c>
      <c r="U22" s="6">
        <v>1</v>
      </c>
      <c r="V22" s="6">
        <v>4</v>
      </c>
      <c r="W22" s="6">
        <v>4</v>
      </c>
      <c r="X22" s="6">
        <v>5</v>
      </c>
      <c r="Y22" s="248">
        <f t="shared" ca="1" si="3"/>
        <v>5.2264063899265247</v>
      </c>
      <c r="Z22" s="248">
        <f t="shared" ca="1" si="3"/>
        <v>5.4709630109271608</v>
      </c>
      <c r="AA22" s="248">
        <f t="shared" ca="1" si="3"/>
        <v>5.7545230237835163</v>
      </c>
      <c r="AB22" s="248">
        <f t="shared" ca="1" si="3"/>
        <v>5.9997808866452642</v>
      </c>
      <c r="AC22" s="248">
        <f t="shared" ca="1" si="3"/>
        <v>6.2483939255298377</v>
      </c>
      <c r="AD22" s="248">
        <f t="shared" ca="1" si="3"/>
        <v>6.5003986723227927</v>
      </c>
      <c r="AE22" s="248">
        <f t="shared" ca="1" si="3"/>
        <v>6.7558320181593192</v>
      </c>
      <c r="AF22" s="248">
        <f t="shared" ca="1" si="3"/>
        <v>7.0147312167580669</v>
      </c>
      <c r="AG22" s="248">
        <f t="shared" ca="1" si="3"/>
        <v>7.2771338877847684</v>
      </c>
      <c r="AH22" s="248">
        <f t="shared" ca="1" si="3"/>
        <v>7.543078020245928</v>
      </c>
      <c r="AI22" s="248">
        <f t="shared" ca="1" si="3"/>
        <v>7.865638894086695</v>
      </c>
    </row>
    <row r="23" spans="2:35" outlineLevel="1">
      <c r="B23" s="71" t="s">
        <v>319</v>
      </c>
      <c r="C23" s="354"/>
      <c r="D23" s="354"/>
      <c r="E23" s="355"/>
      <c r="F23" s="36"/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1</v>
      </c>
      <c r="W23" s="6">
        <v>1</v>
      </c>
      <c r="X23" s="6">
        <v>1</v>
      </c>
      <c r="Y23" s="248">
        <f ca="1">+Y93*Y146/1000</f>
        <v>1.0452823377957006</v>
      </c>
      <c r="Z23" s="248">
        <f t="shared" ca="1" si="3"/>
        <v>1.094193711587006</v>
      </c>
      <c r="AA23" s="248">
        <f t="shared" ca="1" si="3"/>
        <v>1.1509057716585605</v>
      </c>
      <c r="AB23" s="248">
        <f t="shared" ca="1" si="3"/>
        <v>1.1999573939642767</v>
      </c>
      <c r="AC23" s="248">
        <f t="shared" ca="1" si="3"/>
        <v>1.2496800521549236</v>
      </c>
      <c r="AD23" s="248">
        <f t="shared" ca="1" si="3"/>
        <v>1.300081052615021</v>
      </c>
      <c r="AE23" s="248">
        <f t="shared" ca="1" si="3"/>
        <v>1.3511677735790877</v>
      </c>
      <c r="AF23" s="248">
        <f t="shared" ca="1" si="3"/>
        <v>1.4029476657984061</v>
      </c>
      <c r="AG23" s="248">
        <f t="shared" ca="1" si="3"/>
        <v>1.4554282532137512</v>
      </c>
      <c r="AH23" s="248">
        <f t="shared" ca="1" si="3"/>
        <v>1.5086171336341254</v>
      </c>
      <c r="AI23" s="248">
        <f t="shared" ca="1" si="3"/>
        <v>1.5731293738111547</v>
      </c>
    </row>
    <row r="24" spans="2:35" outlineLevel="1">
      <c r="B24" s="71" t="s">
        <v>320</v>
      </c>
      <c r="C24" s="354"/>
      <c r="D24" s="354"/>
      <c r="E24" s="355"/>
      <c r="F24" s="36"/>
      <c r="H24" s="6">
        <v>0</v>
      </c>
      <c r="I24" s="6">
        <v>3</v>
      </c>
      <c r="J24" s="6">
        <v>3</v>
      </c>
      <c r="K24" s="6">
        <v>4</v>
      </c>
      <c r="L24" s="6">
        <v>4</v>
      </c>
      <c r="M24" s="6">
        <v>4</v>
      </c>
      <c r="N24" s="6">
        <v>4</v>
      </c>
      <c r="O24" s="6">
        <v>4</v>
      </c>
      <c r="P24" s="6">
        <v>4</v>
      </c>
      <c r="Q24" s="6">
        <v>6</v>
      </c>
      <c r="R24" s="6">
        <v>6</v>
      </c>
      <c r="S24" s="6">
        <v>6</v>
      </c>
      <c r="T24" s="6">
        <v>6</v>
      </c>
      <c r="U24" s="6">
        <v>7</v>
      </c>
      <c r="V24" s="6">
        <v>7</v>
      </c>
      <c r="W24" s="6">
        <v>7</v>
      </c>
      <c r="X24" s="6">
        <v>7</v>
      </c>
      <c r="Y24" s="248">
        <f t="shared" ca="1" si="3"/>
        <v>7.3169701209504527</v>
      </c>
      <c r="Z24" s="248">
        <f t="shared" ca="1" si="3"/>
        <v>7.6593494453350264</v>
      </c>
      <c r="AA24" s="248">
        <f t="shared" ca="1" si="3"/>
        <v>8.0563335270867427</v>
      </c>
      <c r="AB24" s="248">
        <f t="shared" ca="1" si="3"/>
        <v>8.1465104667700015</v>
      </c>
      <c r="AC24" s="248">
        <f t="shared" ca="1" si="3"/>
        <v>8.2375868917876129</v>
      </c>
      <c r="AD24" s="248">
        <f t="shared" ca="1" si="3"/>
        <v>8.3295712219667326</v>
      </c>
      <c r="AE24" s="248">
        <f t="shared" ca="1" si="3"/>
        <v>8.4224719528358776</v>
      </c>
      <c r="AF24" s="248">
        <f t="shared" ca="1" si="3"/>
        <v>8.5162976562868238</v>
      </c>
      <c r="AG24" s="248">
        <f t="shared" ca="1" si="3"/>
        <v>8.6110569812421893</v>
      </c>
      <c r="AH24" s="248">
        <f t="shared" ca="1" si="3"/>
        <v>8.7067586543287199</v>
      </c>
      <c r="AI24" s="248">
        <f t="shared" ca="1" si="3"/>
        <v>9.0790814212844513</v>
      </c>
    </row>
    <row r="25" spans="2:35" outlineLevel="1">
      <c r="B25" s="71" t="s">
        <v>351</v>
      </c>
      <c r="C25" s="354"/>
      <c r="D25" s="354"/>
      <c r="E25" s="355"/>
      <c r="F25" s="36"/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1</v>
      </c>
      <c r="R25" s="6">
        <v>1</v>
      </c>
      <c r="S25" s="6">
        <v>3</v>
      </c>
      <c r="T25" s="6">
        <v>4</v>
      </c>
      <c r="U25" s="6">
        <v>4</v>
      </c>
      <c r="V25" s="6">
        <v>4</v>
      </c>
      <c r="W25" s="6">
        <v>4</v>
      </c>
      <c r="X25" s="6">
        <v>4</v>
      </c>
      <c r="Y25" s="248">
        <f t="shared" ca="1" si="3"/>
        <v>4.1811297791250297</v>
      </c>
      <c r="Z25" s="248">
        <f t="shared" ca="1" si="3"/>
        <v>4.3767752943147382</v>
      </c>
      <c r="AA25" s="248">
        <f t="shared" ca="1" si="3"/>
        <v>4.6036235578190707</v>
      </c>
      <c r="AB25" s="248">
        <f t="shared" ca="1" si="3"/>
        <v>4.7998300671238292</v>
      </c>
      <c r="AC25" s="248">
        <f t="shared" ca="1" si="3"/>
        <v>4.9987207202430399</v>
      </c>
      <c r="AD25" s="248">
        <f t="shared" ca="1" si="3"/>
        <v>5.2003247427177728</v>
      </c>
      <c r="AE25" s="248">
        <f t="shared" ca="1" si="3"/>
        <v>5.4046716474891205</v>
      </c>
      <c r="AF25" s="248">
        <f t="shared" ca="1" si="3"/>
        <v>5.6117912375652681</v>
      </c>
      <c r="AG25" s="248">
        <f t="shared" ca="1" si="3"/>
        <v>5.8217136087123897</v>
      </c>
      <c r="AH25" s="248">
        <f t="shared" ca="1" si="3"/>
        <v>6.0344691521696054</v>
      </c>
      <c r="AI25" s="248">
        <f t="shared" ca="1" si="3"/>
        <v>6.2925181392892586</v>
      </c>
    </row>
    <row r="26" spans="2:35" outlineLevel="1">
      <c r="B26" s="71" t="s">
        <v>321</v>
      </c>
      <c r="C26" s="354"/>
      <c r="D26" s="354"/>
      <c r="E26" s="355"/>
      <c r="F26" s="36"/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1</v>
      </c>
      <c r="V26" s="6">
        <v>1</v>
      </c>
      <c r="W26" s="6">
        <v>1</v>
      </c>
      <c r="X26" s="6">
        <v>1</v>
      </c>
      <c r="Y26" s="248">
        <f t="shared" ca="1" si="3"/>
        <v>1.0452837791887346</v>
      </c>
      <c r="Z26" s="248">
        <f t="shared" ca="1" si="3"/>
        <v>1.0941952204264234</v>
      </c>
      <c r="AA26" s="248">
        <f t="shared" ca="1" si="3"/>
        <v>1.1509073587011251</v>
      </c>
      <c r="AB26" s="248">
        <f t="shared" ca="1" si="3"/>
        <v>1.7707973019546075</v>
      </c>
      <c r="AC26" s="248">
        <f t="shared" ca="1" si="3"/>
        <v>2.3999208558179608</v>
      </c>
      <c r="AD26" s="248">
        <f t="shared" ca="1" si="3"/>
        <v>3.0383816556410248</v>
      </c>
      <c r="AE26" s="248">
        <f t="shared" ca="1" si="3"/>
        <v>3.6862843719132892</v>
      </c>
      <c r="AF26" s="248">
        <f t="shared" ca="1" si="3"/>
        <v>4.3437347199615051</v>
      </c>
      <c r="AG26" s="248">
        <f t="shared" ca="1" si="3"/>
        <v>5.0108394697345222</v>
      </c>
      <c r="AH26" s="248">
        <f t="shared" ca="1" si="3"/>
        <v>5.6877064556761372</v>
      </c>
      <c r="AI26" s="248">
        <f t="shared" ca="1" si="3"/>
        <v>5.9309270029869881</v>
      </c>
    </row>
    <row r="27" spans="2:35" outlineLevel="1">
      <c r="B27" s="71" t="s">
        <v>322</v>
      </c>
      <c r="C27" s="354"/>
      <c r="D27" s="354"/>
      <c r="E27" s="355"/>
      <c r="F27" s="36"/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2</v>
      </c>
      <c r="T27" s="6">
        <v>2</v>
      </c>
      <c r="U27" s="6">
        <v>2</v>
      </c>
      <c r="V27" s="6">
        <v>2</v>
      </c>
      <c r="W27" s="6">
        <v>2</v>
      </c>
      <c r="X27" s="6">
        <v>2</v>
      </c>
      <c r="Y27" s="248">
        <f t="shared" ca="1" si="3"/>
        <v>2.0905676614734383</v>
      </c>
      <c r="Z27" s="248">
        <f t="shared" ca="1" si="3"/>
        <v>2.1883905487729343</v>
      </c>
      <c r="AA27" s="248">
        <f t="shared" ca="1" si="3"/>
        <v>2.3018148309158355</v>
      </c>
      <c r="AB27" s="248">
        <f t="shared" ca="1" si="3"/>
        <v>2.5656732111939178</v>
      </c>
      <c r="AC27" s="248">
        <f t="shared" ca="1" si="3"/>
        <v>2.833359990091934</v>
      </c>
      <c r="AD27" s="248">
        <f t="shared" ca="1" si="3"/>
        <v>3.1049177515552935</v>
      </c>
      <c r="AE27" s="248">
        <f t="shared" ca="1" si="3"/>
        <v>3.3803895029411626</v>
      </c>
      <c r="AF27" s="248">
        <f t="shared" ca="1" si="3"/>
        <v>3.6598186789742955</v>
      </c>
      <c r="AG27" s="248">
        <f t="shared" ca="1" si="3"/>
        <v>3.943249145738386</v>
      </c>
      <c r="AH27" s="248">
        <f t="shared" ca="1" si="3"/>
        <v>4.2307252047032451</v>
      </c>
      <c r="AI27" s="248">
        <f t="shared" ca="1" si="3"/>
        <v>4.4116415912693681</v>
      </c>
    </row>
    <row r="28" spans="2:35" outlineLevel="1">
      <c r="B28" s="71" t="s">
        <v>323</v>
      </c>
      <c r="C28" s="354"/>
      <c r="D28" s="354"/>
      <c r="E28" s="355"/>
      <c r="F28" s="36"/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1</v>
      </c>
      <c r="N28" s="6">
        <v>1</v>
      </c>
      <c r="O28" s="6">
        <v>1</v>
      </c>
      <c r="P28" s="6">
        <v>1</v>
      </c>
      <c r="Q28" s="6">
        <v>1</v>
      </c>
      <c r="R28" s="6">
        <v>2</v>
      </c>
      <c r="S28" s="6">
        <v>2</v>
      </c>
      <c r="T28" s="6">
        <v>2</v>
      </c>
      <c r="U28" s="6">
        <v>2</v>
      </c>
      <c r="V28" s="6">
        <v>2</v>
      </c>
      <c r="W28" s="6">
        <v>3</v>
      </c>
      <c r="X28" s="6">
        <v>3</v>
      </c>
      <c r="Y28" s="248">
        <f t="shared" ca="1" si="3"/>
        <v>3.1358457383461178</v>
      </c>
      <c r="Z28" s="248">
        <f t="shared" ca="1" si="3"/>
        <v>3.2825798000576789</v>
      </c>
      <c r="AA28" s="248">
        <f t="shared" ca="1" si="3"/>
        <v>3.4527159110946681</v>
      </c>
      <c r="AB28" s="248">
        <f t="shared" ca="1" si="3"/>
        <v>3.5745722036886454</v>
      </c>
      <c r="AC28" s="248">
        <f t="shared" ca="1" si="3"/>
        <v>3.6980621254015347</v>
      </c>
      <c r="AD28" s="248">
        <f t="shared" ca="1" si="3"/>
        <v>3.8232033262536609</v>
      </c>
      <c r="AE28" s="248">
        <f t="shared" ca="1" si="3"/>
        <v>3.9500136291240162</v>
      </c>
      <c r="AF28" s="248">
        <f t="shared" ca="1" si="3"/>
        <v>4.0785110313503248</v>
      </c>
      <c r="AG28" s="248">
        <f t="shared" ca="1" si="3"/>
        <v>4.2087137063433921</v>
      </c>
      <c r="AH28" s="248">
        <f t="shared" ca="1" si="3"/>
        <v>4.3406400052158398</v>
      </c>
      <c r="AI28" s="248">
        <f t="shared" ca="1" si="3"/>
        <v>4.526256623438881</v>
      </c>
    </row>
    <row r="29" spans="2:35" outlineLevel="1">
      <c r="B29" s="71" t="s">
        <v>324</v>
      </c>
      <c r="C29" s="354"/>
      <c r="D29" s="354"/>
      <c r="E29" s="355"/>
      <c r="F29" s="36"/>
      <c r="H29" s="6">
        <v>0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>
        <v>1</v>
      </c>
      <c r="P29" s="6">
        <v>1</v>
      </c>
      <c r="Q29" s="6">
        <v>3</v>
      </c>
      <c r="R29" s="6">
        <v>3</v>
      </c>
      <c r="S29" s="6">
        <v>3</v>
      </c>
      <c r="T29" s="6">
        <v>3</v>
      </c>
      <c r="U29" s="6">
        <v>3</v>
      </c>
      <c r="V29" s="6">
        <v>3</v>
      </c>
      <c r="W29" s="6">
        <v>3</v>
      </c>
      <c r="X29" s="6">
        <v>3</v>
      </c>
      <c r="Y29" s="248">
        <f t="shared" ca="1" si="3"/>
        <v>3.1358471458439632</v>
      </c>
      <c r="Z29" s="248">
        <f t="shared" ca="1" si="3"/>
        <v>3.2825812734158673</v>
      </c>
      <c r="AA29" s="248">
        <f t="shared" ca="1" si="3"/>
        <v>3.4527174608170115</v>
      </c>
      <c r="AB29" s="248">
        <f t="shared" ca="1" si="3"/>
        <v>3.6268623410937102</v>
      </c>
      <c r="AC29" s="248">
        <f t="shared" ca="1" si="3"/>
        <v>3.8034251792173857</v>
      </c>
      <c r="AD29" s="248">
        <f t="shared" ca="1" si="3"/>
        <v>3.9824324489062271</v>
      </c>
      <c r="AE29" s="248">
        <f t="shared" ca="1" si="3"/>
        <v>4.1639108849740678</v>
      </c>
      <c r="AF29" s="248">
        <f t="shared" ca="1" si="3"/>
        <v>4.3478874857576741</v>
      </c>
      <c r="AG29" s="248">
        <f t="shared" ca="1" si="3"/>
        <v>4.5343895155657528</v>
      </c>
      <c r="AH29" s="248">
        <f t="shared" ca="1" si="3"/>
        <v>4.7234445071498792</v>
      </c>
      <c r="AI29" s="248">
        <f t="shared" ca="1" si="3"/>
        <v>4.9254308028868756</v>
      </c>
    </row>
    <row r="30" spans="2:35" outlineLevel="1">
      <c r="B30" s="71" t="s">
        <v>325</v>
      </c>
      <c r="C30" s="354"/>
      <c r="D30" s="354"/>
      <c r="E30" s="355"/>
      <c r="F30" s="36"/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248">
        <f t="shared" si="3"/>
        <v>0</v>
      </c>
      <c r="Z30" s="248">
        <f t="shared" si="3"/>
        <v>0</v>
      </c>
      <c r="AA30" s="248">
        <f t="shared" si="3"/>
        <v>0</v>
      </c>
      <c r="AB30" s="248">
        <f t="shared" ca="1" si="3"/>
        <v>0.20841655546639165</v>
      </c>
      <c r="AC30" s="248">
        <f t="shared" ca="1" si="3"/>
        <v>0.41995936127987166</v>
      </c>
      <c r="AD30" s="248">
        <f t="shared" ca="1" si="3"/>
        <v>0.63466358803022416</v>
      </c>
      <c r="AE30" s="248">
        <f t="shared" ca="1" si="3"/>
        <v>0.85256475753820649</v>
      </c>
      <c r="AF30" s="248">
        <f t="shared" ca="1" si="3"/>
        <v>1.0736987462691423</v>
      </c>
      <c r="AG30" s="248">
        <f t="shared" ca="1" si="3"/>
        <v>1.2981017888226627</v>
      </c>
      <c r="AH30" s="248">
        <f t="shared" ca="1" si="3"/>
        <v>1.5258104814600078</v>
      </c>
      <c r="AI30" s="248">
        <f t="shared" ca="1" si="3"/>
        <v>1.5910579521734414</v>
      </c>
    </row>
    <row r="31" spans="2:35" outlineLevel="1">
      <c r="B31" s="71" t="s">
        <v>326</v>
      </c>
      <c r="C31" s="354"/>
      <c r="D31" s="354"/>
      <c r="E31" s="355"/>
      <c r="F31" s="36"/>
      <c r="H31" s="6">
        <v>0</v>
      </c>
      <c r="I31" s="6">
        <v>0</v>
      </c>
      <c r="J31" s="6">
        <v>0</v>
      </c>
      <c r="K31" s="6">
        <v>1</v>
      </c>
      <c r="L31" s="6">
        <v>1</v>
      </c>
      <c r="M31" s="6">
        <v>1</v>
      </c>
      <c r="N31" s="6">
        <v>1</v>
      </c>
      <c r="O31" s="6">
        <v>1</v>
      </c>
      <c r="P31" s="6">
        <v>1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248">
        <f t="shared" ca="1" si="3"/>
        <v>1.0452819174021011</v>
      </c>
      <c r="Z31" s="248">
        <f t="shared" ca="1" si="3"/>
        <v>1.0941932715221387</v>
      </c>
      <c r="AA31" s="248">
        <f t="shared" ca="1" si="3"/>
        <v>1.1509053087851315</v>
      </c>
      <c r="AB31" s="248">
        <f t="shared" ca="1" si="3"/>
        <v>1.2169059819915533</v>
      </c>
      <c r="AC31" s="248">
        <f t="shared" ca="1" si="3"/>
        <v>1.2838319268724507</v>
      </c>
      <c r="AD31" s="248">
        <f t="shared" ca="1" si="3"/>
        <v>1.3516933099650728</v>
      </c>
      <c r="AE31" s="248">
        <f t="shared" ca="1" si="3"/>
        <v>1.4205003982581959</v>
      </c>
      <c r="AF31" s="248">
        <f t="shared" ca="1" si="3"/>
        <v>1.4902635601270291</v>
      </c>
      <c r="AG31" s="248">
        <f t="shared" ca="1" si="3"/>
        <v>1.560993266276492</v>
      </c>
      <c r="AH31" s="248">
        <f t="shared" ca="1" si="3"/>
        <v>1.6327000906929396</v>
      </c>
      <c r="AI31" s="248">
        <f t="shared" ca="1" si="3"/>
        <v>1.7025184283211967</v>
      </c>
    </row>
    <row r="32" spans="2:35" outlineLevel="1">
      <c r="B32" s="71" t="s">
        <v>327</v>
      </c>
      <c r="C32" s="354"/>
      <c r="D32" s="354"/>
      <c r="E32" s="355"/>
      <c r="F32" s="36"/>
      <c r="H32" s="6">
        <v>2</v>
      </c>
      <c r="I32" s="6">
        <v>2</v>
      </c>
      <c r="J32" s="6">
        <v>2</v>
      </c>
      <c r="K32" s="6">
        <v>2</v>
      </c>
      <c r="L32" s="6">
        <v>2</v>
      </c>
      <c r="M32" s="6">
        <v>2</v>
      </c>
      <c r="N32" s="6">
        <v>2</v>
      </c>
      <c r="O32" s="6">
        <v>2</v>
      </c>
      <c r="P32" s="6">
        <v>2</v>
      </c>
      <c r="Q32" s="6">
        <v>2</v>
      </c>
      <c r="R32" s="6">
        <v>3</v>
      </c>
      <c r="S32" s="6">
        <v>3</v>
      </c>
      <c r="T32" s="6">
        <v>3</v>
      </c>
      <c r="U32" s="6">
        <v>4</v>
      </c>
      <c r="V32" s="6">
        <v>4</v>
      </c>
      <c r="W32" s="6">
        <v>4</v>
      </c>
      <c r="X32" s="6">
        <v>4</v>
      </c>
      <c r="Y32" s="248">
        <f t="shared" ca="1" si="3"/>
        <v>4.181125349139994</v>
      </c>
      <c r="Z32" s="248">
        <f t="shared" ca="1" si="3"/>
        <v>4.3767706570396268</v>
      </c>
      <c r="AA32" s="248">
        <f t="shared" ca="1" si="3"/>
        <v>4.6036186801939909</v>
      </c>
      <c r="AB32" s="248">
        <f t="shared" ca="1" si="3"/>
        <v>4.7045068809976245</v>
      </c>
      <c r="AC32" s="248">
        <f t="shared" ca="1" si="3"/>
        <v>4.8066494512625511</v>
      </c>
      <c r="AD32" s="248">
        <f t="shared" ca="1" si="3"/>
        <v>4.910059531569396</v>
      </c>
      <c r="AE32" s="248">
        <f t="shared" ca="1" si="3"/>
        <v>5.0147503890492118</v>
      </c>
      <c r="AF32" s="248">
        <f t="shared" ca="1" si="3"/>
        <v>5.1207354185425729</v>
      </c>
      <c r="AG32" s="248">
        <f t="shared" ca="1" si="3"/>
        <v>5.2280281437689506</v>
      </c>
      <c r="AH32" s="248">
        <f t="shared" ca="1" si="3"/>
        <v>5.3366422185064319</v>
      </c>
      <c r="AI32" s="248">
        <f t="shared" ca="1" si="3"/>
        <v>5.5648503813753134</v>
      </c>
    </row>
    <row r="33" spans="2:35" outlineLevel="1">
      <c r="B33" s="71" t="s">
        <v>328</v>
      </c>
      <c r="C33" s="354"/>
      <c r="D33" s="354"/>
      <c r="E33" s="355"/>
      <c r="F33" s="36"/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1</v>
      </c>
      <c r="W33" s="6">
        <v>1</v>
      </c>
      <c r="X33" s="6">
        <v>1</v>
      </c>
      <c r="Y33" s="248">
        <f t="shared" ca="1" si="3"/>
        <v>1.0452816829015581</v>
      </c>
      <c r="Z33" s="248">
        <f t="shared" ca="1" si="3"/>
        <v>1.0941930260487294</v>
      </c>
      <c r="AA33" s="248">
        <f t="shared" ca="1" si="3"/>
        <v>1.150905050588835</v>
      </c>
      <c r="AB33" s="248">
        <f t="shared" ca="1" si="3"/>
        <v>1.1999566421625529</v>
      </c>
      <c r="AC33" s="248">
        <f t="shared" ca="1" si="3"/>
        <v>1.2496792692007803</v>
      </c>
      <c r="AD33" s="248">
        <f t="shared" ca="1" si="3"/>
        <v>1.3000802380834584</v>
      </c>
      <c r="AE33" s="248">
        <f t="shared" ca="1" si="3"/>
        <v>1.3511669270404831</v>
      </c>
      <c r="AF33" s="248">
        <f t="shared" ca="1" si="3"/>
        <v>1.4029467868184704</v>
      </c>
      <c r="AG33" s="248">
        <f t="shared" ca="1" si="3"/>
        <v>1.4554273413534811</v>
      </c>
      <c r="AH33" s="248">
        <f t="shared" ca="1" si="3"/>
        <v>1.5086161884497584</v>
      </c>
      <c r="AI33" s="248">
        <f t="shared" ca="1" si="3"/>
        <v>1.5731283882083411</v>
      </c>
    </row>
    <row r="34" spans="2:35" outlineLevel="1">
      <c r="B34" s="71" t="s">
        <v>329</v>
      </c>
      <c r="C34" s="354"/>
      <c r="D34" s="354"/>
      <c r="E34" s="355"/>
      <c r="F34" s="36"/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1</v>
      </c>
      <c r="T34" s="6">
        <v>2</v>
      </c>
      <c r="U34" s="6">
        <v>2</v>
      </c>
      <c r="V34" s="6">
        <v>2</v>
      </c>
      <c r="W34" s="6">
        <v>2</v>
      </c>
      <c r="X34" s="6">
        <v>2</v>
      </c>
      <c r="Y34" s="248">
        <f t="shared" ca="1" si="3"/>
        <v>2.0905654693638387</v>
      </c>
      <c r="Z34" s="248">
        <f t="shared" ca="1" si="3"/>
        <v>2.188388254089046</v>
      </c>
      <c r="AA34" s="248">
        <f t="shared" ca="1" si="3"/>
        <v>2.3018124172984815</v>
      </c>
      <c r="AB34" s="248">
        <f t="shared" ca="1" si="3"/>
        <v>2.6162326110522041</v>
      </c>
      <c r="AC34" s="248">
        <f t="shared" ca="1" si="3"/>
        <v>2.9352396307637636</v>
      </c>
      <c r="AD34" s="248">
        <f t="shared" ca="1" si="3"/>
        <v>3.2588845926866292</v>
      </c>
      <c r="AE34" s="248">
        <f t="shared" ca="1" si="3"/>
        <v>3.5872191218091118</v>
      </c>
      <c r="AF34" s="248">
        <f t="shared" ca="1" si="3"/>
        <v>3.9202953566100969</v>
      </c>
      <c r="AG34" s="248">
        <f t="shared" ca="1" si="3"/>
        <v>4.2581659538574961</v>
      </c>
      <c r="AH34" s="248">
        <f t="shared" ca="1" si="3"/>
        <v>4.6008840934497979</v>
      </c>
      <c r="AI34" s="248">
        <f t="shared" ca="1" si="3"/>
        <v>4.7976293994959445</v>
      </c>
    </row>
    <row r="35" spans="2:35" outlineLevel="1">
      <c r="B35" s="71" t="s">
        <v>330</v>
      </c>
      <c r="C35" s="354"/>
      <c r="D35" s="354"/>
      <c r="E35" s="355"/>
      <c r="F35" s="36"/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6">
        <v>1</v>
      </c>
      <c r="P35" s="6">
        <v>1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2</v>
      </c>
      <c r="W35" s="6">
        <v>2</v>
      </c>
      <c r="X35" s="6">
        <v>2</v>
      </c>
      <c r="Y35" s="248">
        <f t="shared" ca="1" si="3"/>
        <v>2.0905632562061056</v>
      </c>
      <c r="Z35" s="248">
        <f t="shared" ca="1" si="3"/>
        <v>2.1883859373721295</v>
      </c>
      <c r="AA35" s="248">
        <f t="shared" ca="1" si="3"/>
        <v>2.301809980506127</v>
      </c>
      <c r="AB35" s="248">
        <f t="shared" ca="1" si="3"/>
        <v>2.3999131585105471</v>
      </c>
      <c r="AC35" s="248">
        <f t="shared" ca="1" si="3"/>
        <v>2.4993584073736255</v>
      </c>
      <c r="AD35" s="248">
        <f t="shared" ca="1" si="3"/>
        <v>2.600160339854479</v>
      </c>
      <c r="AE35" s="248">
        <f t="shared" ca="1" si="3"/>
        <v>2.7023337124121256</v>
      </c>
      <c r="AF35" s="248">
        <f t="shared" ca="1" si="3"/>
        <v>2.8058934265390176</v>
      </c>
      <c r="AG35" s="248">
        <f t="shared" ca="1" si="3"/>
        <v>2.9108545301064876</v>
      </c>
      <c r="AH35" s="248">
        <f t="shared" ca="1" si="3"/>
        <v>3.0172322187222265</v>
      </c>
      <c r="AI35" s="248">
        <f t="shared" ca="1" si="3"/>
        <v>3.1462566114753363</v>
      </c>
    </row>
    <row r="36" spans="2:35" outlineLevel="1">
      <c r="B36" s="71" t="s">
        <v>331</v>
      </c>
      <c r="C36" s="354"/>
      <c r="D36" s="354"/>
      <c r="E36" s="355"/>
      <c r="F36" s="36"/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2</v>
      </c>
      <c r="U36" s="6">
        <v>2</v>
      </c>
      <c r="V36" s="6">
        <v>3</v>
      </c>
      <c r="W36" s="6">
        <v>3</v>
      </c>
      <c r="X36" s="6">
        <v>3</v>
      </c>
      <c r="Y36" s="248">
        <f t="shared" ca="1" si="3"/>
        <v>3.1358510937692547</v>
      </c>
      <c r="Z36" s="248">
        <f t="shared" ca="1" si="3"/>
        <v>3.2825854060744533</v>
      </c>
      <c r="AA36" s="248">
        <f t="shared" ca="1" si="3"/>
        <v>3.4527218076712924</v>
      </c>
      <c r="AB36" s="248">
        <f t="shared" ca="1" si="3"/>
        <v>4.1242508973365695</v>
      </c>
      <c r="AC36" s="248">
        <f t="shared" ca="1" si="3"/>
        <v>4.8056587077451551</v>
      </c>
      <c r="AD36" s="248">
        <f t="shared" ca="1" si="3"/>
        <v>5.4970556461969053</v>
      </c>
      <c r="AE36" s="248">
        <f t="shared" ca="1" si="3"/>
        <v>6.1985532204231326</v>
      </c>
      <c r="AF36" s="248">
        <f t="shared" ca="1" si="3"/>
        <v>6.9102640488826639</v>
      </c>
      <c r="AG36" s="248">
        <f t="shared" ca="1" si="3"/>
        <v>7.6323018711504416</v>
      </c>
      <c r="AH36" s="248">
        <f t="shared" ca="1" si="3"/>
        <v>8.3647815583994873</v>
      </c>
      <c r="AI36" s="248">
        <f t="shared" ca="1" si="3"/>
        <v>8.7224805297905466</v>
      </c>
    </row>
    <row r="37" spans="2:35" outlineLevel="1">
      <c r="B37" s="71" t="s">
        <v>332</v>
      </c>
      <c r="C37" s="354"/>
      <c r="D37" s="354"/>
      <c r="E37" s="355"/>
      <c r="F37" s="36"/>
      <c r="H37" s="6">
        <v>6</v>
      </c>
      <c r="I37" s="6">
        <v>6</v>
      </c>
      <c r="J37" s="6">
        <v>6</v>
      </c>
      <c r="K37" s="6">
        <v>7</v>
      </c>
      <c r="L37" s="6">
        <v>8</v>
      </c>
      <c r="M37" s="6">
        <v>8</v>
      </c>
      <c r="N37" s="6">
        <v>8</v>
      </c>
      <c r="O37" s="6">
        <v>8</v>
      </c>
      <c r="P37" s="6">
        <v>8</v>
      </c>
      <c r="Q37" s="6">
        <v>8</v>
      </c>
      <c r="R37" s="6">
        <v>9</v>
      </c>
      <c r="S37" s="6">
        <v>9</v>
      </c>
      <c r="T37" s="6">
        <v>9</v>
      </c>
      <c r="U37" s="6">
        <v>9</v>
      </c>
      <c r="V37" s="6">
        <v>11</v>
      </c>
      <c r="W37" s="6">
        <v>11</v>
      </c>
      <c r="X37" s="6">
        <v>11</v>
      </c>
      <c r="Y37" s="248">
        <f t="shared" ref="Y37:AI52" ca="1" si="4">+Y107*Y160/1000</f>
        <v>11.498097529993945</v>
      </c>
      <c r="Z37" s="248">
        <f t="shared" ca="1" si="4"/>
        <v>12.036122258666188</v>
      </c>
      <c r="AA37" s="248">
        <f t="shared" ca="1" si="4"/>
        <v>12.659954475332857</v>
      </c>
      <c r="AB37" s="248">
        <f t="shared" ca="1" si="4"/>
        <v>13.199521936565391</v>
      </c>
      <c r="AC37" s="248">
        <f t="shared" ca="1" si="4"/>
        <v>13.746470787277161</v>
      </c>
      <c r="AD37" s="248">
        <f t="shared" ca="1" si="4"/>
        <v>14.30088139764065</v>
      </c>
      <c r="AE37" s="248">
        <f t="shared" ca="1" si="4"/>
        <v>14.862834928177788</v>
      </c>
      <c r="AF37" s="248">
        <f t="shared" ca="1" si="4"/>
        <v>15.432413337094349</v>
      </c>
      <c r="AG37" s="248">
        <f t="shared" ca="1" si="4"/>
        <v>16.009699387679944</v>
      </c>
      <c r="AH37" s="248">
        <f t="shared" ca="1" si="4"/>
        <v>16.594776655774112</v>
      </c>
      <c r="AI37" s="248">
        <f t="shared" ca="1" si="4"/>
        <v>17.304410792516649</v>
      </c>
    </row>
    <row r="38" spans="2:35" outlineLevel="1">
      <c r="B38" s="71" t="s">
        <v>333</v>
      </c>
      <c r="C38" s="354"/>
      <c r="D38" s="354"/>
      <c r="E38" s="355"/>
      <c r="F38" s="36"/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248">
        <f t="shared" si="4"/>
        <v>0</v>
      </c>
      <c r="Z38" s="248">
        <f t="shared" si="4"/>
        <v>0</v>
      </c>
      <c r="AA38" s="248">
        <f t="shared" si="4"/>
        <v>0</v>
      </c>
      <c r="AB38" s="248">
        <f t="shared" si="4"/>
        <v>0</v>
      </c>
      <c r="AC38" s="248">
        <f t="shared" si="4"/>
        <v>0</v>
      </c>
      <c r="AD38" s="248">
        <f t="shared" si="4"/>
        <v>0</v>
      </c>
      <c r="AE38" s="248">
        <f t="shared" ca="1" si="4"/>
        <v>7.1742431470557075E-2</v>
      </c>
      <c r="AF38" s="248">
        <f t="shared" ca="1" si="4"/>
        <v>0.14456099941317255</v>
      </c>
      <c r="AG38" s="248">
        <f t="shared" ca="1" si="4"/>
        <v>0.21846781036315702</v>
      </c>
      <c r="AH38" s="248">
        <f t="shared" ca="1" si="4"/>
        <v>0.29347509192117427</v>
      </c>
      <c r="AI38" s="248">
        <f t="shared" ca="1" si="4"/>
        <v>0.30602482053945346</v>
      </c>
    </row>
    <row r="39" spans="2:35" outlineLevel="1">
      <c r="B39" s="71" t="s">
        <v>334</v>
      </c>
      <c r="C39" s="354"/>
      <c r="D39" s="354"/>
      <c r="E39" s="355"/>
      <c r="F39" s="36"/>
      <c r="H39" s="6">
        <v>0</v>
      </c>
      <c r="I39" s="6">
        <v>0</v>
      </c>
      <c r="J39" s="6">
        <v>2</v>
      </c>
      <c r="K39" s="6">
        <v>2</v>
      </c>
      <c r="L39" s="6">
        <v>2</v>
      </c>
      <c r="M39" s="6">
        <v>2</v>
      </c>
      <c r="N39" s="6">
        <v>4</v>
      </c>
      <c r="O39" s="6">
        <v>4</v>
      </c>
      <c r="P39" s="6">
        <v>4</v>
      </c>
      <c r="Q39" s="6">
        <v>4</v>
      </c>
      <c r="R39" s="6">
        <v>5</v>
      </c>
      <c r="S39" s="6">
        <v>5</v>
      </c>
      <c r="T39" s="6">
        <v>5</v>
      </c>
      <c r="U39" s="6">
        <v>5</v>
      </c>
      <c r="V39" s="6">
        <v>5</v>
      </c>
      <c r="W39" s="6">
        <v>5</v>
      </c>
      <c r="X39" s="6">
        <v>5</v>
      </c>
      <c r="Y39" s="248">
        <f t="shared" ca="1" si="4"/>
        <v>5.2264115973744074</v>
      </c>
      <c r="Z39" s="248">
        <f t="shared" ca="1" si="4"/>
        <v>5.4709684620445493</v>
      </c>
      <c r="AA39" s="248">
        <f t="shared" ca="1" si="4"/>
        <v>5.7545287574323183</v>
      </c>
      <c r="AB39" s="248">
        <f t="shared" ca="1" si="4"/>
        <v>6.1868124077269355</v>
      </c>
      <c r="AC39" s="248">
        <f t="shared" ca="1" si="4"/>
        <v>6.6252566205333725</v>
      </c>
      <c r="AD39" s="248">
        <f t="shared" ca="1" si="4"/>
        <v>7.0699294883339769</v>
      </c>
      <c r="AE39" s="248">
        <f t="shared" ca="1" si="4"/>
        <v>7.5208997784666911</v>
      </c>
      <c r="AF39" s="248">
        <f t="shared" ca="1" si="4"/>
        <v>7.9782369394176786</v>
      </c>
      <c r="AG39" s="248">
        <f t="shared" ca="1" si="4"/>
        <v>8.442011107170396</v>
      </c>
      <c r="AH39" s="248">
        <f t="shared" ca="1" si="4"/>
        <v>8.9122931116115609</v>
      </c>
      <c r="AI39" s="248">
        <f t="shared" ca="1" si="4"/>
        <v>9.2934050457968489</v>
      </c>
    </row>
    <row r="40" spans="2:35" outlineLevel="1">
      <c r="B40" s="71" t="s">
        <v>335</v>
      </c>
      <c r="C40" s="354"/>
      <c r="D40" s="354"/>
      <c r="E40" s="355"/>
      <c r="F40" s="36"/>
      <c r="H40" s="6">
        <v>0</v>
      </c>
      <c r="I40" s="6">
        <v>0</v>
      </c>
      <c r="J40" s="6">
        <v>1</v>
      </c>
      <c r="K40" s="6">
        <v>1</v>
      </c>
      <c r="L40" s="6">
        <v>2</v>
      </c>
      <c r="M40" s="6">
        <v>2</v>
      </c>
      <c r="N40" s="6">
        <v>2</v>
      </c>
      <c r="O40" s="6">
        <v>2</v>
      </c>
      <c r="P40" s="6">
        <v>2</v>
      </c>
      <c r="Q40" s="6">
        <v>2</v>
      </c>
      <c r="R40" s="6">
        <v>2</v>
      </c>
      <c r="S40" s="6">
        <v>2</v>
      </c>
      <c r="T40" s="6">
        <v>2</v>
      </c>
      <c r="U40" s="6">
        <v>2</v>
      </c>
      <c r="V40" s="6">
        <v>3</v>
      </c>
      <c r="W40" s="6">
        <v>3</v>
      </c>
      <c r="X40" s="6">
        <v>3</v>
      </c>
      <c r="Y40" s="248">
        <f t="shared" ca="1" si="4"/>
        <v>3.1358460660873155</v>
      </c>
      <c r="Z40" s="248">
        <f t="shared" ca="1" si="4"/>
        <v>3.2825801431347061</v>
      </c>
      <c r="AA40" s="248">
        <f t="shared" ca="1" si="4"/>
        <v>3.4527162719533786</v>
      </c>
      <c r="AB40" s="248">
        <f t="shared" ca="1" si="4"/>
        <v>3.5998710944168861</v>
      </c>
      <c r="AC40" s="248">
        <f t="shared" ca="1" si="4"/>
        <v>3.7490390239270566</v>
      </c>
      <c r="AD40" s="248">
        <f t="shared" ca="1" si="4"/>
        <v>3.9002419796308283</v>
      </c>
      <c r="AE40" s="248">
        <f t="shared" ca="1" si="4"/>
        <v>4.0535020962250687</v>
      </c>
      <c r="AF40" s="248">
        <f t="shared" ca="1" si="4"/>
        <v>4.2088417259568764</v>
      </c>
      <c r="AG40" s="248">
        <f t="shared" ca="1" si="4"/>
        <v>4.3662834406417526</v>
      </c>
      <c r="AH40" s="248">
        <f t="shared" ca="1" si="4"/>
        <v>4.5258500336998146</v>
      </c>
      <c r="AI40" s="248">
        <f t="shared" ca="1" si="4"/>
        <v>4.7193866957659028</v>
      </c>
    </row>
    <row r="41" spans="2:35" outlineLevel="1">
      <c r="B41" s="71" t="s">
        <v>336</v>
      </c>
      <c r="C41" s="354"/>
      <c r="D41" s="354"/>
      <c r="E41" s="355"/>
      <c r="F41" s="36"/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2</v>
      </c>
      <c r="S41" s="6">
        <v>2</v>
      </c>
      <c r="T41" s="6">
        <v>2</v>
      </c>
      <c r="U41" s="6">
        <v>2</v>
      </c>
      <c r="V41" s="6">
        <v>2</v>
      </c>
      <c r="W41" s="6">
        <v>3</v>
      </c>
      <c r="X41" s="6">
        <v>3</v>
      </c>
      <c r="Y41" s="248">
        <f t="shared" ca="1" si="4"/>
        <v>3.1358470809555752</v>
      </c>
      <c r="Z41" s="248">
        <f t="shared" ca="1" si="4"/>
        <v>3.2825812054911889</v>
      </c>
      <c r="AA41" s="248">
        <f t="shared" ca="1" si="4"/>
        <v>3.4527173893717977</v>
      </c>
      <c r="AB41" s="248">
        <f t="shared" ca="1" si="4"/>
        <v>3.5998722594597208</v>
      </c>
      <c r="AC41" s="248">
        <f t="shared" ca="1" si="4"/>
        <v>3.7490402372458096</v>
      </c>
      <c r="AD41" s="248">
        <f t="shared" ca="1" si="4"/>
        <v>3.9002432418840942</v>
      </c>
      <c r="AE41" s="248">
        <f t="shared" ca="1" si="4"/>
        <v>4.0535034080786065</v>
      </c>
      <c r="AF41" s="248">
        <f t="shared" ca="1" si="4"/>
        <v>4.2088430880836798</v>
      </c>
      <c r="AG41" s="248">
        <f t="shared" ca="1" si="4"/>
        <v>4.3662848537221235</v>
      </c>
      <c r="AH41" s="248">
        <f t="shared" ca="1" si="4"/>
        <v>4.5258514984214413</v>
      </c>
      <c r="AI41" s="248">
        <f t="shared" ca="1" si="4"/>
        <v>4.7193882231226878</v>
      </c>
    </row>
    <row r="42" spans="2:35" outlineLevel="1">
      <c r="B42" s="71" t="s">
        <v>337</v>
      </c>
      <c r="C42" s="354"/>
      <c r="D42" s="354"/>
      <c r="E42" s="355"/>
      <c r="F42" s="36"/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3</v>
      </c>
      <c r="S42" s="6">
        <v>3</v>
      </c>
      <c r="T42" s="6">
        <v>3</v>
      </c>
      <c r="U42" s="6">
        <v>4</v>
      </c>
      <c r="V42" s="6">
        <v>4</v>
      </c>
      <c r="W42" s="6">
        <v>4</v>
      </c>
      <c r="X42" s="6">
        <v>5</v>
      </c>
      <c r="Y42" s="248">
        <f t="shared" ca="1" si="4"/>
        <v>5.2264083277718072</v>
      </c>
      <c r="Z42" s="248">
        <f t="shared" ca="1" si="4"/>
        <v>5.4709650394490703</v>
      </c>
      <c r="AA42" s="248">
        <f t="shared" ca="1" si="4"/>
        <v>5.754525157443716</v>
      </c>
      <c r="AB42" s="248">
        <f t="shared" ca="1" si="4"/>
        <v>6.1760481724464942</v>
      </c>
      <c r="AC42" s="248">
        <f t="shared" ca="1" si="4"/>
        <v>6.603570340634211</v>
      </c>
      <c r="AD42" s="248">
        <f t="shared" ca="1" si="4"/>
        <v>7.0371579386350431</v>
      </c>
      <c r="AE42" s="248">
        <f t="shared" ca="1" si="4"/>
        <v>7.4768778997742293</v>
      </c>
      <c r="AF42" s="248">
        <f t="shared" ca="1" si="4"/>
        <v>7.9227978201964548</v>
      </c>
      <c r="AG42" s="248">
        <f t="shared" ca="1" si="4"/>
        <v>8.3749859650431535</v>
      </c>
      <c r="AH42" s="248">
        <f t="shared" ca="1" si="4"/>
        <v>8.8335112746851667</v>
      </c>
      <c r="AI42" s="248">
        <f t="shared" ca="1" si="4"/>
        <v>9.2112543005688892</v>
      </c>
    </row>
    <row r="43" spans="2:35" outlineLevel="1">
      <c r="B43" s="71" t="s">
        <v>338</v>
      </c>
      <c r="C43" s="354"/>
      <c r="D43" s="354"/>
      <c r="E43" s="355"/>
      <c r="F43" s="36"/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1</v>
      </c>
      <c r="T43" s="6">
        <v>1</v>
      </c>
      <c r="U43" s="6">
        <v>1</v>
      </c>
      <c r="V43" s="6">
        <v>1</v>
      </c>
      <c r="W43" s="6">
        <v>1</v>
      </c>
      <c r="X43" s="6">
        <v>1</v>
      </c>
      <c r="Y43" s="248">
        <f t="shared" ca="1" si="4"/>
        <v>1.0452815907041064</v>
      </c>
      <c r="Z43" s="248">
        <f t="shared" ca="1" si="4"/>
        <v>1.0941929295371282</v>
      </c>
      <c r="AA43" s="248">
        <f t="shared" ca="1" si="4"/>
        <v>1.1509049490750378</v>
      </c>
      <c r="AB43" s="248">
        <f t="shared" ca="1" si="4"/>
        <v>1.1999565363222344</v>
      </c>
      <c r="AC43" s="248">
        <f t="shared" ca="1" si="4"/>
        <v>1.2496791589747531</v>
      </c>
      <c r="AD43" s="248">
        <f t="shared" ca="1" si="4"/>
        <v>1.3000801234118915</v>
      </c>
      <c r="AE43" s="248">
        <f t="shared" ca="1" si="4"/>
        <v>1.3511668078628942</v>
      </c>
      <c r="AF43" s="248">
        <f t="shared" ca="1" si="4"/>
        <v>1.4029466630737204</v>
      </c>
      <c r="AG43" s="248">
        <f t="shared" ca="1" si="4"/>
        <v>1.4554272129797661</v>
      </c>
      <c r="AH43" s="248">
        <f t="shared" ca="1" si="4"/>
        <v>1.5086160553846051</v>
      </c>
      <c r="AI43" s="248">
        <f t="shared" ca="1" si="4"/>
        <v>1.5731282494529892</v>
      </c>
    </row>
    <row r="44" spans="2:35" outlineLevel="1">
      <c r="B44" s="71" t="s">
        <v>339</v>
      </c>
      <c r="C44" s="354"/>
      <c r="D44" s="354"/>
      <c r="E44" s="355"/>
      <c r="F44" s="36"/>
      <c r="H44" s="6">
        <v>2</v>
      </c>
      <c r="I44" s="6">
        <v>2</v>
      </c>
      <c r="J44" s="6">
        <v>2</v>
      </c>
      <c r="K44" s="6">
        <v>2</v>
      </c>
      <c r="L44" s="6">
        <v>3</v>
      </c>
      <c r="M44" s="6">
        <v>3</v>
      </c>
      <c r="N44" s="6">
        <v>3</v>
      </c>
      <c r="O44" s="6">
        <v>3</v>
      </c>
      <c r="P44" s="6">
        <v>3</v>
      </c>
      <c r="Q44" s="6">
        <v>3</v>
      </c>
      <c r="R44" s="6">
        <v>3</v>
      </c>
      <c r="S44" s="6">
        <v>3</v>
      </c>
      <c r="T44" s="6">
        <v>3</v>
      </c>
      <c r="U44" s="6">
        <v>4</v>
      </c>
      <c r="V44" s="6">
        <v>4</v>
      </c>
      <c r="W44" s="6">
        <v>4</v>
      </c>
      <c r="X44" s="6">
        <v>4</v>
      </c>
      <c r="Y44" s="248">
        <f t="shared" ca="1" si="4"/>
        <v>4.1811269595867984</v>
      </c>
      <c r="Z44" s="248">
        <f t="shared" ca="1" si="4"/>
        <v>4.3767723428432639</v>
      </c>
      <c r="AA44" s="248">
        <f t="shared" ca="1" si="4"/>
        <v>4.6036204533728293</v>
      </c>
      <c r="AB44" s="248">
        <f t="shared" ca="1" si="4"/>
        <v>4.7998268303660572</v>
      </c>
      <c r="AC44" s="248">
        <f t="shared" ca="1" si="4"/>
        <v>4.9987173493636829</v>
      </c>
      <c r="AD44" s="248">
        <f t="shared" ca="1" si="4"/>
        <v>5.200321235887067</v>
      </c>
      <c r="AE44" s="248">
        <f t="shared" ca="1" si="4"/>
        <v>5.4046680028574023</v>
      </c>
      <c r="AF44" s="248">
        <f t="shared" ca="1" si="4"/>
        <v>5.6117874532627745</v>
      </c>
      <c r="AG44" s="248">
        <f t="shared" ca="1" si="4"/>
        <v>5.8217096828490664</v>
      </c>
      <c r="AH44" s="248">
        <f t="shared" ca="1" si="4"/>
        <v>6.0344650828349096</v>
      </c>
      <c r="AI44" s="248">
        <f t="shared" ca="1" si="4"/>
        <v>6.2925138959396376</v>
      </c>
    </row>
    <row r="45" spans="2:35" outlineLevel="1">
      <c r="B45" s="71" t="s">
        <v>340</v>
      </c>
      <c r="C45" s="354"/>
      <c r="D45" s="354"/>
      <c r="E45" s="355"/>
      <c r="F45" s="36"/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248">
        <f t="shared" si="4"/>
        <v>0</v>
      </c>
      <c r="Z45" s="248">
        <f t="shared" si="4"/>
        <v>0</v>
      </c>
      <c r="AA45" s="248">
        <f t="shared" si="4"/>
        <v>0</v>
      </c>
      <c r="AB45" s="248">
        <f t="shared" si="4"/>
        <v>0</v>
      </c>
      <c r="AC45" s="248">
        <f t="shared" si="4"/>
        <v>0</v>
      </c>
      <c r="AD45" s="248">
        <f t="shared" ca="1" si="4"/>
        <v>7.397404823983357E-2</v>
      </c>
      <c r="AE45" s="248">
        <f t="shared" ca="1" si="4"/>
        <v>0.14905770720326464</v>
      </c>
      <c r="AF45" s="248">
        <f t="shared" ca="1" si="4"/>
        <v>0.22526346001093372</v>
      </c>
      <c r="AG45" s="248">
        <f t="shared" ca="1" si="4"/>
        <v>0.30260391461468761</v>
      </c>
      <c r="AH45" s="248">
        <f t="shared" ca="1" si="4"/>
        <v>0.38109180496787221</v>
      </c>
      <c r="AI45" s="248">
        <f t="shared" ca="1" si="4"/>
        <v>0.39738824327781075</v>
      </c>
    </row>
    <row r="46" spans="2:35" outlineLevel="1">
      <c r="B46" s="71" t="s">
        <v>341</v>
      </c>
      <c r="C46" s="354"/>
      <c r="D46" s="354"/>
      <c r="E46" s="355"/>
      <c r="F46" s="36"/>
      <c r="H46" s="6">
        <v>3</v>
      </c>
      <c r="I46" s="6">
        <v>4</v>
      </c>
      <c r="J46" s="6">
        <v>4</v>
      </c>
      <c r="K46" s="6">
        <v>4</v>
      </c>
      <c r="L46" s="6">
        <v>4</v>
      </c>
      <c r="M46" s="6">
        <v>4</v>
      </c>
      <c r="N46" s="6">
        <v>4</v>
      </c>
      <c r="O46" s="6">
        <v>5</v>
      </c>
      <c r="P46" s="6">
        <v>6</v>
      </c>
      <c r="Q46" s="6">
        <v>7</v>
      </c>
      <c r="R46" s="6">
        <v>7</v>
      </c>
      <c r="S46" s="6">
        <v>7</v>
      </c>
      <c r="T46" s="6">
        <v>8</v>
      </c>
      <c r="U46" s="6">
        <v>8</v>
      </c>
      <c r="V46" s="6">
        <v>8</v>
      </c>
      <c r="W46" s="6">
        <v>10</v>
      </c>
      <c r="X46" s="6">
        <v>10</v>
      </c>
      <c r="Y46" s="248">
        <f t="shared" ca="1" si="4"/>
        <v>10.452814962431255</v>
      </c>
      <c r="Z46" s="248">
        <f t="shared" ca="1" si="4"/>
        <v>10.94192830656082</v>
      </c>
      <c r="AA46" s="248">
        <f t="shared" ca="1" si="4"/>
        <v>11.509048450689868</v>
      </c>
      <c r="AB46" s="248">
        <f t="shared" ca="1" si="4"/>
        <v>11.574729689936692</v>
      </c>
      <c r="AC46" s="248">
        <f t="shared" ca="1" si="4"/>
        <v>11.640748763796868</v>
      </c>
      <c r="AD46" s="248">
        <f t="shared" ca="1" si="4"/>
        <v>11.707107045219891</v>
      </c>
      <c r="AE46" s="248">
        <f t="shared" ca="1" si="4"/>
        <v>11.773805908746295</v>
      </c>
      <c r="AF46" s="248">
        <f t="shared" ca="1" si="4"/>
        <v>11.840846730454304</v>
      </c>
      <c r="AG46" s="248">
        <f t="shared" ca="1" si="4"/>
        <v>11.908230887905569</v>
      </c>
      <c r="AH46" s="248">
        <f t="shared" ca="1" si="4"/>
        <v>11.975959760090012</v>
      </c>
      <c r="AI46" s="248">
        <f t="shared" ca="1" si="4"/>
        <v>12.488081739330861</v>
      </c>
    </row>
    <row r="47" spans="2:35" outlineLevel="1">
      <c r="B47" s="71" t="s">
        <v>342</v>
      </c>
      <c r="C47" s="354"/>
      <c r="D47" s="354"/>
      <c r="E47" s="355"/>
      <c r="F47" s="36"/>
      <c r="H47" s="6">
        <v>10</v>
      </c>
      <c r="I47" s="6">
        <v>10</v>
      </c>
      <c r="J47" s="6">
        <v>11</v>
      </c>
      <c r="K47" s="6">
        <v>11</v>
      </c>
      <c r="L47" s="6">
        <v>12</v>
      </c>
      <c r="M47" s="6">
        <v>12</v>
      </c>
      <c r="N47" s="6">
        <v>12</v>
      </c>
      <c r="O47" s="6">
        <v>12</v>
      </c>
      <c r="P47" s="6">
        <v>12</v>
      </c>
      <c r="Q47" s="6">
        <v>13</v>
      </c>
      <c r="R47" s="6">
        <v>14</v>
      </c>
      <c r="S47" s="6">
        <v>15</v>
      </c>
      <c r="T47" s="6">
        <v>16</v>
      </c>
      <c r="U47" s="6">
        <v>17</v>
      </c>
      <c r="V47" s="6">
        <v>19</v>
      </c>
      <c r="W47" s="6">
        <v>23</v>
      </c>
      <c r="X47" s="6">
        <v>23</v>
      </c>
      <c r="Y47" s="248">
        <f t="shared" ca="1" si="4"/>
        <v>24.041474462165631</v>
      </c>
      <c r="Z47" s="248">
        <f t="shared" ca="1" si="4"/>
        <v>25.166435155936515</v>
      </c>
      <c r="AA47" s="248">
        <f t="shared" ca="1" si="4"/>
        <v>26.470811490068709</v>
      </c>
      <c r="AB47" s="248">
        <f t="shared" ca="1" si="4"/>
        <v>27.598997897080551</v>
      </c>
      <c r="AC47" s="248">
        <f t="shared" ca="1" si="4"/>
        <v>28.742618117051279</v>
      </c>
      <c r="AD47" s="248">
        <f t="shared" ca="1" si="4"/>
        <v>29.901840196689879</v>
      </c>
      <c r="AE47" s="248">
        <f t="shared" ca="1" si="4"/>
        <v>31.076833835254003</v>
      </c>
      <c r="AF47" s="248">
        <f t="shared" ca="1" si="4"/>
        <v>32.267770399885542</v>
      </c>
      <c r="AG47" s="248">
        <f t="shared" ca="1" si="4"/>
        <v>33.474822941083332</v>
      </c>
      <c r="AH47" s="248">
        <f t="shared" ca="1" si="4"/>
        <v>34.698166208314092</v>
      </c>
      <c r="AI47" s="248">
        <f t="shared" ca="1" si="4"/>
        <v>36.181946540797121</v>
      </c>
    </row>
    <row r="48" spans="2:35" outlineLevel="1">
      <c r="B48" s="71" t="s">
        <v>343</v>
      </c>
      <c r="C48" s="354"/>
      <c r="D48" s="354"/>
      <c r="E48" s="355"/>
      <c r="F48" s="36"/>
      <c r="H48" s="6">
        <v>0</v>
      </c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6">
        <v>1</v>
      </c>
      <c r="O48" s="6">
        <v>1</v>
      </c>
      <c r="P48" s="6">
        <v>1</v>
      </c>
      <c r="Q48" s="6">
        <v>1</v>
      </c>
      <c r="R48" s="6">
        <v>1</v>
      </c>
      <c r="S48" s="6">
        <v>1</v>
      </c>
      <c r="T48" s="6">
        <v>1</v>
      </c>
      <c r="U48" s="6">
        <v>1</v>
      </c>
      <c r="V48" s="6">
        <v>1</v>
      </c>
      <c r="W48" s="6">
        <v>1</v>
      </c>
      <c r="X48" s="6">
        <v>1</v>
      </c>
      <c r="Y48" s="248">
        <f t="shared" ca="1" si="4"/>
        <v>1.0452834255186862</v>
      </c>
      <c r="Z48" s="248">
        <f t="shared" ca="1" si="4"/>
        <v>1.0941948502072694</v>
      </c>
      <c r="AA48" s="248">
        <f t="shared" ca="1" si="4"/>
        <v>1.1509069692935123</v>
      </c>
      <c r="AB48" s="248">
        <f t="shared" ca="1" si="4"/>
        <v>1.2581341083599422</v>
      </c>
      <c r="AC48" s="248">
        <f t="shared" ca="1" si="4"/>
        <v>1.3669049159953475</v>
      </c>
      <c r="AD48" s="248">
        <f t="shared" ca="1" si="4"/>
        <v>1.4772365157016902</v>
      </c>
      <c r="AE48" s="248">
        <f t="shared" ca="1" si="4"/>
        <v>1.5891462010021054</v>
      </c>
      <c r="AF48" s="248">
        <f t="shared" ca="1" si="4"/>
        <v>1.7026514370280195</v>
      </c>
      <c r="AG48" s="248">
        <f t="shared" ca="1" si="4"/>
        <v>1.8177698621205167</v>
      </c>
      <c r="AH48" s="248">
        <f t="shared" ca="1" si="4"/>
        <v>1.9345192894460685</v>
      </c>
      <c r="AI48" s="248">
        <f t="shared" ca="1" si="4"/>
        <v>2.017244170561006</v>
      </c>
    </row>
    <row r="49" spans="2:35" outlineLevel="1">
      <c r="B49" s="71" t="s">
        <v>344</v>
      </c>
      <c r="C49" s="354"/>
      <c r="D49" s="354"/>
      <c r="E49" s="355"/>
      <c r="F49" s="36"/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248">
        <f t="shared" ca="1" si="4"/>
        <v>1.6136740884501602E-7</v>
      </c>
      <c r="Z49" s="248">
        <f t="shared" ca="1" si="4"/>
        <v>1.6891819332339643E-7</v>
      </c>
      <c r="AA49" s="248">
        <f t="shared" ca="1" si="4"/>
        <v>1.7767322328334811E-7</v>
      </c>
      <c r="AB49" s="248">
        <f t="shared" ca="1" si="4"/>
        <v>8.1123577991875764E-2</v>
      </c>
      <c r="AC49" s="248">
        <f t="shared" ca="1" si="4"/>
        <v>0.16346383024632852</v>
      </c>
      <c r="AD49" s="248">
        <f t="shared" ca="1" si="4"/>
        <v>0.24703462414848545</v>
      </c>
      <c r="AE49" s="248">
        <f t="shared" ca="1" si="4"/>
        <v>0.33184978608558735</v>
      </c>
      <c r="AF49" s="248">
        <f t="shared" ca="1" si="4"/>
        <v>0.4179232804579564</v>
      </c>
      <c r="AG49" s="248">
        <f t="shared" ca="1" si="4"/>
        <v>0.50526921104999234</v>
      </c>
      <c r="AH49" s="248">
        <f t="shared" ca="1" si="4"/>
        <v>0.59390182241638312</v>
      </c>
      <c r="AI49" s="248">
        <f t="shared" ca="1" si="4"/>
        <v>0.61929854909746362</v>
      </c>
    </row>
    <row r="50" spans="2:35" outlineLevel="1">
      <c r="B50" s="71" t="s">
        <v>345</v>
      </c>
      <c r="C50" s="354"/>
      <c r="D50" s="354"/>
      <c r="E50" s="355"/>
      <c r="F50" s="36"/>
      <c r="H50" s="6">
        <v>2</v>
      </c>
      <c r="I50" s="6">
        <v>3</v>
      </c>
      <c r="J50" s="6">
        <v>6</v>
      </c>
      <c r="K50" s="6">
        <v>7</v>
      </c>
      <c r="L50" s="6">
        <v>8</v>
      </c>
      <c r="M50" s="6">
        <v>8</v>
      </c>
      <c r="N50" s="6">
        <v>8</v>
      </c>
      <c r="O50" s="6">
        <v>8</v>
      </c>
      <c r="P50" s="6">
        <v>8</v>
      </c>
      <c r="Q50" s="6">
        <v>9</v>
      </c>
      <c r="R50" s="6">
        <v>10</v>
      </c>
      <c r="S50" s="6">
        <v>10</v>
      </c>
      <c r="T50" s="6">
        <v>10</v>
      </c>
      <c r="U50" s="6">
        <v>10</v>
      </c>
      <c r="V50" s="6">
        <v>10</v>
      </c>
      <c r="W50" s="6">
        <v>10</v>
      </c>
      <c r="X50" s="6">
        <v>10</v>
      </c>
      <c r="Y50" s="248">
        <f t="shared" ca="1" si="4"/>
        <v>10.452816546568544</v>
      </c>
      <c r="Z50" s="248">
        <f t="shared" ca="1" si="4"/>
        <v>10.941929964823853</v>
      </c>
      <c r="AA50" s="248">
        <f t="shared" ca="1" si="4"/>
        <v>11.509050194900672</v>
      </c>
      <c r="AB50" s="248">
        <f t="shared" ca="1" si="4"/>
        <v>11.999566097383525</v>
      </c>
      <c r="AC50" s="248">
        <f t="shared" ca="1" si="4"/>
        <v>12.496792354330161</v>
      </c>
      <c r="AD50" s="248">
        <f t="shared" ca="1" si="4"/>
        <v>13.000802029538018</v>
      </c>
      <c r="AE50" s="248">
        <f t="shared" ca="1" si="4"/>
        <v>13.511668905304067</v>
      </c>
      <c r="AF50" s="248">
        <f t="shared" ca="1" si="4"/>
        <v>14.029467489092442</v>
      </c>
      <c r="AG50" s="248">
        <f t="shared" ca="1" si="4"/>
        <v>14.554273020261721</v>
      </c>
      <c r="AH50" s="248">
        <f t="shared" ca="1" si="4"/>
        <v>15.086161476852276</v>
      </c>
      <c r="AI50" s="248">
        <f t="shared" ca="1" si="4"/>
        <v>15.731283457006171</v>
      </c>
    </row>
    <row r="51" spans="2:35" outlineLevel="1">
      <c r="B51" s="71" t="s">
        <v>346</v>
      </c>
      <c r="C51" s="354"/>
      <c r="D51" s="354"/>
      <c r="E51" s="355"/>
      <c r="F51" s="36"/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1</v>
      </c>
      <c r="U51" s="6">
        <v>4</v>
      </c>
      <c r="V51" s="6">
        <v>5</v>
      </c>
      <c r="W51" s="6">
        <v>5</v>
      </c>
      <c r="X51" s="6">
        <v>5</v>
      </c>
      <c r="Y51" s="248">
        <f t="shared" ca="1" si="4"/>
        <v>5.2264086598925088</v>
      </c>
      <c r="Z51" s="248">
        <f t="shared" ca="1" si="4"/>
        <v>5.4709653871105282</v>
      </c>
      <c r="AA51" s="248">
        <f t="shared" ca="1" si="4"/>
        <v>5.7545255231244674</v>
      </c>
      <c r="AB51" s="248">
        <f t="shared" ca="1" si="4"/>
        <v>5.999783492508115</v>
      </c>
      <c r="AC51" s="248">
        <f t="shared" ca="1" si="4"/>
        <v>6.2483966393718493</v>
      </c>
      <c r="AD51" s="248">
        <f t="shared" ca="1" si="4"/>
        <v>6.5004014956170932</v>
      </c>
      <c r="AE51" s="248">
        <f t="shared" ca="1" si="4"/>
        <v>6.7558349523950598</v>
      </c>
      <c r="AF51" s="248">
        <f t="shared" ca="1" si="4"/>
        <v>7.0147342634405732</v>
      </c>
      <c r="AG51" s="248">
        <f t="shared" ca="1" si="4"/>
        <v>7.2771370484356996</v>
      </c>
      <c r="AH51" s="248">
        <f t="shared" ca="1" si="4"/>
        <v>7.5430812964034351</v>
      </c>
      <c r="AI51" s="248">
        <f t="shared" ca="1" si="4"/>
        <v>7.8656423103408857</v>
      </c>
    </row>
    <row r="52" spans="2:35" outlineLevel="1">
      <c r="B52" s="71" t="s">
        <v>347</v>
      </c>
      <c r="C52" s="354"/>
      <c r="D52" s="354"/>
      <c r="E52" s="355"/>
      <c r="F52" s="36"/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248">
        <f t="shared" si="4"/>
        <v>0</v>
      </c>
      <c r="Z52" s="248">
        <f t="shared" si="4"/>
        <v>0</v>
      </c>
      <c r="AA52" s="248">
        <f t="shared" si="4"/>
        <v>0</v>
      </c>
      <c r="AB52" s="248">
        <f t="shared" ca="1" si="4"/>
        <v>0.12675773718785358</v>
      </c>
      <c r="AC52" s="248">
        <f t="shared" ca="1" si="4"/>
        <v>0.25541684128275571</v>
      </c>
      <c r="AD52" s="248">
        <f t="shared" ca="1" si="4"/>
        <v>0.3859987027776226</v>
      </c>
      <c r="AE52" s="248">
        <f t="shared" ca="1" si="4"/>
        <v>0.5185249258701492</v>
      </c>
      <c r="AF52" s="248">
        <f t="shared" ca="1" si="4"/>
        <v>0.65301733051720301</v>
      </c>
      <c r="AG52" s="248">
        <f t="shared" ca="1" si="4"/>
        <v>0.78949795452684945</v>
      </c>
      <c r="AH52" s="248">
        <f t="shared" ca="1" si="4"/>
        <v>0.92798905567179901</v>
      </c>
      <c r="AI52" s="248">
        <f t="shared" ca="1" si="4"/>
        <v>0.96767218766496443</v>
      </c>
    </row>
    <row r="53" spans="2:35" outlineLevel="1">
      <c r="B53" s="71" t="s">
        <v>348</v>
      </c>
      <c r="C53" s="354"/>
      <c r="D53" s="354"/>
      <c r="E53" s="355"/>
      <c r="F53" s="36"/>
      <c r="H53" s="6">
        <v>1</v>
      </c>
      <c r="I53" s="6">
        <v>1</v>
      </c>
      <c r="J53" s="6">
        <v>1</v>
      </c>
      <c r="K53" s="6">
        <v>3</v>
      </c>
      <c r="L53" s="6">
        <v>3</v>
      </c>
      <c r="M53" s="6">
        <v>3</v>
      </c>
      <c r="N53" s="6">
        <v>3</v>
      </c>
      <c r="O53" s="6">
        <v>3</v>
      </c>
      <c r="P53" s="6">
        <v>3</v>
      </c>
      <c r="Q53" s="6">
        <v>3</v>
      </c>
      <c r="R53" s="6">
        <v>4</v>
      </c>
      <c r="S53" s="6">
        <v>4</v>
      </c>
      <c r="T53" s="6">
        <v>4</v>
      </c>
      <c r="U53" s="6">
        <v>4</v>
      </c>
      <c r="V53" s="6">
        <v>4</v>
      </c>
      <c r="W53" s="6">
        <v>4</v>
      </c>
      <c r="X53" s="6">
        <v>4</v>
      </c>
      <c r="Y53" s="248">
        <f t="shared" ref="Y53:AI54" ca="1" si="5">+Y123*Y176/1000</f>
        <v>4.1811290301730004</v>
      </c>
      <c r="Z53" s="248">
        <f t="shared" ca="1" si="5"/>
        <v>4.3767745103173707</v>
      </c>
      <c r="AA53" s="248">
        <f t="shared" ca="1" si="5"/>
        <v>4.6036227331871205</v>
      </c>
      <c r="AB53" s="248">
        <f t="shared" ca="1" si="5"/>
        <v>4.7998292073460451</v>
      </c>
      <c r="AC53" s="248">
        <f t="shared" ca="1" si="5"/>
        <v>4.9987198248386226</v>
      </c>
      <c r="AD53" s="248">
        <f t="shared" ca="1" si="5"/>
        <v>5.2003238112006889</v>
      </c>
      <c r="AE53" s="248">
        <f t="shared" ca="1" si="5"/>
        <v>5.4046706793680501</v>
      </c>
      <c r="AF53" s="248">
        <f t="shared" ca="1" si="5"/>
        <v>5.6117902323435489</v>
      </c>
      <c r="AG53" s="248">
        <f t="shared" ca="1" si="5"/>
        <v>5.8217125658879709</v>
      </c>
      <c r="AH53" s="248">
        <f t="shared" ca="1" si="5"/>
        <v>6.034468071234989</v>
      </c>
      <c r="AI53" s="248">
        <f t="shared" ca="1" si="5"/>
        <v>6.2925170121311744</v>
      </c>
    </row>
    <row r="54" spans="2:35" outlineLevel="1">
      <c r="B54" s="71" t="s">
        <v>349</v>
      </c>
      <c r="C54" s="354"/>
      <c r="D54" s="354"/>
      <c r="E54" s="355"/>
      <c r="F54" s="36"/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248">
        <f t="shared" ca="1" si="5"/>
        <v>6.6052965016238506E-7</v>
      </c>
      <c r="Z54" s="248">
        <f t="shared" ca="1" si="5"/>
        <v>6.9143748381760848E-7</v>
      </c>
      <c r="AA54" s="248">
        <f t="shared" ca="1" si="5"/>
        <v>7.2727468860387518E-7</v>
      </c>
      <c r="AB54" s="248">
        <f t="shared" ca="1" si="5"/>
        <v>7.8089127402102804E-2</v>
      </c>
      <c r="AC54" s="248">
        <f t="shared" ca="1" si="5"/>
        <v>0.15734885391729558</v>
      </c>
      <c r="AD54" s="248">
        <f t="shared" ca="1" si="5"/>
        <v>0.23779308429987503</v>
      </c>
      <c r="AE54" s="248">
        <f t="shared" ca="1" si="5"/>
        <v>0.31943512770366039</v>
      </c>
      <c r="AF54" s="248">
        <f t="shared" ca="1" si="5"/>
        <v>0.40228842621671224</v>
      </c>
      <c r="AG54" s="248">
        <f t="shared" ca="1" si="5"/>
        <v>0.48636655614232438</v>
      </c>
      <c r="AH54" s="248">
        <f t="shared" ca="1" si="5"/>
        <v>0.57168322929284587</v>
      </c>
      <c r="AI54" s="248">
        <f t="shared" ca="1" si="5"/>
        <v>0.59612983338548131</v>
      </c>
    </row>
    <row r="55" spans="2:35">
      <c r="B55" s="286" t="s">
        <v>263</v>
      </c>
      <c r="C55" s="287">
        <v>33</v>
      </c>
      <c r="D55" s="287">
        <v>33</v>
      </c>
      <c r="E55" s="287">
        <v>35</v>
      </c>
      <c r="F55" s="287">
        <v>40</v>
      </c>
      <c r="G55" s="287">
        <v>49</v>
      </c>
      <c r="H55" s="286">
        <f t="shared" ref="H55" si="6">SUM(H5:H54)</f>
        <v>58</v>
      </c>
      <c r="I55" s="286">
        <f t="shared" ref="I55:AI55" si="7">SUM(I5:I54)</f>
        <v>67</v>
      </c>
      <c r="J55" s="286">
        <f t="shared" si="7"/>
        <v>77</v>
      </c>
      <c r="K55" s="286">
        <f t="shared" si="7"/>
        <v>89</v>
      </c>
      <c r="L55" s="286">
        <f t="shared" si="7"/>
        <v>100</v>
      </c>
      <c r="M55" s="286">
        <f t="shared" si="7"/>
        <v>100</v>
      </c>
      <c r="N55" s="286">
        <f t="shared" si="7"/>
        <v>103</v>
      </c>
      <c r="O55" s="286">
        <f t="shared" si="7"/>
        <v>108</v>
      </c>
      <c r="P55" s="286">
        <f t="shared" si="7"/>
        <v>118</v>
      </c>
      <c r="Q55" s="286">
        <f t="shared" si="7"/>
        <v>131</v>
      </c>
      <c r="R55" s="286">
        <f t="shared" si="7"/>
        <v>144</v>
      </c>
      <c r="S55" s="286">
        <f t="shared" si="7"/>
        <v>158</v>
      </c>
      <c r="T55" s="286">
        <f t="shared" si="7"/>
        <v>173</v>
      </c>
      <c r="U55" s="286">
        <f t="shared" si="7"/>
        <v>188</v>
      </c>
      <c r="V55" s="286">
        <f t="shared" si="7"/>
        <v>203</v>
      </c>
      <c r="W55" s="286">
        <f t="shared" si="7"/>
        <v>216</v>
      </c>
      <c r="X55" s="286">
        <f t="shared" si="7"/>
        <v>220</v>
      </c>
      <c r="Y55" s="288">
        <f t="shared" ca="1" si="7"/>
        <v>229.96199915772758</v>
      </c>
      <c r="Z55" s="288">
        <f t="shared" ca="1" si="7"/>
        <v>240.72249600331551</v>
      </c>
      <c r="AA55" s="288">
        <f t="shared" ca="1" si="7"/>
        <v>253.19914297116739</v>
      </c>
      <c r="AB55" s="288">
        <f t="shared" ca="1" si="7"/>
        <v>266.03478081815575</v>
      </c>
      <c r="AC55" s="288">
        <f t="shared" ca="1" si="7"/>
        <v>279.04871078541396</v>
      </c>
      <c r="AD55" s="288">
        <f t="shared" ca="1" si="7"/>
        <v>292.36473742774371</v>
      </c>
      <c r="AE55" s="288">
        <f t="shared" ca="1" si="7"/>
        <v>305.93655041567382</v>
      </c>
      <c r="AF55" s="288">
        <f t="shared" ca="1" si="7"/>
        <v>319.77197263144967</v>
      </c>
      <c r="AG55" s="288">
        <f t="shared" ca="1" si="7"/>
        <v>333.79771725114307</v>
      </c>
      <c r="AH55" s="288">
        <f t="shared" ca="1" si="7"/>
        <v>348.01586086667118</v>
      </c>
      <c r="AI55" s="288">
        <f t="shared" ca="1" si="7"/>
        <v>362.89788911698207</v>
      </c>
    </row>
    <row r="56" spans="2:35">
      <c r="B56" t="s">
        <v>393</v>
      </c>
      <c r="D56" s="7">
        <f t="shared" ref="D56:H56" si="8">+D55-C55</f>
        <v>0</v>
      </c>
      <c r="E56" s="7">
        <f t="shared" si="8"/>
        <v>2</v>
      </c>
      <c r="F56" s="7">
        <f t="shared" si="8"/>
        <v>5</v>
      </c>
      <c r="G56" s="7">
        <f t="shared" si="8"/>
        <v>9</v>
      </c>
      <c r="H56" s="7">
        <f t="shared" si="8"/>
        <v>9</v>
      </c>
      <c r="I56" s="7">
        <f>+I55-H55</f>
        <v>9</v>
      </c>
      <c r="J56" s="7">
        <f t="shared" ref="J56:AI56" si="9">+J55-I55</f>
        <v>10</v>
      </c>
      <c r="K56" s="7">
        <f t="shared" si="9"/>
        <v>12</v>
      </c>
      <c r="L56" s="7">
        <f t="shared" si="9"/>
        <v>11</v>
      </c>
      <c r="M56" s="7">
        <f t="shared" si="9"/>
        <v>0</v>
      </c>
      <c r="N56" s="7">
        <f t="shared" si="9"/>
        <v>3</v>
      </c>
      <c r="O56" s="7">
        <f t="shared" si="9"/>
        <v>5</v>
      </c>
      <c r="P56" s="7">
        <f t="shared" si="9"/>
        <v>10</v>
      </c>
      <c r="Q56" s="7">
        <f t="shared" si="9"/>
        <v>13</v>
      </c>
      <c r="R56" s="7">
        <f t="shared" si="9"/>
        <v>13</v>
      </c>
      <c r="S56" s="7">
        <f t="shared" si="9"/>
        <v>14</v>
      </c>
      <c r="T56" s="7">
        <f t="shared" si="9"/>
        <v>15</v>
      </c>
      <c r="U56" s="7">
        <f t="shared" si="9"/>
        <v>15</v>
      </c>
      <c r="V56" s="7">
        <f t="shared" si="9"/>
        <v>15</v>
      </c>
      <c r="W56" s="7">
        <f t="shared" si="9"/>
        <v>13</v>
      </c>
      <c r="X56" s="7">
        <f t="shared" si="9"/>
        <v>4</v>
      </c>
      <c r="Y56" s="7">
        <f t="shared" ca="1" si="9"/>
        <v>9.9619991577275755</v>
      </c>
      <c r="Z56" s="7">
        <f t="shared" ca="1" si="9"/>
        <v>10.760496845587937</v>
      </c>
      <c r="AA56" s="7">
        <f t="shared" ca="1" si="9"/>
        <v>12.476646967851877</v>
      </c>
      <c r="AB56" s="7">
        <f t="shared" ca="1" si="9"/>
        <v>12.835637846988362</v>
      </c>
      <c r="AC56" s="7">
        <f t="shared" ca="1" si="9"/>
        <v>13.013929967258207</v>
      </c>
      <c r="AD56" s="7">
        <f t="shared" ca="1" si="9"/>
        <v>13.316026642329746</v>
      </c>
      <c r="AE56" s="7">
        <f t="shared" ca="1" si="9"/>
        <v>13.571812987930116</v>
      </c>
      <c r="AF56" s="7">
        <f t="shared" ca="1" si="9"/>
        <v>13.83542221577585</v>
      </c>
      <c r="AG56" s="7">
        <f t="shared" ca="1" si="9"/>
        <v>14.025744619693398</v>
      </c>
      <c r="AH56" s="7">
        <f t="shared" ca="1" si="9"/>
        <v>14.218143615528106</v>
      </c>
      <c r="AI56" s="7">
        <f t="shared" ca="1" si="9"/>
        <v>14.882028250310896</v>
      </c>
    </row>
    <row r="57" spans="2:35">
      <c r="B57" t="s">
        <v>120</v>
      </c>
      <c r="H57" s="94" t="b">
        <f>ABS(Model!L76-H55)&lt;1</f>
        <v>1</v>
      </c>
      <c r="I57" s="94" t="b">
        <f>ABS(Model!M76-I55)&lt;1</f>
        <v>1</v>
      </c>
      <c r="J57" s="94" t="b">
        <f>ABS(Model!N76-J55)&lt;1</f>
        <v>1</v>
      </c>
      <c r="K57" s="94" t="b">
        <f>ABS(Model!O76-K55)&lt;1</f>
        <v>1</v>
      </c>
      <c r="L57" s="94" t="b">
        <f>ABS(Model!P76-L55)&lt;1</f>
        <v>1</v>
      </c>
      <c r="M57" s="94" t="b">
        <f>ABS(Model!Q76-M55)&lt;1</f>
        <v>1</v>
      </c>
      <c r="N57" s="94" t="b">
        <f>ABS(Model!R76-N55)&lt;1</f>
        <v>1</v>
      </c>
      <c r="O57" s="94" t="b">
        <f>ABS(Model!S76-O55)&lt;1</f>
        <v>1</v>
      </c>
      <c r="P57" s="94" t="b">
        <f>ABS(Model!T76-P55)&lt;1</f>
        <v>1</v>
      </c>
      <c r="Q57" s="94" t="b">
        <f>ABS(Model!U76-Q55)&lt;1</f>
        <v>1</v>
      </c>
      <c r="R57" s="94" t="b">
        <f>ABS(Model!V76-R55)&lt;1</f>
        <v>1</v>
      </c>
      <c r="S57" s="94" t="b">
        <f>ABS(Model!W76-S55)&lt;1</f>
        <v>1</v>
      </c>
      <c r="T57" s="94" t="b">
        <f>ABS(Model!X76-T55)&lt;1</f>
        <v>1</v>
      </c>
      <c r="U57" s="94" t="b">
        <f>ABS(Model!Y76-U55)&lt;1</f>
        <v>1</v>
      </c>
      <c r="V57" s="94" t="b">
        <f>ABS(Model!Z76-V55)&lt;1</f>
        <v>1</v>
      </c>
      <c r="W57" s="94" t="b">
        <f>ABS(Model!AA76-W55)&lt;1</f>
        <v>1</v>
      </c>
      <c r="X57" s="94" t="b">
        <f>ABS(Model!AB76-X55)&lt;1</f>
        <v>1</v>
      </c>
      <c r="Y57" s="94" t="b">
        <f ca="1">ABS(Model!AC76-Y55)&lt;1</f>
        <v>1</v>
      </c>
      <c r="Z57" s="94" t="b">
        <f ca="1">ABS(Model!AD76-Z55)&lt;1</f>
        <v>1</v>
      </c>
      <c r="AA57" s="94" t="b">
        <f ca="1">ABS(Model!AE76-AA55)&lt;1</f>
        <v>1</v>
      </c>
      <c r="AB57" s="94" t="b">
        <f ca="1">ABS(Model!AF76-AB55)&lt;1</f>
        <v>1</v>
      </c>
      <c r="AC57" s="94" t="b">
        <f ca="1">ABS(Model!AG76-AC55)&lt;1</f>
        <v>1</v>
      </c>
      <c r="AD57" s="94" t="b">
        <f ca="1">ABS(Model!AH76-AD55)&lt;1</f>
        <v>1</v>
      </c>
      <c r="AE57" s="94" t="b">
        <f ca="1">ABS(Model!AI76-AE55)&lt;1</f>
        <v>1</v>
      </c>
      <c r="AF57" s="94" t="b">
        <f ca="1">ABS(Model!AJ76-AF55)&lt;1</f>
        <v>1</v>
      </c>
      <c r="AG57" s="94" t="b">
        <f ca="1">ABS(Model!AK76-AG55)&lt;1</f>
        <v>1</v>
      </c>
      <c r="AH57" s="94" t="b">
        <f ca="1">ABS(Model!AL76-AH55)&lt;1</f>
        <v>1</v>
      </c>
      <c r="AI57" s="94" t="b">
        <f ca="1">ABS(Model!AM76-AI55)&lt;1</f>
        <v>1</v>
      </c>
    </row>
    <row r="58" spans="2:35">
      <c r="B58" t="s">
        <v>357</v>
      </c>
      <c r="E58" s="6">
        <v>10</v>
      </c>
      <c r="F58" s="6">
        <v>10</v>
      </c>
      <c r="G58" s="6">
        <v>15</v>
      </c>
      <c r="H58">
        <f>COUNTIFS(H5:H54,"&gt;0")</f>
        <v>16</v>
      </c>
      <c r="I58">
        <f>COUNTIFS(I5:I54,"&gt;0")</f>
        <v>19</v>
      </c>
      <c r="J58">
        <f>COUNTIFS(J5:J54,"&gt;0")</f>
        <v>22</v>
      </c>
      <c r="K58">
        <f>COUNTIFS(K5:K54,"&gt;0")</f>
        <v>25</v>
      </c>
      <c r="L58">
        <f t="shared" ref="L58:AI58" si="10">COUNTIFS(L5:L54,"&gt;0")</f>
        <v>26</v>
      </c>
      <c r="M58">
        <f t="shared" si="10"/>
        <v>26</v>
      </c>
      <c r="N58">
        <f t="shared" si="10"/>
        <v>26</v>
      </c>
      <c r="O58">
        <f t="shared" si="10"/>
        <v>28</v>
      </c>
      <c r="P58">
        <f t="shared" si="10"/>
        <v>30</v>
      </c>
      <c r="Q58">
        <f t="shared" si="10"/>
        <v>31</v>
      </c>
      <c r="R58">
        <f t="shared" si="10"/>
        <v>34</v>
      </c>
      <c r="S58">
        <f t="shared" si="10"/>
        <v>37</v>
      </c>
      <c r="T58">
        <f t="shared" si="10"/>
        <v>39</v>
      </c>
      <c r="U58">
        <f t="shared" si="10"/>
        <v>41</v>
      </c>
      <c r="V58">
        <f t="shared" si="10"/>
        <v>41</v>
      </c>
      <c r="W58">
        <f t="shared" si="10"/>
        <v>41</v>
      </c>
      <c r="X58">
        <f t="shared" si="10"/>
        <v>41</v>
      </c>
      <c r="Y58">
        <f t="shared" ca="1" si="10"/>
        <v>43</v>
      </c>
      <c r="Z58">
        <f t="shared" ca="1" si="10"/>
        <v>43</v>
      </c>
      <c r="AA58">
        <f t="shared" ca="1" si="10"/>
        <v>43</v>
      </c>
      <c r="AB58">
        <f t="shared" ca="1" si="10"/>
        <v>46</v>
      </c>
      <c r="AC58">
        <f t="shared" ca="1" si="10"/>
        <v>46</v>
      </c>
      <c r="AD58">
        <f t="shared" ca="1" si="10"/>
        <v>48</v>
      </c>
      <c r="AE58">
        <f t="shared" ca="1" si="10"/>
        <v>49</v>
      </c>
      <c r="AF58">
        <f t="shared" ca="1" si="10"/>
        <v>50</v>
      </c>
      <c r="AG58">
        <f t="shared" ca="1" si="10"/>
        <v>50</v>
      </c>
      <c r="AH58">
        <f t="shared" ca="1" si="10"/>
        <v>50</v>
      </c>
      <c r="AI58">
        <f t="shared" ca="1" si="10"/>
        <v>50</v>
      </c>
    </row>
    <row r="60" spans="2:35">
      <c r="B60" t="s">
        <v>358</v>
      </c>
      <c r="H60" s="6">
        <f>13+29</f>
        <v>42</v>
      </c>
      <c r="I60" s="6">
        <f>13+34</f>
        <v>47</v>
      </c>
      <c r="J60" s="6">
        <f>40+13</f>
        <v>53</v>
      </c>
      <c r="K60" s="6">
        <v>57</v>
      </c>
      <c r="L60" s="6">
        <v>59</v>
      </c>
      <c r="M60" s="6">
        <v>59</v>
      </c>
      <c r="N60" s="6">
        <v>61</v>
      </c>
      <c r="O60" s="6">
        <v>63</v>
      </c>
      <c r="P60" s="6">
        <v>68</v>
      </c>
      <c r="Q60" s="6">
        <v>73</v>
      </c>
      <c r="R60" s="6">
        <v>79</v>
      </c>
      <c r="S60" s="6">
        <v>85</v>
      </c>
      <c r="T60" s="6">
        <v>89</v>
      </c>
      <c r="U60" s="6">
        <v>94</v>
      </c>
      <c r="V60" s="6">
        <v>98</v>
      </c>
      <c r="W60" s="6">
        <v>102</v>
      </c>
      <c r="X60" s="6">
        <v>102</v>
      </c>
      <c r="Y60" s="7">
        <f t="shared" ref="Y60:AI60" ca="1" si="11">+Y55*Y67</f>
        <v>105.73025552183698</v>
      </c>
      <c r="Z60" s="7">
        <f t="shared" ca="1" si="11"/>
        <v>109.74757431423879</v>
      </c>
      <c r="AA60" s="7">
        <f t="shared" ca="1" si="11"/>
        <v>114.45752167492081</v>
      </c>
      <c r="AB60" s="7">
        <f t="shared" ca="1" si="11"/>
        <v>119.23195176668243</v>
      </c>
      <c r="AC60" s="7">
        <f t="shared" ca="1" si="11"/>
        <v>123.98641581488269</v>
      </c>
      <c r="AD60" s="7">
        <f t="shared" ca="1" si="11"/>
        <v>128.77337753067428</v>
      </c>
      <c r="AE60" s="7">
        <f t="shared" ca="1" si="11"/>
        <v>133.56911667011568</v>
      </c>
      <c r="AF60" s="7">
        <f t="shared" ca="1" si="11"/>
        <v>138.37405361142726</v>
      </c>
      <c r="AG60" s="7">
        <f t="shared" ca="1" si="11"/>
        <v>143.15370283020607</v>
      </c>
      <c r="AH60" s="7">
        <f t="shared" ca="1" si="11"/>
        <v>147.90674086833525</v>
      </c>
      <c r="AI60" s="7">
        <f t="shared" ca="1" si="11"/>
        <v>154.23160287471737</v>
      </c>
    </row>
    <row r="61" spans="2:35">
      <c r="B61" s="71" t="s">
        <v>360</v>
      </c>
      <c r="H61" s="247">
        <f t="shared" ref="H61:Q61" si="12">+AVERAGEA(10,25)*0.9+AVERAGE(25,35)*0.1</f>
        <v>18.75</v>
      </c>
      <c r="I61" s="247">
        <f t="shared" si="12"/>
        <v>18.75</v>
      </c>
      <c r="J61" s="247">
        <f t="shared" si="12"/>
        <v>18.75</v>
      </c>
      <c r="K61" s="247">
        <f t="shared" si="12"/>
        <v>18.75</v>
      </c>
      <c r="L61" s="247">
        <f t="shared" si="12"/>
        <v>18.75</v>
      </c>
      <c r="M61" s="247">
        <f t="shared" si="12"/>
        <v>18.75</v>
      </c>
      <c r="N61" s="247">
        <f t="shared" si="12"/>
        <v>18.75</v>
      </c>
      <c r="O61" s="247">
        <f t="shared" si="12"/>
        <v>18.75</v>
      </c>
      <c r="P61" s="247">
        <f t="shared" si="12"/>
        <v>18.75</v>
      </c>
      <c r="Q61" s="247">
        <f t="shared" si="12"/>
        <v>18.75</v>
      </c>
      <c r="R61" s="247">
        <f>+AVERAGEA(10,25)*0.9+AVERAGE(25,35)*0.1</f>
        <v>18.75</v>
      </c>
      <c r="S61" s="247">
        <f t="shared" ref="S61:AI61" si="13">+AVERAGEA(10,25)*0.9+AVERAGE(25,35)*0.1</f>
        <v>18.75</v>
      </c>
      <c r="T61" s="247">
        <f t="shared" si="13"/>
        <v>18.75</v>
      </c>
      <c r="U61" s="247">
        <f t="shared" si="13"/>
        <v>18.75</v>
      </c>
      <c r="V61" s="247">
        <f t="shared" si="13"/>
        <v>18.75</v>
      </c>
      <c r="W61" s="247">
        <f t="shared" si="13"/>
        <v>18.75</v>
      </c>
      <c r="X61" s="247">
        <f t="shared" si="13"/>
        <v>18.75</v>
      </c>
      <c r="Y61" s="247">
        <f t="shared" si="13"/>
        <v>18.75</v>
      </c>
      <c r="Z61" s="247">
        <f t="shared" si="13"/>
        <v>18.75</v>
      </c>
      <c r="AA61" s="247">
        <f t="shared" si="13"/>
        <v>18.75</v>
      </c>
      <c r="AB61" s="247">
        <f t="shared" si="13"/>
        <v>18.75</v>
      </c>
      <c r="AC61" s="247">
        <f t="shared" si="13"/>
        <v>18.75</v>
      </c>
      <c r="AD61" s="247">
        <f t="shared" si="13"/>
        <v>18.75</v>
      </c>
      <c r="AE61" s="247">
        <f t="shared" si="13"/>
        <v>18.75</v>
      </c>
      <c r="AF61" s="247">
        <f t="shared" si="13"/>
        <v>18.75</v>
      </c>
      <c r="AG61" s="247">
        <f t="shared" si="13"/>
        <v>18.75</v>
      </c>
      <c r="AH61" s="247">
        <f t="shared" si="13"/>
        <v>18.75</v>
      </c>
      <c r="AI61" s="247">
        <f t="shared" si="13"/>
        <v>18.75</v>
      </c>
    </row>
    <row r="62" spans="2:35">
      <c r="B62" s="71" t="s">
        <v>361</v>
      </c>
      <c r="H62" s="7">
        <f t="shared" ref="H62:Q62" si="14">+H61*H60</f>
        <v>787.5</v>
      </c>
      <c r="I62" s="7">
        <f t="shared" si="14"/>
        <v>881.25</v>
      </c>
      <c r="J62" s="7">
        <f t="shared" si="14"/>
        <v>993.75</v>
      </c>
      <c r="K62" s="7">
        <f t="shared" si="14"/>
        <v>1068.75</v>
      </c>
      <c r="L62" s="7">
        <f t="shared" si="14"/>
        <v>1106.25</v>
      </c>
      <c r="M62" s="7">
        <f t="shared" si="14"/>
        <v>1106.25</v>
      </c>
      <c r="N62" s="7">
        <f t="shared" si="14"/>
        <v>1143.75</v>
      </c>
      <c r="O62" s="7">
        <f t="shared" si="14"/>
        <v>1181.25</v>
      </c>
      <c r="P62" s="7">
        <f t="shared" si="14"/>
        <v>1275</v>
      </c>
      <c r="Q62" s="7">
        <f t="shared" si="14"/>
        <v>1368.75</v>
      </c>
      <c r="R62" s="7">
        <f>+R61*R60</f>
        <v>1481.25</v>
      </c>
      <c r="S62" s="7">
        <f t="shared" ref="S62:AI62" si="15">+S61*S60</f>
        <v>1593.75</v>
      </c>
      <c r="T62" s="7">
        <f t="shared" si="15"/>
        <v>1668.75</v>
      </c>
      <c r="U62" s="7">
        <f t="shared" si="15"/>
        <v>1762.5</v>
      </c>
      <c r="V62" s="7">
        <f t="shared" si="15"/>
        <v>1837.5</v>
      </c>
      <c r="W62" s="7">
        <f t="shared" si="15"/>
        <v>1912.5</v>
      </c>
      <c r="X62" s="7">
        <f t="shared" si="15"/>
        <v>1912.5</v>
      </c>
      <c r="Y62" s="7">
        <f t="shared" ca="1" si="15"/>
        <v>1982.4422910344433</v>
      </c>
      <c r="Z62" s="7">
        <f t="shared" ca="1" si="15"/>
        <v>2057.7670183919772</v>
      </c>
      <c r="AA62" s="7">
        <f t="shared" ca="1" si="15"/>
        <v>2146.0785314047653</v>
      </c>
      <c r="AB62" s="7">
        <f t="shared" ca="1" si="15"/>
        <v>2235.5990956252954</v>
      </c>
      <c r="AC62" s="7">
        <f t="shared" ca="1" si="15"/>
        <v>2324.7452965290504</v>
      </c>
      <c r="AD62" s="7">
        <f t="shared" ca="1" si="15"/>
        <v>2414.5008287001428</v>
      </c>
      <c r="AE62" s="7">
        <f t="shared" ca="1" si="15"/>
        <v>2504.4209375646687</v>
      </c>
      <c r="AF62" s="7">
        <f t="shared" ca="1" si="15"/>
        <v>2594.5135052142609</v>
      </c>
      <c r="AG62" s="7">
        <f t="shared" ca="1" si="15"/>
        <v>2684.1319280663638</v>
      </c>
      <c r="AH62" s="7">
        <f t="shared" ca="1" si="15"/>
        <v>2773.251391281286</v>
      </c>
      <c r="AI62" s="7">
        <f t="shared" ca="1" si="15"/>
        <v>2891.8425539009509</v>
      </c>
    </row>
    <row r="63" spans="2:35">
      <c r="B63" t="s">
        <v>359</v>
      </c>
      <c r="H63" s="247">
        <v>16</v>
      </c>
      <c r="I63" s="247">
        <v>20</v>
      </c>
      <c r="J63" s="247">
        <v>24</v>
      </c>
      <c r="K63" s="247">
        <v>32</v>
      </c>
      <c r="L63" s="247">
        <v>41</v>
      </c>
      <c r="M63" s="247">
        <v>41</v>
      </c>
      <c r="N63" s="247">
        <v>42</v>
      </c>
      <c r="O63" s="247">
        <v>45</v>
      </c>
      <c r="P63" s="247">
        <v>50</v>
      </c>
      <c r="Q63" s="247">
        <v>58</v>
      </c>
      <c r="R63" s="247">
        <v>65</v>
      </c>
      <c r="S63" s="247">
        <v>73</v>
      </c>
      <c r="T63" s="247">
        <v>84</v>
      </c>
      <c r="U63" s="247">
        <v>94</v>
      </c>
      <c r="V63" s="247">
        <v>105</v>
      </c>
      <c r="W63" s="247">
        <v>114</v>
      </c>
      <c r="X63" s="247">
        <v>118</v>
      </c>
      <c r="Y63" s="7">
        <f t="shared" ref="Y63:AI63" ca="1" si="16">+Y55-Y60</f>
        <v>124.2317436358906</v>
      </c>
      <c r="Z63" s="7">
        <f t="shared" ca="1" si="16"/>
        <v>130.97492168907672</v>
      </c>
      <c r="AA63" s="7">
        <f t="shared" ca="1" si="16"/>
        <v>138.74162129624659</v>
      </c>
      <c r="AB63" s="7">
        <f t="shared" ca="1" si="16"/>
        <v>146.80282905147334</v>
      </c>
      <c r="AC63" s="7">
        <f t="shared" ca="1" si="16"/>
        <v>155.06229497053127</v>
      </c>
      <c r="AD63" s="7">
        <f t="shared" ca="1" si="16"/>
        <v>163.59135989706942</v>
      </c>
      <c r="AE63" s="7">
        <f t="shared" ca="1" si="16"/>
        <v>172.36743374555815</v>
      </c>
      <c r="AF63" s="7">
        <f t="shared" ca="1" si="16"/>
        <v>181.39791902002241</v>
      </c>
      <c r="AG63" s="7">
        <f t="shared" ca="1" si="16"/>
        <v>190.644014420937</v>
      </c>
      <c r="AH63" s="7">
        <f t="shared" ca="1" si="16"/>
        <v>200.10911999833593</v>
      </c>
      <c r="AI63" s="7">
        <f t="shared" ca="1" si="16"/>
        <v>208.6662862422647</v>
      </c>
    </row>
    <row r="64" spans="2:35">
      <c r="B64" s="71" t="s">
        <v>360</v>
      </c>
      <c r="H64" s="247">
        <f t="shared" ref="H64:Q64" si="17">+AVERAGEA(4,12)</f>
        <v>8</v>
      </c>
      <c r="I64" s="247">
        <f t="shared" si="17"/>
        <v>8</v>
      </c>
      <c r="J64" s="247">
        <f t="shared" si="17"/>
        <v>8</v>
      </c>
      <c r="K64" s="247">
        <f t="shared" si="17"/>
        <v>8</v>
      </c>
      <c r="L64" s="247">
        <f t="shared" si="17"/>
        <v>8</v>
      </c>
      <c r="M64" s="247">
        <f t="shared" si="17"/>
        <v>8</v>
      </c>
      <c r="N64" s="247">
        <f t="shared" si="17"/>
        <v>8</v>
      </c>
      <c r="O64" s="247">
        <f t="shared" si="17"/>
        <v>8</v>
      </c>
      <c r="P64" s="247">
        <f t="shared" si="17"/>
        <v>8</v>
      </c>
      <c r="Q64" s="247">
        <f t="shared" si="17"/>
        <v>8</v>
      </c>
      <c r="R64" s="247">
        <f>+AVERAGEA(4,12)</f>
        <v>8</v>
      </c>
      <c r="S64" s="247">
        <f t="shared" ref="S64:AI64" si="18">+AVERAGEA(4,12)</f>
        <v>8</v>
      </c>
      <c r="T64" s="247">
        <f t="shared" si="18"/>
        <v>8</v>
      </c>
      <c r="U64" s="247">
        <f t="shared" si="18"/>
        <v>8</v>
      </c>
      <c r="V64" s="247">
        <f t="shared" si="18"/>
        <v>8</v>
      </c>
      <c r="W64" s="247">
        <f t="shared" si="18"/>
        <v>8</v>
      </c>
      <c r="X64" s="247">
        <f t="shared" si="18"/>
        <v>8</v>
      </c>
      <c r="Y64" s="247">
        <f t="shared" si="18"/>
        <v>8</v>
      </c>
      <c r="Z64" s="247">
        <f t="shared" si="18"/>
        <v>8</v>
      </c>
      <c r="AA64" s="247">
        <f t="shared" si="18"/>
        <v>8</v>
      </c>
      <c r="AB64" s="247">
        <f t="shared" si="18"/>
        <v>8</v>
      </c>
      <c r="AC64" s="247">
        <f t="shared" si="18"/>
        <v>8</v>
      </c>
      <c r="AD64" s="247">
        <f t="shared" si="18"/>
        <v>8</v>
      </c>
      <c r="AE64" s="247">
        <f t="shared" si="18"/>
        <v>8</v>
      </c>
      <c r="AF64" s="247">
        <f t="shared" si="18"/>
        <v>8</v>
      </c>
      <c r="AG64" s="247">
        <f t="shared" si="18"/>
        <v>8</v>
      </c>
      <c r="AH64" s="247">
        <f t="shared" si="18"/>
        <v>8</v>
      </c>
      <c r="AI64" s="247">
        <f t="shared" si="18"/>
        <v>8</v>
      </c>
    </row>
    <row r="65" spans="2:37">
      <c r="B65" s="71" t="s">
        <v>361</v>
      </c>
      <c r="H65">
        <f t="shared" ref="H65:Q65" si="19">+H63*H64</f>
        <v>128</v>
      </c>
      <c r="I65">
        <f t="shared" si="19"/>
        <v>160</v>
      </c>
      <c r="J65">
        <f t="shared" si="19"/>
        <v>192</v>
      </c>
      <c r="K65">
        <f t="shared" si="19"/>
        <v>256</v>
      </c>
      <c r="L65">
        <f t="shared" si="19"/>
        <v>328</v>
      </c>
      <c r="M65">
        <f t="shared" si="19"/>
        <v>328</v>
      </c>
      <c r="N65">
        <f t="shared" si="19"/>
        <v>336</v>
      </c>
      <c r="O65">
        <f t="shared" si="19"/>
        <v>360</v>
      </c>
      <c r="P65">
        <f t="shared" si="19"/>
        <v>400</v>
      </c>
      <c r="Q65">
        <f t="shared" si="19"/>
        <v>464</v>
      </c>
      <c r="R65">
        <f>+R63*R64</f>
        <v>520</v>
      </c>
      <c r="S65">
        <f t="shared" ref="S65:AI65" si="20">+S63*S64</f>
        <v>584</v>
      </c>
      <c r="T65">
        <f t="shared" si="20"/>
        <v>672</v>
      </c>
      <c r="U65">
        <f t="shared" si="20"/>
        <v>752</v>
      </c>
      <c r="V65">
        <f t="shared" si="20"/>
        <v>840</v>
      </c>
      <c r="W65">
        <f t="shared" si="20"/>
        <v>912</v>
      </c>
      <c r="X65">
        <f t="shared" si="20"/>
        <v>944</v>
      </c>
      <c r="Y65" s="7">
        <f t="shared" ca="1" si="20"/>
        <v>993.85394908712476</v>
      </c>
      <c r="Z65" s="7">
        <f t="shared" ca="1" si="20"/>
        <v>1047.7993735126138</v>
      </c>
      <c r="AA65" s="7">
        <f t="shared" ca="1" si="20"/>
        <v>1109.9329703699727</v>
      </c>
      <c r="AB65" s="7">
        <f t="shared" ca="1" si="20"/>
        <v>1174.4226324117867</v>
      </c>
      <c r="AC65" s="7">
        <f t="shared" ca="1" si="20"/>
        <v>1240.4983597642502</v>
      </c>
      <c r="AD65" s="7">
        <f t="shared" ca="1" si="20"/>
        <v>1308.7308791765554</v>
      </c>
      <c r="AE65" s="7">
        <f t="shared" ca="1" si="20"/>
        <v>1378.9394699644652</v>
      </c>
      <c r="AF65" s="7">
        <f t="shared" ca="1" si="20"/>
        <v>1451.1833521601793</v>
      </c>
      <c r="AG65" s="7">
        <f t="shared" ca="1" si="20"/>
        <v>1525.152115367496</v>
      </c>
      <c r="AH65" s="7">
        <f t="shared" ca="1" si="20"/>
        <v>1600.8729599866874</v>
      </c>
      <c r="AI65" s="7">
        <f t="shared" ca="1" si="20"/>
        <v>1669.3302899381176</v>
      </c>
    </row>
    <row r="66" spans="2:37">
      <c r="B66" s="286" t="s">
        <v>365</v>
      </c>
      <c r="C66" s="286"/>
      <c r="D66" s="286"/>
      <c r="E66" s="286"/>
      <c r="F66" s="286"/>
      <c r="G66" s="286"/>
      <c r="H66" s="289">
        <f t="shared" ref="H66:Q66" si="21">+H65+H62</f>
        <v>915.5</v>
      </c>
      <c r="I66" s="289">
        <f t="shared" si="21"/>
        <v>1041.25</v>
      </c>
      <c r="J66" s="289">
        <f t="shared" si="21"/>
        <v>1185.75</v>
      </c>
      <c r="K66" s="289">
        <f t="shared" si="21"/>
        <v>1324.75</v>
      </c>
      <c r="L66" s="289">
        <f t="shared" si="21"/>
        <v>1434.25</v>
      </c>
      <c r="M66" s="289">
        <f t="shared" si="21"/>
        <v>1434.25</v>
      </c>
      <c r="N66" s="289">
        <f t="shared" si="21"/>
        <v>1479.75</v>
      </c>
      <c r="O66" s="289">
        <f t="shared" si="21"/>
        <v>1541.25</v>
      </c>
      <c r="P66" s="289">
        <f t="shared" si="21"/>
        <v>1675</v>
      </c>
      <c r="Q66" s="289">
        <f t="shared" si="21"/>
        <v>1832.75</v>
      </c>
      <c r="R66" s="289">
        <f>+R65+R62</f>
        <v>2001.25</v>
      </c>
      <c r="S66" s="289">
        <f t="shared" ref="S66:V66" si="22">+S65+S62</f>
        <v>2177.75</v>
      </c>
      <c r="T66" s="289">
        <f t="shared" si="22"/>
        <v>2340.75</v>
      </c>
      <c r="U66" s="289">
        <f t="shared" si="22"/>
        <v>2514.5</v>
      </c>
      <c r="V66" s="289">
        <f t="shared" si="22"/>
        <v>2677.5</v>
      </c>
      <c r="W66" s="289">
        <f>+W65+W62</f>
        <v>2824.5</v>
      </c>
      <c r="X66" s="289">
        <f>+X65+X62</f>
        <v>2856.5</v>
      </c>
      <c r="Y66" s="289">
        <f t="shared" ref="Y66:AI66" ca="1" si="23">+Y65+Y62</f>
        <v>2976.2962401215682</v>
      </c>
      <c r="Z66" s="289">
        <f t="shared" ca="1" si="23"/>
        <v>3105.566391904591</v>
      </c>
      <c r="AA66" s="289">
        <f t="shared" ca="1" si="23"/>
        <v>3256.011501774738</v>
      </c>
      <c r="AB66" s="289">
        <f t="shared" ca="1" si="23"/>
        <v>3410.0217280370821</v>
      </c>
      <c r="AC66" s="289">
        <f t="shared" ca="1" si="23"/>
        <v>3565.2436562933008</v>
      </c>
      <c r="AD66" s="289">
        <f t="shared" ca="1" si="23"/>
        <v>3723.2317078766982</v>
      </c>
      <c r="AE66" s="289">
        <f t="shared" ca="1" si="23"/>
        <v>3883.3604075291341</v>
      </c>
      <c r="AF66" s="289">
        <f t="shared" ca="1" si="23"/>
        <v>4045.6968573744402</v>
      </c>
      <c r="AG66" s="289">
        <f t="shared" ca="1" si="23"/>
        <v>4209.2840434338596</v>
      </c>
      <c r="AH66" s="289">
        <f t="shared" ca="1" si="23"/>
        <v>4374.1243512679739</v>
      </c>
      <c r="AI66" s="289">
        <f t="shared" ca="1" si="23"/>
        <v>4561.1728438390683</v>
      </c>
    </row>
    <row r="67" spans="2:37">
      <c r="B67" t="s">
        <v>362</v>
      </c>
      <c r="C67" s="3"/>
      <c r="D67" s="3"/>
      <c r="E67" s="3"/>
      <c r="F67" s="3"/>
      <c r="G67" s="3"/>
      <c r="H67" s="14">
        <f t="shared" ref="H67:L67" si="24">+H60/H55</f>
        <v>0.72413793103448276</v>
      </c>
      <c r="I67" s="14">
        <f t="shared" si="24"/>
        <v>0.70149253731343286</v>
      </c>
      <c r="J67" s="14">
        <f t="shared" si="24"/>
        <v>0.68831168831168832</v>
      </c>
      <c r="K67" s="14">
        <f t="shared" si="24"/>
        <v>0.6404494382022472</v>
      </c>
      <c r="L67" s="14">
        <f t="shared" si="24"/>
        <v>0.59</v>
      </c>
      <c r="M67" s="14">
        <f>+M60/M55</f>
        <v>0.59</v>
      </c>
      <c r="N67" s="14">
        <f t="shared" ref="N67:V67" si="25">+N60/N55</f>
        <v>0.59223300970873782</v>
      </c>
      <c r="O67" s="14">
        <f t="shared" si="25"/>
        <v>0.58333333333333337</v>
      </c>
      <c r="P67" s="14">
        <f t="shared" si="25"/>
        <v>0.57627118644067798</v>
      </c>
      <c r="Q67" s="14">
        <f t="shared" si="25"/>
        <v>0.5572519083969466</v>
      </c>
      <c r="R67" s="14">
        <f t="shared" si="25"/>
        <v>0.54861111111111116</v>
      </c>
      <c r="S67" s="14">
        <f t="shared" si="25"/>
        <v>0.53797468354430378</v>
      </c>
      <c r="T67" s="14">
        <f t="shared" si="25"/>
        <v>0.51445086705202314</v>
      </c>
      <c r="U67" s="14">
        <f t="shared" si="25"/>
        <v>0.5</v>
      </c>
      <c r="V67" s="14">
        <f t="shared" si="25"/>
        <v>0.48275862068965519</v>
      </c>
      <c r="W67" s="14">
        <f>+W60/W55</f>
        <v>0.47222222222222221</v>
      </c>
      <c r="X67" s="14">
        <f>+X60/X55</f>
        <v>0.46363636363636362</v>
      </c>
      <c r="Y67" s="221">
        <f t="shared" ref="Y67:AE67" ca="1" si="26">+AVERAGE(Z67,X67)</f>
        <v>0.45977272727272711</v>
      </c>
      <c r="Z67" s="221">
        <f t="shared" ca="1" si="26"/>
        <v>0.45590909090909065</v>
      </c>
      <c r="AA67" s="221">
        <f t="shared" ca="1" si="26"/>
        <v>0.4520454545454542</v>
      </c>
      <c r="AB67" s="221">
        <f t="shared" ca="1" si="26"/>
        <v>0.44818181818181779</v>
      </c>
      <c r="AC67" s="221">
        <f t="shared" ca="1" si="26"/>
        <v>0.44431818181818145</v>
      </c>
      <c r="AD67" s="221">
        <f t="shared" ca="1" si="26"/>
        <v>0.4404545454545451</v>
      </c>
      <c r="AE67" s="221">
        <f t="shared" ca="1" si="26"/>
        <v>0.43659090909090881</v>
      </c>
      <c r="AF67" s="221">
        <f ca="1">+AVERAGE(AG67,AE67)</f>
        <v>0.43272727272727252</v>
      </c>
      <c r="AG67" s="221">
        <f ca="1">+AVERAGE(AH67,AF67)</f>
        <v>0.42886363636363622</v>
      </c>
      <c r="AH67" s="79">
        <v>0.42499999999999999</v>
      </c>
      <c r="AI67" s="79">
        <f>+AH67</f>
        <v>0.42499999999999999</v>
      </c>
    </row>
    <row r="68" spans="2:37">
      <c r="B68" t="s">
        <v>363</v>
      </c>
      <c r="C68" s="7">
        <f t="shared" ref="C68:F68" si="27">+C247</f>
        <v>111.247</v>
      </c>
      <c r="D68" s="7">
        <f t="shared" si="27"/>
        <v>132.86799999999999</v>
      </c>
      <c r="E68" s="7">
        <f t="shared" si="27"/>
        <v>164.06200000000001</v>
      </c>
      <c r="F68" s="7">
        <f t="shared" si="27"/>
        <v>190.1</v>
      </c>
      <c r="G68" s="7">
        <f>+G247</f>
        <v>224.09899999999999</v>
      </c>
      <c r="H68" s="7">
        <f>+Model!L71</f>
        <v>253.16800000000001</v>
      </c>
      <c r="I68" s="7">
        <f>+Model!M71</f>
        <v>289.88799999999998</v>
      </c>
      <c r="J68" s="7">
        <f>+Model!N71</f>
        <v>337.02100000000002</v>
      </c>
      <c r="K68" s="7">
        <f>+Model!O71</f>
        <v>377.24400000000003</v>
      </c>
      <c r="L68" s="7">
        <f>+Model!P71</f>
        <v>345.46499999999997</v>
      </c>
      <c r="M68" s="7">
        <f>+Model!Q71</f>
        <v>357.12900000000002</v>
      </c>
      <c r="N68" s="7">
        <f>+Model!R71</f>
        <v>396.18099999999998</v>
      </c>
      <c r="O68" s="7">
        <f>+Model!S71</f>
        <v>408.08</v>
      </c>
      <c r="P68" s="7">
        <f>+Model!T71</f>
        <v>447.72800000000001</v>
      </c>
      <c r="Q68" s="7">
        <f>+Model!U71</f>
        <v>526.92899999999997</v>
      </c>
      <c r="R68" s="7">
        <f>+Model!V71</f>
        <v>582.28200000000004</v>
      </c>
      <c r="S68" s="7">
        <f>+Model!W71</f>
        <v>619.93600000000004</v>
      </c>
      <c r="T68" s="7">
        <f>+Model!X71</f>
        <v>671.29399999999998</v>
      </c>
      <c r="U68" s="7">
        <f>+Model!Y71</f>
        <v>721.51199999999994</v>
      </c>
      <c r="V68" s="7">
        <f>+Model!Z71</f>
        <v>748.96100000000001</v>
      </c>
      <c r="W68" s="7">
        <f>+Model!AA71</f>
        <v>832.64</v>
      </c>
      <c r="X68" s="7">
        <f>+Model!AB71</f>
        <v>751.86199999999997</v>
      </c>
      <c r="Y68" s="70">
        <f t="shared" ref="Y68:AI68" ca="1" si="28">+Y66*Y70</f>
        <v>937.53331563829397</v>
      </c>
      <c r="Z68" s="70">
        <f t="shared" ca="1" si="28"/>
        <v>997.81848171894524</v>
      </c>
      <c r="AA68" s="70">
        <f t="shared" ca="1" si="28"/>
        <v>1067.0796254306279</v>
      </c>
      <c r="AB68" s="70">
        <f t="shared" ca="1" si="28"/>
        <v>1139.9038364595344</v>
      </c>
      <c r="AC68" s="70">
        <f t="shared" ca="1" si="28"/>
        <v>1215.6273334194743</v>
      </c>
      <c r="AD68" s="70">
        <f t="shared" ca="1" si="28"/>
        <v>1294.885826177647</v>
      </c>
      <c r="AE68" s="70">
        <f t="shared" ca="1" si="28"/>
        <v>1377.5877836963687</v>
      </c>
      <c r="AF68" s="70">
        <f t="shared" ca="1" si="28"/>
        <v>1463.8787086517223</v>
      </c>
      <c r="AG68" s="70">
        <f t="shared" ca="1" si="28"/>
        <v>1553.5318480896156</v>
      </c>
      <c r="AH68" s="70">
        <f t="shared" ca="1" si="28"/>
        <v>1646.6573045255266</v>
      </c>
      <c r="AI68" s="70">
        <f t="shared" ca="1" si="28"/>
        <v>1751.4139372605043</v>
      </c>
    </row>
    <row r="69" spans="2:37" s="64" customFormat="1">
      <c r="B69" s="86" t="s">
        <v>367</v>
      </c>
      <c r="H69" s="252"/>
      <c r="I69" s="14">
        <f>+I68/H68-1</f>
        <v>0.14504202742842676</v>
      </c>
      <c r="J69" s="14">
        <f t="shared" ref="J69:AI69" si="29">+J68/I68-1</f>
        <v>0.1625903797328625</v>
      </c>
      <c r="K69" s="14">
        <f t="shared" si="29"/>
        <v>0.11934864593007566</v>
      </c>
      <c r="L69" s="14">
        <f t="shared" si="29"/>
        <v>-8.4239908388205165E-2</v>
      </c>
      <c r="M69" s="14">
        <f t="shared" si="29"/>
        <v>3.37631887456038E-2</v>
      </c>
      <c r="N69" s="14">
        <f t="shared" si="29"/>
        <v>0.10934984277389947</v>
      </c>
      <c r="O69" s="14">
        <f t="shared" si="29"/>
        <v>3.0034252021172048E-2</v>
      </c>
      <c r="P69" s="14">
        <f t="shared" si="29"/>
        <v>9.7157420113703319E-2</v>
      </c>
      <c r="Q69" s="14">
        <f t="shared" si="29"/>
        <v>0.17689534717507049</v>
      </c>
      <c r="R69" s="14">
        <f t="shared" si="29"/>
        <v>0.10504830821609756</v>
      </c>
      <c r="S69" s="14">
        <f t="shared" si="29"/>
        <v>6.4666261364768163E-2</v>
      </c>
      <c r="T69" s="14">
        <f t="shared" si="29"/>
        <v>8.2844035513343295E-2</v>
      </c>
      <c r="U69" s="14">
        <f t="shared" si="29"/>
        <v>7.4807759342404356E-2</v>
      </c>
      <c r="V69" s="14">
        <f t="shared" si="29"/>
        <v>3.8043719300580037E-2</v>
      </c>
      <c r="W69" s="14">
        <f t="shared" si="29"/>
        <v>0.1117267788309404</v>
      </c>
      <c r="X69" s="14">
        <f t="shared" si="29"/>
        <v>-9.7014315910837867E-2</v>
      </c>
      <c r="Y69" s="14">
        <f t="shared" ca="1" si="29"/>
        <v>0.24694866297045737</v>
      </c>
      <c r="Z69" s="14">
        <f t="shared" ca="1" si="29"/>
        <v>6.4301892076878087E-2</v>
      </c>
      <c r="AA69" s="14">
        <f t="shared" ca="1" si="29"/>
        <v>6.9412568498797622E-2</v>
      </c>
      <c r="AB69" s="14">
        <f t="shared" ca="1" si="29"/>
        <v>6.8246276372785131E-2</v>
      </c>
      <c r="AC69" s="14">
        <f t="shared" ca="1" si="29"/>
        <v>6.642972375207723E-2</v>
      </c>
      <c r="AD69" s="14">
        <f t="shared" ca="1" si="29"/>
        <v>6.519966323496873E-2</v>
      </c>
      <c r="AE69" s="14">
        <f t="shared" ca="1" si="29"/>
        <v>6.3868146400867021E-2</v>
      </c>
      <c r="AF69" s="14">
        <f t="shared" ca="1" si="29"/>
        <v>6.2639147919718141E-2</v>
      </c>
      <c r="AG69" s="14">
        <f t="shared" ca="1" si="29"/>
        <v>6.1243557207322663E-2</v>
      </c>
      <c r="AH69" s="14">
        <f t="shared" ca="1" si="29"/>
        <v>5.994434974115781E-2</v>
      </c>
      <c r="AI69" s="14">
        <f t="shared" ca="1" si="29"/>
        <v>6.3617749999999251E-2</v>
      </c>
      <c r="AK69" s="253"/>
    </row>
    <row r="70" spans="2:37">
      <c r="B70" t="s">
        <v>364</v>
      </c>
      <c r="H70" s="4">
        <f>+H68/H66</f>
        <v>0.27653522665210267</v>
      </c>
      <c r="I70" s="4">
        <f>+I68/AVERAGE(H66:I66)</f>
        <v>0.29629538776031683</v>
      </c>
      <c r="J70" s="4">
        <f t="shared" ref="J70:X70" si="30">+J68/AVERAGE(I66:J66)</f>
        <v>0.30266816344858555</v>
      </c>
      <c r="K70" s="4">
        <f t="shared" si="30"/>
        <v>0.30053296156144199</v>
      </c>
      <c r="L70" s="4">
        <f t="shared" si="30"/>
        <v>0.250427691192461</v>
      </c>
      <c r="M70" s="4">
        <f t="shared" si="30"/>
        <v>0.2490005229213875</v>
      </c>
      <c r="N70" s="4">
        <f t="shared" si="30"/>
        <v>0.27191557995881949</v>
      </c>
      <c r="O70" s="4">
        <f t="shared" si="30"/>
        <v>0.27016219794769941</v>
      </c>
      <c r="P70" s="4">
        <f t="shared" si="30"/>
        <v>0.27841616789739604</v>
      </c>
      <c r="Q70" s="4">
        <f t="shared" si="30"/>
        <v>0.30043703228565316</v>
      </c>
      <c r="R70" s="4">
        <f t="shared" si="30"/>
        <v>0.30374647887323947</v>
      </c>
      <c r="S70" s="4">
        <f t="shared" si="30"/>
        <v>0.29669107441971765</v>
      </c>
      <c r="T70" s="4">
        <f t="shared" si="30"/>
        <v>0.29713134889897092</v>
      </c>
      <c r="U70" s="4">
        <f t="shared" si="30"/>
        <v>0.29720900056639715</v>
      </c>
      <c r="V70" s="4">
        <f t="shared" si="30"/>
        <v>0.28850577812018491</v>
      </c>
      <c r="W70" s="4">
        <f t="shared" si="30"/>
        <v>0.30266812068338783</v>
      </c>
      <c r="X70" s="4">
        <f t="shared" si="30"/>
        <v>0.26469353986974126</v>
      </c>
      <c r="Y70" s="181">
        <v>0.315</v>
      </c>
      <c r="Z70" s="181">
        <f>+Y70*1.02</f>
        <v>0.32130000000000003</v>
      </c>
      <c r="AA70" s="181">
        <f t="shared" ref="AA70:AI70" si="31">+Z70*1.02</f>
        <v>0.32772600000000002</v>
      </c>
      <c r="AB70" s="181">
        <f t="shared" si="31"/>
        <v>0.33428052000000003</v>
      </c>
      <c r="AC70" s="181">
        <f t="shared" si="31"/>
        <v>0.34096613040000001</v>
      </c>
      <c r="AD70" s="181">
        <f t="shared" si="31"/>
        <v>0.34778545300800001</v>
      </c>
      <c r="AE70" s="181">
        <f t="shared" si="31"/>
        <v>0.35474116206816003</v>
      </c>
      <c r="AF70" s="181">
        <f t="shared" si="31"/>
        <v>0.36183598530952321</v>
      </c>
      <c r="AG70" s="181">
        <f t="shared" si="31"/>
        <v>0.36907270501571371</v>
      </c>
      <c r="AH70" s="181">
        <f t="shared" si="31"/>
        <v>0.37645415911602798</v>
      </c>
      <c r="AI70" s="181">
        <f t="shared" si="31"/>
        <v>0.38398324229834851</v>
      </c>
    </row>
    <row r="71" spans="2:37">
      <c r="B71" t="s">
        <v>471</v>
      </c>
      <c r="C71" s="4">
        <f t="shared" ref="C71" si="32">+C68/C55</f>
        <v>3.3711212121212122</v>
      </c>
      <c r="D71" s="4">
        <f>+D68/AVERAGE(C55:D55)</f>
        <v>4.0263030303030298</v>
      </c>
      <c r="E71" s="4">
        <f t="shared" ref="E71:AI71" si="33">+E68/AVERAGE(D55:E55)</f>
        <v>4.8253529411764706</v>
      </c>
      <c r="F71" s="4">
        <f t="shared" si="33"/>
        <v>5.0693333333333328</v>
      </c>
      <c r="G71" s="4">
        <f t="shared" si="33"/>
        <v>5.0359325842696627</v>
      </c>
      <c r="H71" s="4">
        <f t="shared" si="33"/>
        <v>4.7321121495327105</v>
      </c>
      <c r="I71" s="4">
        <f t="shared" si="33"/>
        <v>4.6382079999999997</v>
      </c>
      <c r="J71" s="4">
        <f t="shared" si="33"/>
        <v>4.6808472222222228</v>
      </c>
      <c r="K71" s="4">
        <f t="shared" si="33"/>
        <v>4.5451084337349403</v>
      </c>
      <c r="L71" s="4">
        <f t="shared" si="33"/>
        <v>3.6557142857142852</v>
      </c>
      <c r="M71" s="4">
        <f t="shared" si="33"/>
        <v>3.5712900000000003</v>
      </c>
      <c r="N71" s="4">
        <f t="shared" si="33"/>
        <v>3.9032610837438422</v>
      </c>
      <c r="O71" s="4">
        <f t="shared" si="33"/>
        <v>3.8680568720379145</v>
      </c>
      <c r="P71" s="4">
        <f t="shared" si="33"/>
        <v>3.9621946902654868</v>
      </c>
      <c r="Q71" s="4">
        <f t="shared" si="33"/>
        <v>4.2323614457831322</v>
      </c>
      <c r="R71" s="4">
        <f t="shared" si="33"/>
        <v>4.2347781818181822</v>
      </c>
      <c r="S71" s="4">
        <f t="shared" si="33"/>
        <v>4.1055364238410599</v>
      </c>
      <c r="T71" s="4">
        <f t="shared" si="33"/>
        <v>4.0561570996978853</v>
      </c>
      <c r="U71" s="4">
        <f t="shared" si="33"/>
        <v>3.9972963988919665</v>
      </c>
      <c r="V71" s="4">
        <f t="shared" si="33"/>
        <v>3.8310025575447573</v>
      </c>
      <c r="W71" s="4">
        <f t="shared" si="33"/>
        <v>3.974415274463007</v>
      </c>
      <c r="X71" s="4">
        <f t="shared" si="33"/>
        <v>3.4489082568807339</v>
      </c>
      <c r="Y71" s="4">
        <f t="shared" ca="1" si="33"/>
        <v>4.167166638041607</v>
      </c>
      <c r="Z71" s="4">
        <f t="shared" ca="1" si="33"/>
        <v>4.2398612742811723</v>
      </c>
      <c r="AA71" s="4">
        <f t="shared" ca="1" si="33"/>
        <v>4.3208458234232401</v>
      </c>
      <c r="AB71" s="4">
        <f t="shared" ca="1" si="33"/>
        <v>4.3907140278532548</v>
      </c>
      <c r="AC71" s="4">
        <f t="shared" ca="1" si="33"/>
        <v>4.4603344336965547</v>
      </c>
      <c r="AD71" s="4">
        <f t="shared" ca="1" si="33"/>
        <v>4.5322203396746392</v>
      </c>
      <c r="AE71" s="4">
        <f t="shared" ca="1" si="33"/>
        <v>4.6049968859732742</v>
      </c>
      <c r="AF71" s="4">
        <f t="shared" ca="1" si="33"/>
        <v>4.6791074589261248</v>
      </c>
      <c r="AG71" s="4">
        <f t="shared" ca="1" si="33"/>
        <v>4.7539898870423203</v>
      </c>
      <c r="AH71" s="4">
        <f t="shared" ca="1" si="33"/>
        <v>4.8302273740901995</v>
      </c>
      <c r="AI71" s="4">
        <f t="shared" ca="1" si="33"/>
        <v>4.9272191944543939</v>
      </c>
    </row>
    <row r="72" spans="2:37">
      <c r="B72" t="s">
        <v>472</v>
      </c>
      <c r="H72" s="4">
        <f>+H60/H58</f>
        <v>2.625</v>
      </c>
      <c r="I72" s="4">
        <f t="shared" ref="I72:X72" si="34">+I60/I58</f>
        <v>2.4736842105263159</v>
      </c>
      <c r="J72" s="4">
        <f t="shared" si="34"/>
        <v>2.4090909090909092</v>
      </c>
      <c r="K72" s="4">
        <f t="shared" si="34"/>
        <v>2.2799999999999998</v>
      </c>
      <c r="L72" s="4">
        <f t="shared" si="34"/>
        <v>2.2692307692307692</v>
      </c>
      <c r="M72" s="4">
        <f t="shared" si="34"/>
        <v>2.2692307692307692</v>
      </c>
      <c r="N72" s="4">
        <f t="shared" si="34"/>
        <v>2.3461538461538463</v>
      </c>
      <c r="O72" s="4">
        <f t="shared" si="34"/>
        <v>2.25</v>
      </c>
      <c r="P72" s="4">
        <f t="shared" si="34"/>
        <v>2.2666666666666666</v>
      </c>
      <c r="Q72" s="4">
        <f t="shared" si="34"/>
        <v>2.3548387096774195</v>
      </c>
      <c r="R72" s="4">
        <f t="shared" si="34"/>
        <v>2.3235294117647061</v>
      </c>
      <c r="S72" s="4">
        <f t="shared" si="34"/>
        <v>2.2972972972972974</v>
      </c>
      <c r="T72" s="4">
        <f t="shared" si="34"/>
        <v>2.2820512820512819</v>
      </c>
      <c r="U72" s="4">
        <f t="shared" si="34"/>
        <v>2.2926829268292681</v>
      </c>
      <c r="V72" s="4">
        <f t="shared" si="34"/>
        <v>2.3902439024390243</v>
      </c>
      <c r="W72" s="4">
        <f t="shared" si="34"/>
        <v>2.4878048780487805</v>
      </c>
      <c r="X72" s="4">
        <f t="shared" si="34"/>
        <v>2.4878048780487805</v>
      </c>
      <c r="Y72" s="4">
        <f t="shared" ref="Y72:AI72" ca="1" si="35">+Y60/Y58</f>
        <v>2.4588431516706275</v>
      </c>
      <c r="Z72" s="4">
        <f t="shared" ca="1" si="35"/>
        <v>2.5522691700985765</v>
      </c>
      <c r="AA72" s="4">
        <f t="shared" ca="1" si="35"/>
        <v>2.661802829649321</v>
      </c>
      <c r="AB72" s="4">
        <f t="shared" ca="1" si="35"/>
        <v>2.591998951449618</v>
      </c>
      <c r="AC72" s="4">
        <f t="shared" ca="1" si="35"/>
        <v>2.6953568655409281</v>
      </c>
      <c r="AD72" s="4">
        <f t="shared" ca="1" si="35"/>
        <v>2.682778698555714</v>
      </c>
      <c r="AE72" s="4">
        <f t="shared" ca="1" si="35"/>
        <v>2.7259003402064423</v>
      </c>
      <c r="AF72" s="4">
        <f t="shared" ca="1" si="35"/>
        <v>2.767481072228545</v>
      </c>
      <c r="AG72" s="4">
        <f t="shared" ca="1" si="35"/>
        <v>2.8630740566041215</v>
      </c>
      <c r="AH72" s="4">
        <f t="shared" ca="1" si="35"/>
        <v>2.9581348173667048</v>
      </c>
      <c r="AI72" s="4">
        <f t="shared" ca="1" si="35"/>
        <v>3.0846320574943475</v>
      </c>
    </row>
    <row r="73" spans="2:37">
      <c r="B73" t="s">
        <v>473</v>
      </c>
      <c r="H73" s="4">
        <f>+H63/H58</f>
        <v>1</v>
      </c>
      <c r="I73" s="4">
        <f t="shared" ref="I73:X73" si="36">+I63/I58</f>
        <v>1.0526315789473684</v>
      </c>
      <c r="J73" s="4">
        <f t="shared" si="36"/>
        <v>1.0909090909090908</v>
      </c>
      <c r="K73" s="4">
        <f t="shared" si="36"/>
        <v>1.28</v>
      </c>
      <c r="L73" s="4">
        <f t="shared" si="36"/>
        <v>1.5769230769230769</v>
      </c>
      <c r="M73" s="4">
        <f t="shared" si="36"/>
        <v>1.5769230769230769</v>
      </c>
      <c r="N73" s="4">
        <f t="shared" si="36"/>
        <v>1.6153846153846154</v>
      </c>
      <c r="O73" s="4">
        <f t="shared" si="36"/>
        <v>1.6071428571428572</v>
      </c>
      <c r="P73" s="4">
        <f t="shared" si="36"/>
        <v>1.6666666666666667</v>
      </c>
      <c r="Q73" s="4">
        <f t="shared" si="36"/>
        <v>1.8709677419354838</v>
      </c>
      <c r="R73" s="4">
        <f t="shared" si="36"/>
        <v>1.911764705882353</v>
      </c>
      <c r="S73" s="4">
        <f t="shared" si="36"/>
        <v>1.972972972972973</v>
      </c>
      <c r="T73" s="4">
        <f t="shared" si="36"/>
        <v>2.1538461538461537</v>
      </c>
      <c r="U73" s="4">
        <f t="shared" si="36"/>
        <v>2.2926829268292681</v>
      </c>
      <c r="V73" s="4">
        <f t="shared" si="36"/>
        <v>2.5609756097560976</v>
      </c>
      <c r="W73" s="4">
        <f t="shared" si="36"/>
        <v>2.7804878048780486</v>
      </c>
      <c r="X73" s="4">
        <f t="shared" si="36"/>
        <v>2.8780487804878048</v>
      </c>
      <c r="Y73" s="4">
        <f t="shared" ref="Y73:AI73" ca="1" si="37">+Y63/Y58</f>
        <v>2.8891103171137349</v>
      </c>
      <c r="Z73" s="4">
        <f t="shared" ca="1" si="37"/>
        <v>3.0459284113738772</v>
      </c>
      <c r="AA73" s="4">
        <f t="shared" ca="1" si="37"/>
        <v>3.2265493324708512</v>
      </c>
      <c r="AB73" s="4">
        <f t="shared" ca="1" si="37"/>
        <v>3.1913658489450727</v>
      </c>
      <c r="AC73" s="4">
        <f t="shared" ca="1" si="37"/>
        <v>3.3709194558811144</v>
      </c>
      <c r="AD73" s="4">
        <f t="shared" ca="1" si="37"/>
        <v>3.4081533311889465</v>
      </c>
      <c r="AE73" s="4">
        <f t="shared" ca="1" si="37"/>
        <v>3.5177027295011865</v>
      </c>
      <c r="AF73" s="4">
        <f t="shared" ca="1" si="37"/>
        <v>3.6279583804004485</v>
      </c>
      <c r="AG73" s="4">
        <f t="shared" ca="1" si="37"/>
        <v>3.8128802884187398</v>
      </c>
      <c r="AH73" s="4">
        <f t="shared" ca="1" si="37"/>
        <v>4.0021823999667188</v>
      </c>
      <c r="AI73" s="4">
        <f t="shared" ca="1" si="37"/>
        <v>4.1733257248452942</v>
      </c>
    </row>
    <row r="75" spans="2:37" hidden="1" outlineLevel="1">
      <c r="B75" s="71" t="s">
        <v>301</v>
      </c>
      <c r="H75" s="81">
        <v>4535.8329999999996</v>
      </c>
      <c r="I75" s="81">
        <v>4584.4129999999996</v>
      </c>
      <c r="J75" s="81">
        <v>4680.5129999999999</v>
      </c>
      <c r="K75" s="81">
        <v>4734.17</v>
      </c>
      <c r="L75" s="81">
        <v>4802.5320000000002</v>
      </c>
      <c r="M75" s="81">
        <v>4678.55</v>
      </c>
      <c r="N75" s="81">
        <v>4722.0749999999998</v>
      </c>
      <c r="O75" s="81">
        <v>4740.9229999999998</v>
      </c>
      <c r="P75" s="81">
        <v>4798.4189999999999</v>
      </c>
      <c r="Q75" s="81">
        <v>4740.3919999999998</v>
      </c>
      <c r="R75" s="81">
        <v>5319.6490000000003</v>
      </c>
      <c r="S75" s="81">
        <v>5352.6360000000004</v>
      </c>
      <c r="T75" s="81">
        <v>5351.4030000000002</v>
      </c>
      <c r="U75" s="81">
        <v>4939.2659999999996</v>
      </c>
      <c r="V75" s="81">
        <v>5181.6329999999998</v>
      </c>
      <c r="W75" s="81">
        <v>5169.3779999999997</v>
      </c>
      <c r="X75" s="70">
        <f t="shared" ref="X75:AI93" si="38">+W75*(1+X$126)</f>
        <v>5208.1483349999999</v>
      </c>
      <c r="Y75" s="70">
        <f t="shared" si="38"/>
        <v>5247.2094475125004</v>
      </c>
      <c r="Z75" s="70">
        <f t="shared" si="38"/>
        <v>5286.5635183688446</v>
      </c>
      <c r="AA75" s="70">
        <f t="shared" si="38"/>
        <v>5326.2127447566108</v>
      </c>
      <c r="AB75" s="70">
        <f t="shared" si="38"/>
        <v>5366.1593403422858</v>
      </c>
      <c r="AC75" s="70">
        <f t="shared" si="38"/>
        <v>5406.4055353948534</v>
      </c>
      <c r="AD75" s="70">
        <f t="shared" si="38"/>
        <v>5446.953576910315</v>
      </c>
      <c r="AE75" s="70">
        <f t="shared" si="38"/>
        <v>5487.805728737143</v>
      </c>
      <c r="AF75" s="70">
        <f t="shared" si="38"/>
        <v>5528.9642717026718</v>
      </c>
      <c r="AG75" s="70">
        <f t="shared" si="38"/>
        <v>5570.4315037404422</v>
      </c>
      <c r="AH75" s="70">
        <f t="shared" si="38"/>
        <v>5612.2097400184957</v>
      </c>
      <c r="AI75" s="70">
        <f t="shared" si="38"/>
        <v>5654.301313068635</v>
      </c>
    </row>
    <row r="76" spans="2:37" hidden="1" outlineLevel="1">
      <c r="B76" s="71" t="s">
        <v>302</v>
      </c>
      <c r="H76" s="81">
        <v>667.85699999999997</v>
      </c>
      <c r="I76" s="81">
        <v>682.89200000000005</v>
      </c>
      <c r="J76" s="81">
        <v>683.50800000000004</v>
      </c>
      <c r="K76" s="81">
        <v>690.07400000000007</v>
      </c>
      <c r="L76" s="81">
        <v>702.76400000000001</v>
      </c>
      <c r="M76" s="81">
        <v>708.28300000000002</v>
      </c>
      <c r="N76" s="81">
        <v>724.28800000000001</v>
      </c>
      <c r="O76" s="81">
        <v>741.25300000000004</v>
      </c>
      <c r="P76" s="81">
        <v>757.02299999999991</v>
      </c>
      <c r="Q76" s="81">
        <v>767.58600000000001</v>
      </c>
      <c r="R76" s="81">
        <v>782.66200000000003</v>
      </c>
      <c r="S76" s="81">
        <v>789.72900000000004</v>
      </c>
      <c r="T76" s="81">
        <v>764.53200000000004</v>
      </c>
      <c r="U76" s="81">
        <v>774.66300000000001</v>
      </c>
      <c r="V76" s="81">
        <v>774.25599999999997</v>
      </c>
      <c r="W76" s="81">
        <v>767.20500000000004</v>
      </c>
      <c r="X76" s="70">
        <f t="shared" si="38"/>
        <v>772.95903750000014</v>
      </c>
      <c r="Y76" s="70">
        <f t="shared" si="38"/>
        <v>778.75623028125017</v>
      </c>
      <c r="Z76" s="70">
        <f t="shared" si="38"/>
        <v>784.59690200835962</v>
      </c>
      <c r="AA76" s="70">
        <f t="shared" si="38"/>
        <v>790.48137877342242</v>
      </c>
      <c r="AB76" s="70">
        <f t="shared" si="38"/>
        <v>796.40998911422309</v>
      </c>
      <c r="AC76" s="70">
        <f t="shared" si="38"/>
        <v>802.3830640325798</v>
      </c>
      <c r="AD76" s="70">
        <f t="shared" si="38"/>
        <v>808.40093701282422</v>
      </c>
      <c r="AE76" s="70">
        <f t="shared" si="38"/>
        <v>814.46394404042042</v>
      </c>
      <c r="AF76" s="70">
        <f t="shared" si="38"/>
        <v>820.57242362072361</v>
      </c>
      <c r="AG76" s="70">
        <f t="shared" si="38"/>
        <v>826.72671679787913</v>
      </c>
      <c r="AH76" s="70">
        <f t="shared" si="38"/>
        <v>832.92716717386327</v>
      </c>
      <c r="AI76" s="70">
        <f t="shared" si="38"/>
        <v>839.17412092766733</v>
      </c>
    </row>
    <row r="77" spans="2:37" hidden="1" outlineLevel="1">
      <c r="B77" s="71" t="s">
        <v>303</v>
      </c>
      <c r="H77" s="81">
        <v>3943.268</v>
      </c>
      <c r="I77" s="81">
        <v>4027.5340000000001</v>
      </c>
      <c r="J77" s="81">
        <v>4253.835</v>
      </c>
      <c r="K77" s="81">
        <v>4453.902</v>
      </c>
      <c r="L77" s="81">
        <v>4464.2830000000004</v>
      </c>
      <c r="M77" s="81">
        <v>4452.2719999999999</v>
      </c>
      <c r="N77" s="81">
        <v>4412.482</v>
      </c>
      <c r="O77" s="81">
        <v>5027.5060000000003</v>
      </c>
      <c r="P77" s="81">
        <v>5087.4470000000001</v>
      </c>
      <c r="Q77" s="81">
        <v>5297.348</v>
      </c>
      <c r="R77" s="81">
        <v>5504.2439999999997</v>
      </c>
      <c r="S77" s="81">
        <v>5546.7420000000002</v>
      </c>
      <c r="T77" s="81">
        <v>5714.192</v>
      </c>
      <c r="U77" s="81">
        <v>5891.6149999999998</v>
      </c>
      <c r="V77" s="81">
        <v>5739.14</v>
      </c>
      <c r="W77" s="81">
        <v>5919.12</v>
      </c>
      <c r="X77" s="70">
        <f t="shared" si="38"/>
        <v>5963.5133999999998</v>
      </c>
      <c r="Y77" s="70">
        <f t="shared" si="38"/>
        <v>6008.2397504999999</v>
      </c>
      <c r="Z77" s="70">
        <f t="shared" si="38"/>
        <v>6053.3015486287504</v>
      </c>
      <c r="AA77" s="70">
        <f t="shared" si="38"/>
        <v>6098.7013102434667</v>
      </c>
      <c r="AB77" s="70">
        <f t="shared" si="38"/>
        <v>6144.441570070293</v>
      </c>
      <c r="AC77" s="70">
        <f t="shared" si="38"/>
        <v>6190.5248818458203</v>
      </c>
      <c r="AD77" s="70">
        <f t="shared" si="38"/>
        <v>6236.953818459664</v>
      </c>
      <c r="AE77" s="70">
        <f t="shared" si="38"/>
        <v>6283.730972098112</v>
      </c>
      <c r="AF77" s="70">
        <f t="shared" si="38"/>
        <v>6330.8589543888484</v>
      </c>
      <c r="AG77" s="70">
        <f t="shared" si="38"/>
        <v>6378.3403965467651</v>
      </c>
      <c r="AH77" s="70">
        <f t="shared" si="38"/>
        <v>6426.1779495208666</v>
      </c>
      <c r="AI77" s="70">
        <f t="shared" si="38"/>
        <v>6474.3742841422736</v>
      </c>
    </row>
    <row r="78" spans="2:37" hidden="1" outlineLevel="1">
      <c r="B78" s="71" t="s">
        <v>304</v>
      </c>
      <c r="H78" s="81">
        <v>1932.277</v>
      </c>
      <c r="I78" s="81">
        <v>1960.3150000000001</v>
      </c>
      <c r="J78" s="81">
        <v>2023.2180000000001</v>
      </c>
      <c r="K78" s="81">
        <v>2045.009</v>
      </c>
      <c r="L78" s="81">
        <v>2082.6869999999999</v>
      </c>
      <c r="M78" s="81">
        <v>2083.8040000000001</v>
      </c>
      <c r="N78" s="81">
        <v>2119.3220000000001</v>
      </c>
      <c r="O78" s="81">
        <v>2410.529</v>
      </c>
      <c r="P78" s="81">
        <v>2416.145</v>
      </c>
      <c r="Q78" s="81">
        <v>2350.3119999999999</v>
      </c>
      <c r="R78" s="81">
        <v>2718.4580000000001</v>
      </c>
      <c r="S78" s="81">
        <v>2710.991</v>
      </c>
      <c r="T78" s="81">
        <v>2756.3040000000001</v>
      </c>
      <c r="U78" s="81">
        <v>2781.8960000000002</v>
      </c>
      <c r="V78" s="81">
        <v>2765.0619999999999</v>
      </c>
      <c r="W78" s="81">
        <v>2850.902</v>
      </c>
      <c r="X78" s="70">
        <f t="shared" si="38"/>
        <v>2872.2837650000001</v>
      </c>
      <c r="Y78" s="70">
        <f t="shared" si="38"/>
        <v>2893.8258932375002</v>
      </c>
      <c r="Z78" s="70">
        <f t="shared" si="38"/>
        <v>2915.5295874367816</v>
      </c>
      <c r="AA78" s="70">
        <f t="shared" si="38"/>
        <v>2937.3960593425577</v>
      </c>
      <c r="AB78" s="70">
        <f t="shared" si="38"/>
        <v>2959.4265297876273</v>
      </c>
      <c r="AC78" s="70">
        <f t="shared" si="38"/>
        <v>2981.6222287610344</v>
      </c>
      <c r="AD78" s="70">
        <f t="shared" si="38"/>
        <v>3003.9843954767425</v>
      </c>
      <c r="AE78" s="70">
        <f t="shared" si="38"/>
        <v>3026.5142784428181</v>
      </c>
      <c r="AF78" s="70">
        <f t="shared" si="38"/>
        <v>3049.2131355311394</v>
      </c>
      <c r="AG78" s="70">
        <f t="shared" si="38"/>
        <v>3072.0822340476229</v>
      </c>
      <c r="AH78" s="70">
        <f t="shared" si="38"/>
        <v>3095.1228508029803</v>
      </c>
      <c r="AI78" s="70">
        <f t="shared" si="38"/>
        <v>3118.3362721840031</v>
      </c>
    </row>
    <row r="79" spans="2:37" hidden="1" outlineLevel="1">
      <c r="B79" s="71" t="s">
        <v>305</v>
      </c>
      <c r="H79" s="81">
        <v>31464.620999999999</v>
      </c>
      <c r="I79" s="81">
        <v>32592</v>
      </c>
      <c r="J79" s="81">
        <v>33329.095000000001</v>
      </c>
      <c r="K79" s="81">
        <v>34109.15</v>
      </c>
      <c r="L79" s="81">
        <v>33634.252999999997</v>
      </c>
      <c r="M79" s="81">
        <v>34596.696000000004</v>
      </c>
      <c r="N79" s="81">
        <v>31167.182000000001</v>
      </c>
      <c r="O79" s="81">
        <v>28789.64</v>
      </c>
      <c r="P79" s="81">
        <v>27048.366000000002</v>
      </c>
      <c r="Q79" s="81">
        <v>27420.914000000001</v>
      </c>
      <c r="R79" s="81">
        <v>27909.43</v>
      </c>
      <c r="S79" s="81">
        <v>28811.75</v>
      </c>
      <c r="T79" s="81">
        <v>29577.077000000001</v>
      </c>
      <c r="U79" s="81">
        <v>30137.47</v>
      </c>
      <c r="V79" s="81">
        <v>30369.243999999999</v>
      </c>
      <c r="W79" s="81">
        <v>30600.437999999998</v>
      </c>
      <c r="X79" s="70">
        <f t="shared" si="38"/>
        <v>30829.941285000001</v>
      </c>
      <c r="Y79" s="70">
        <f t="shared" si="38"/>
        <v>31061.165844637504</v>
      </c>
      <c r="Z79" s="70">
        <f t="shared" si="38"/>
        <v>31294.124588472288</v>
      </c>
      <c r="AA79" s="70">
        <f t="shared" si="38"/>
        <v>31528.830522885833</v>
      </c>
      <c r="AB79" s="70">
        <f t="shared" si="38"/>
        <v>31765.29675180748</v>
      </c>
      <c r="AC79" s="70">
        <f t="shared" si="38"/>
        <v>32003.536477446039</v>
      </c>
      <c r="AD79" s="70">
        <f t="shared" si="38"/>
        <v>32243.563001026887</v>
      </c>
      <c r="AE79" s="70">
        <f t="shared" si="38"/>
        <v>32485.38972353459</v>
      </c>
      <c r="AF79" s="70">
        <f t="shared" si="38"/>
        <v>32729.0301464611</v>
      </c>
      <c r="AG79" s="70">
        <f t="shared" si="38"/>
        <v>32974.497872559557</v>
      </c>
      <c r="AH79" s="70">
        <f t="shared" si="38"/>
        <v>33221.806606603757</v>
      </c>
      <c r="AI79" s="70">
        <f t="shared" si="38"/>
        <v>33470.970156153286</v>
      </c>
    </row>
    <row r="80" spans="2:37" hidden="1" outlineLevel="1">
      <c r="B80" s="71" t="s">
        <v>306</v>
      </c>
      <c r="H80" s="81">
        <v>1988.7170000000001</v>
      </c>
      <c r="I80" s="81">
        <v>1881.3679999999999</v>
      </c>
      <c r="J80" s="81">
        <v>1881.3679999999999</v>
      </c>
      <c r="K80" s="81">
        <v>1774.5439999999999</v>
      </c>
      <c r="L80" s="81">
        <v>1692.6089999999999</v>
      </c>
      <c r="M80" s="81">
        <v>1479.816</v>
      </c>
      <c r="N80" s="81">
        <v>4242.5739999999996</v>
      </c>
      <c r="O80" s="81">
        <v>4259.8919999999998</v>
      </c>
      <c r="P80" s="81">
        <v>4504.2649999999994</v>
      </c>
      <c r="Q80" s="81">
        <v>4621.4709999999995</v>
      </c>
      <c r="R80" s="81">
        <v>4757.1710000000003</v>
      </c>
      <c r="S80" s="81">
        <v>4945.2179999999998</v>
      </c>
      <c r="T80" s="81">
        <v>5047.0630000000001</v>
      </c>
      <c r="U80" s="81">
        <v>5189.2730000000001</v>
      </c>
      <c r="V80" s="81">
        <v>5288.0919999999996</v>
      </c>
      <c r="W80" s="81">
        <v>5343.5039999999999</v>
      </c>
      <c r="X80" s="70">
        <f t="shared" si="38"/>
        <v>5383.5802800000001</v>
      </c>
      <c r="Y80" s="70">
        <f t="shared" si="38"/>
        <v>5423.9571321000003</v>
      </c>
      <c r="Z80" s="70">
        <f t="shared" si="38"/>
        <v>5464.6368105907504</v>
      </c>
      <c r="AA80" s="70">
        <f t="shared" si="38"/>
        <v>5505.6215866701814</v>
      </c>
      <c r="AB80" s="70">
        <f t="shared" si="38"/>
        <v>5546.9137485702076</v>
      </c>
      <c r="AC80" s="70">
        <f t="shared" si="38"/>
        <v>5588.5156016844849</v>
      </c>
      <c r="AD80" s="70">
        <f t="shared" si="38"/>
        <v>5630.4294686971189</v>
      </c>
      <c r="AE80" s="70">
        <f t="shared" si="38"/>
        <v>5672.6576897123477</v>
      </c>
      <c r="AF80" s="70">
        <f t="shared" si="38"/>
        <v>5715.2026223851908</v>
      </c>
      <c r="AG80" s="70">
        <f t="shared" si="38"/>
        <v>5758.0666420530797</v>
      </c>
      <c r="AH80" s="70">
        <f t="shared" si="38"/>
        <v>5801.2521418684782</v>
      </c>
      <c r="AI80" s="70">
        <f t="shared" si="38"/>
        <v>5844.7615329324926</v>
      </c>
    </row>
    <row r="81" spans="2:35" hidden="1" outlineLevel="1">
      <c r="B81" s="71" t="s">
        <v>307</v>
      </c>
      <c r="H81" s="81">
        <v>3055.8429999999998</v>
      </c>
      <c r="I81" s="81">
        <v>3072.5619999999999</v>
      </c>
      <c r="J81" s="81">
        <v>3065.33</v>
      </c>
      <c r="K81" s="81">
        <v>3059.9859999999999</v>
      </c>
      <c r="L81" s="81">
        <v>3106.8760000000002</v>
      </c>
      <c r="M81" s="81">
        <v>3083.6329999999998</v>
      </c>
      <c r="N81" s="81">
        <v>3093.6849999999999</v>
      </c>
      <c r="O81" s="81">
        <v>2785.7730000000001</v>
      </c>
      <c r="P81" s="81">
        <v>2661.7380000000003</v>
      </c>
      <c r="Q81" s="81">
        <v>2802.1280000000002</v>
      </c>
      <c r="R81" s="81">
        <v>2812.7469999999998</v>
      </c>
      <c r="S81" s="81">
        <v>2822.8969999999999</v>
      </c>
      <c r="T81" s="81">
        <v>2822.8969999999999</v>
      </c>
      <c r="U81" s="81">
        <v>2808.6350000000002</v>
      </c>
      <c r="V81" s="81">
        <v>2861.7829999999999</v>
      </c>
      <c r="W81" s="81">
        <v>2861.2190000000001</v>
      </c>
      <c r="X81" s="70">
        <f t="shared" si="38"/>
        <v>2882.6781425000004</v>
      </c>
      <c r="Y81" s="70">
        <f t="shared" si="38"/>
        <v>2904.2982285687503</v>
      </c>
      <c r="Z81" s="70">
        <f t="shared" si="38"/>
        <v>2926.0804652830161</v>
      </c>
      <c r="AA81" s="70">
        <f t="shared" si="38"/>
        <v>2948.0260687726391</v>
      </c>
      <c r="AB81" s="70">
        <f t="shared" si="38"/>
        <v>2970.1362642884342</v>
      </c>
      <c r="AC81" s="70">
        <f t="shared" si="38"/>
        <v>2992.4122862705976</v>
      </c>
      <c r="AD81" s="70">
        <f t="shared" si="38"/>
        <v>3014.8553784176274</v>
      </c>
      <c r="AE81" s="70">
        <f t="shared" si="38"/>
        <v>3037.4667937557597</v>
      </c>
      <c r="AF81" s="70">
        <f t="shared" si="38"/>
        <v>3060.2477947089283</v>
      </c>
      <c r="AG81" s="70">
        <f t="shared" si="38"/>
        <v>3083.1996531692453</v>
      </c>
      <c r="AH81" s="70">
        <f t="shared" si="38"/>
        <v>3106.3236505680147</v>
      </c>
      <c r="AI81" s="70">
        <f t="shared" si="38"/>
        <v>3129.6210779472749</v>
      </c>
    </row>
    <row r="82" spans="2:35" hidden="1" outlineLevel="1">
      <c r="B82" s="71" t="s">
        <v>308</v>
      </c>
      <c r="H82" s="81">
        <v>714.51099999999997</v>
      </c>
      <c r="I82" s="81">
        <v>741.03099999999995</v>
      </c>
      <c r="J82" s="81">
        <v>823.59</v>
      </c>
      <c r="K82" s="81">
        <v>861.69799999999998</v>
      </c>
      <c r="L82" s="81">
        <v>878.8823000000001</v>
      </c>
      <c r="M82" s="81">
        <v>855.84799999999996</v>
      </c>
      <c r="N82" s="81">
        <v>813.35</v>
      </c>
      <c r="O82" s="81">
        <v>915.85199999999998</v>
      </c>
      <c r="P82" s="81">
        <v>930.44</v>
      </c>
      <c r="Q82" s="81">
        <v>938.88599999999997</v>
      </c>
      <c r="R82" s="81">
        <v>949.41300203622836</v>
      </c>
      <c r="S82" s="81">
        <v>953.08600000000001</v>
      </c>
      <c r="T82" s="81">
        <v>994.97500000000002</v>
      </c>
      <c r="U82" s="81">
        <v>962.44100000000003</v>
      </c>
      <c r="V82" s="81">
        <v>1000.146</v>
      </c>
      <c r="W82" s="81">
        <v>1008.729</v>
      </c>
      <c r="X82" s="70">
        <f t="shared" si="38"/>
        <v>1016.2944675000001</v>
      </c>
      <c r="Y82" s="70">
        <f t="shared" si="38"/>
        <v>1023.9166760062502</v>
      </c>
      <c r="Z82" s="70">
        <f t="shared" si="38"/>
        <v>1031.596051076297</v>
      </c>
      <c r="AA82" s="70">
        <f t="shared" si="38"/>
        <v>1039.3330214593693</v>
      </c>
      <c r="AB82" s="70">
        <f t="shared" si="38"/>
        <v>1047.1280191203145</v>
      </c>
      <c r="AC82" s="70">
        <f t="shared" si="38"/>
        <v>1054.9814792637169</v>
      </c>
      <c r="AD82" s="70">
        <f t="shared" si="38"/>
        <v>1062.8938403581949</v>
      </c>
      <c r="AE82" s="70">
        <f t="shared" si="38"/>
        <v>1070.8655441608814</v>
      </c>
      <c r="AF82" s="70">
        <f t="shared" si="38"/>
        <v>1078.8970357420881</v>
      </c>
      <c r="AG82" s="70">
        <f t="shared" si="38"/>
        <v>1086.9887635101538</v>
      </c>
      <c r="AH82" s="70">
        <f t="shared" si="38"/>
        <v>1095.14117923648</v>
      </c>
      <c r="AI82" s="70">
        <f t="shared" si="38"/>
        <v>1103.3547380807536</v>
      </c>
    </row>
    <row r="83" spans="2:35" hidden="1" outlineLevel="1">
      <c r="B83" s="71" t="s">
        <v>309</v>
      </c>
      <c r="H83" s="81">
        <v>15199.535</v>
      </c>
      <c r="I83" s="81">
        <v>15881.147000000001</v>
      </c>
      <c r="J83" s="81">
        <v>16630.420999999998</v>
      </c>
      <c r="K83" s="81">
        <v>16761.538</v>
      </c>
      <c r="L83" s="81">
        <v>16791.076000000001</v>
      </c>
      <c r="M83" s="81">
        <v>15633.789000000001</v>
      </c>
      <c r="N83" s="81">
        <v>14616.538</v>
      </c>
      <c r="O83" s="81">
        <v>15262.72</v>
      </c>
      <c r="P83" s="81">
        <v>15502.172999999999</v>
      </c>
      <c r="Q83" s="81">
        <v>14838.308000000001</v>
      </c>
      <c r="R83" s="81">
        <v>15207.632</v>
      </c>
      <c r="S83" s="81">
        <v>15803.894</v>
      </c>
      <c r="T83" s="81">
        <v>16293.982</v>
      </c>
      <c r="U83" s="81">
        <v>16651.165000000001</v>
      </c>
      <c r="V83" s="81">
        <v>17169.164000000001</v>
      </c>
      <c r="W83" s="81">
        <v>17514.654999999999</v>
      </c>
      <c r="X83" s="70">
        <f t="shared" si="38"/>
        <v>17646.014912499999</v>
      </c>
      <c r="Y83" s="70">
        <f t="shared" si="38"/>
        <v>17778.36002434375</v>
      </c>
      <c r="Z83" s="70">
        <f t="shared" si="38"/>
        <v>17911.69772452633</v>
      </c>
      <c r="AA83" s="70">
        <f t="shared" si="38"/>
        <v>18046.035457460279</v>
      </c>
      <c r="AB83" s="70">
        <f t="shared" si="38"/>
        <v>18181.38072339123</v>
      </c>
      <c r="AC83" s="70">
        <f t="shared" si="38"/>
        <v>18317.741078816667</v>
      </c>
      <c r="AD83" s="70">
        <f t="shared" si="38"/>
        <v>18455.124136907794</v>
      </c>
      <c r="AE83" s="70">
        <f t="shared" si="38"/>
        <v>18593.537567934603</v>
      </c>
      <c r="AF83" s="70">
        <f t="shared" si="38"/>
        <v>18732.989099694114</v>
      </c>
      <c r="AG83" s="70">
        <f t="shared" si="38"/>
        <v>18873.486517941819</v>
      </c>
      <c r="AH83" s="70">
        <f t="shared" si="38"/>
        <v>19015.037666826385</v>
      </c>
      <c r="AI83" s="70">
        <f t="shared" si="38"/>
        <v>19157.650449327586</v>
      </c>
    </row>
    <row r="84" spans="2:35" hidden="1" outlineLevel="1">
      <c r="B84" s="71" t="s">
        <v>310</v>
      </c>
      <c r="H84" s="81">
        <v>7891.7370000000001</v>
      </c>
      <c r="I84" s="81">
        <v>8081.1450000000004</v>
      </c>
      <c r="J84" s="81">
        <v>8301.7469999999994</v>
      </c>
      <c r="K84" s="81">
        <v>8554.1990000000005</v>
      </c>
      <c r="L84" s="81">
        <v>8623.4500000000007</v>
      </c>
      <c r="M84" s="81">
        <v>8566.3909999999996</v>
      </c>
      <c r="N84" s="81">
        <v>7757.6909999999998</v>
      </c>
      <c r="O84" s="81">
        <v>7396.1689999999999</v>
      </c>
      <c r="P84" s="81">
        <v>7536.1940000000004</v>
      </c>
      <c r="Q84" s="81">
        <v>7670.54</v>
      </c>
      <c r="R84" s="81">
        <v>7984.9319999999998</v>
      </c>
      <c r="S84" s="81">
        <v>7963.3310000000001</v>
      </c>
      <c r="T84" s="81">
        <v>8072.5749999999998</v>
      </c>
      <c r="U84" s="81">
        <v>8268.7559999999994</v>
      </c>
      <c r="V84" s="81">
        <v>8336.0720000000001</v>
      </c>
      <c r="W84" s="81">
        <v>8418.3150000000005</v>
      </c>
      <c r="X84" s="70">
        <f t="shared" si="38"/>
        <v>8481.4523625000002</v>
      </c>
      <c r="Y84" s="70">
        <f t="shared" si="38"/>
        <v>8545.0632552187508</v>
      </c>
      <c r="Z84" s="70">
        <f t="shared" si="38"/>
        <v>8609.151229632891</v>
      </c>
      <c r="AA84" s="70">
        <f t="shared" si="38"/>
        <v>8673.7198638551381</v>
      </c>
      <c r="AB84" s="70">
        <f t="shared" si="38"/>
        <v>8738.7727628340526</v>
      </c>
      <c r="AC84" s="70">
        <f t="shared" si="38"/>
        <v>8804.3135585553082</v>
      </c>
      <c r="AD84" s="70">
        <f t="shared" si="38"/>
        <v>8870.345910244474</v>
      </c>
      <c r="AE84" s="70">
        <f t="shared" si="38"/>
        <v>8936.8735045713074</v>
      </c>
      <c r="AF84" s="70">
        <f t="shared" si="38"/>
        <v>9003.9000558555927</v>
      </c>
      <c r="AG84" s="70">
        <f t="shared" si="38"/>
        <v>9071.429306274511</v>
      </c>
      <c r="AH84" s="70">
        <f t="shared" si="38"/>
        <v>9139.4650260715698</v>
      </c>
      <c r="AI84" s="70">
        <f t="shared" si="38"/>
        <v>9208.0110137671072</v>
      </c>
    </row>
    <row r="85" spans="2:35" hidden="1" outlineLevel="1">
      <c r="B85" s="71" t="s">
        <v>311</v>
      </c>
      <c r="H85" s="81">
        <v>948.82299999999998</v>
      </c>
      <c r="I85" s="81">
        <v>950.18499999999995</v>
      </c>
      <c r="J85" s="81">
        <v>1016.577</v>
      </c>
      <c r="K85" s="81">
        <v>999.45434999999998</v>
      </c>
      <c r="L85" s="81">
        <v>974.85599999999999</v>
      </c>
      <c r="M85" s="81">
        <v>923.42</v>
      </c>
      <c r="N85" s="81">
        <v>937.053</v>
      </c>
      <c r="O85" s="81">
        <v>1125.9190000000001</v>
      </c>
      <c r="P85" s="81">
        <v>1206.568</v>
      </c>
      <c r="Q85" s="81">
        <v>1309.4829999999999</v>
      </c>
      <c r="R85" s="81">
        <v>1367.912</v>
      </c>
      <c r="S85" s="81">
        <v>1216.45</v>
      </c>
      <c r="T85" s="81">
        <v>1205.268</v>
      </c>
      <c r="U85" s="81">
        <v>1233.1679999999999</v>
      </c>
      <c r="V85" s="81">
        <v>1242.1279999999999</v>
      </c>
      <c r="W85" s="81">
        <v>1248.7539999999999</v>
      </c>
      <c r="X85" s="70">
        <f t="shared" si="38"/>
        <v>1258.119655</v>
      </c>
      <c r="Y85" s="70">
        <f t="shared" si="38"/>
        <v>1267.5555524125</v>
      </c>
      <c r="Z85" s="70">
        <f t="shared" si="38"/>
        <v>1277.0622190555939</v>
      </c>
      <c r="AA85" s="70">
        <f t="shared" si="38"/>
        <v>1286.640185698511</v>
      </c>
      <c r="AB85" s="70">
        <f t="shared" si="38"/>
        <v>1296.2899870912499</v>
      </c>
      <c r="AC85" s="70">
        <f t="shared" si="38"/>
        <v>1306.0121619944343</v>
      </c>
      <c r="AD85" s="70">
        <f t="shared" si="38"/>
        <v>1315.8072532093927</v>
      </c>
      <c r="AE85" s="70">
        <f t="shared" si="38"/>
        <v>1325.6758076084632</v>
      </c>
      <c r="AF85" s="70">
        <f t="shared" si="38"/>
        <v>1335.6183761655268</v>
      </c>
      <c r="AG85" s="70">
        <f t="shared" si="38"/>
        <v>1345.6355139867683</v>
      </c>
      <c r="AH85" s="70">
        <f t="shared" si="38"/>
        <v>1355.7277803416691</v>
      </c>
      <c r="AI85" s="70">
        <f t="shared" si="38"/>
        <v>1365.8957386942318</v>
      </c>
    </row>
    <row r="86" spans="2:35" hidden="1" outlineLevel="1">
      <c r="B86" s="71" t="s">
        <v>312</v>
      </c>
      <c r="H86" s="81">
        <v>1369.4179999999999</v>
      </c>
      <c r="I86" s="81">
        <v>1406.338</v>
      </c>
      <c r="J86" s="81">
        <v>1300.32</v>
      </c>
      <c r="K86" s="81">
        <v>1301.203</v>
      </c>
      <c r="L86" s="81">
        <v>1357.325</v>
      </c>
      <c r="M86" s="81">
        <v>1405.5070000000001</v>
      </c>
      <c r="N86" s="81">
        <v>1353.173</v>
      </c>
      <c r="O86" s="81">
        <v>1598.3</v>
      </c>
      <c r="P86" s="81">
        <v>1624.4690000000001</v>
      </c>
      <c r="Q86" s="81">
        <v>1679.702</v>
      </c>
      <c r="R86" s="81">
        <v>1749.693</v>
      </c>
      <c r="S86" s="81">
        <v>1840.5609999999999</v>
      </c>
      <c r="T86" s="81">
        <v>1826.481</v>
      </c>
      <c r="U86" s="81">
        <v>1819.1210000000001</v>
      </c>
      <c r="V86" s="81">
        <v>1863.008</v>
      </c>
      <c r="W86" s="81">
        <v>1939.98</v>
      </c>
      <c r="X86" s="70">
        <f t="shared" si="38"/>
        <v>1954.5298500000001</v>
      </c>
      <c r="Y86" s="70">
        <f t="shared" si="38"/>
        <v>1969.1888238750003</v>
      </c>
      <c r="Z86" s="70">
        <f t="shared" si="38"/>
        <v>1983.9577400540629</v>
      </c>
      <c r="AA86" s="70">
        <f t="shared" si="38"/>
        <v>1998.8374231044686</v>
      </c>
      <c r="AB86" s="70">
        <f t="shared" si="38"/>
        <v>2013.8287037777523</v>
      </c>
      <c r="AC86" s="70">
        <f t="shared" si="38"/>
        <v>2028.9324190560856</v>
      </c>
      <c r="AD86" s="70">
        <f t="shared" si="38"/>
        <v>2044.1494121990063</v>
      </c>
      <c r="AE86" s="70">
        <f t="shared" si="38"/>
        <v>2059.4805327904992</v>
      </c>
      <c r="AF86" s="70">
        <f t="shared" si="38"/>
        <v>2074.9266367864279</v>
      </c>
      <c r="AG86" s="70">
        <f t="shared" si="38"/>
        <v>2090.4885865623264</v>
      </c>
      <c r="AH86" s="70">
        <f t="shared" si="38"/>
        <v>2106.1672509615441</v>
      </c>
      <c r="AI86" s="70">
        <f t="shared" si="38"/>
        <v>2121.963505343756</v>
      </c>
    </row>
    <row r="87" spans="2:35" hidden="1" outlineLevel="1">
      <c r="B87" s="71" t="s">
        <v>313</v>
      </c>
      <c r="H87" s="81">
        <v>9403.3880000000008</v>
      </c>
      <c r="I87" s="81">
        <v>9645.59</v>
      </c>
      <c r="J87" s="81">
        <v>10063.691000000001</v>
      </c>
      <c r="K87" s="81">
        <v>9957.1290000000008</v>
      </c>
      <c r="L87" s="81">
        <v>10016.885</v>
      </c>
      <c r="M87" s="81">
        <v>10130.834999999999</v>
      </c>
      <c r="N87" s="81">
        <v>10326.002</v>
      </c>
      <c r="O87" s="81">
        <v>10285.627</v>
      </c>
      <c r="P87" s="81">
        <v>10002.503000000001</v>
      </c>
      <c r="Q87" s="81">
        <v>10061.290999999999</v>
      </c>
      <c r="R87" s="81">
        <v>10264.172</v>
      </c>
      <c r="S87" s="81">
        <v>10461.262000000001</v>
      </c>
      <c r="T87" s="81">
        <v>10142.252</v>
      </c>
      <c r="U87" s="81">
        <v>10757.136</v>
      </c>
      <c r="V87" s="81">
        <v>10453.433999999999</v>
      </c>
      <c r="W87" s="81">
        <v>10559.491</v>
      </c>
      <c r="X87" s="70">
        <f t="shared" si="38"/>
        <v>10638.6871825</v>
      </c>
      <c r="Y87" s="70">
        <f t="shared" si="38"/>
        <v>10718.477336368751</v>
      </c>
      <c r="Z87" s="70">
        <f t="shared" si="38"/>
        <v>10798.865916391518</v>
      </c>
      <c r="AA87" s="70">
        <f t="shared" si="38"/>
        <v>10879.857410764454</v>
      </c>
      <c r="AB87" s="70">
        <f t="shared" si="38"/>
        <v>10961.456341345189</v>
      </c>
      <c r="AC87" s="70">
        <f t="shared" si="38"/>
        <v>11043.667263905278</v>
      </c>
      <c r="AD87" s="70">
        <f t="shared" si="38"/>
        <v>11126.494768384568</v>
      </c>
      <c r="AE87" s="70">
        <f t="shared" si="38"/>
        <v>11209.943479147452</v>
      </c>
      <c r="AF87" s="70">
        <f t="shared" si="38"/>
        <v>11294.018055241058</v>
      </c>
      <c r="AG87" s="70">
        <f t="shared" si="38"/>
        <v>11378.723190655366</v>
      </c>
      <c r="AH87" s="70">
        <f t="shared" si="38"/>
        <v>11464.063614585282</v>
      </c>
      <c r="AI87" s="70">
        <f t="shared" si="38"/>
        <v>11550.044091694672</v>
      </c>
    </row>
    <row r="88" spans="2:35" hidden="1" outlineLevel="1">
      <c r="B88" s="71" t="s">
        <v>314</v>
      </c>
      <c r="H88" s="81">
        <v>5577.12</v>
      </c>
      <c r="I88" s="81">
        <v>4999.5959999999995</v>
      </c>
      <c r="J88" s="81">
        <v>4999.5959999999995</v>
      </c>
      <c r="K88" s="81">
        <v>4999.5959999999995</v>
      </c>
      <c r="L88" s="81">
        <v>5946.3230000000003</v>
      </c>
      <c r="M88" s="81">
        <v>5946.3230000000003</v>
      </c>
      <c r="N88" s="81">
        <v>5796.7479999999996</v>
      </c>
      <c r="O88" s="81">
        <v>6041.2510000000002</v>
      </c>
      <c r="P88" s="81">
        <v>5947.0450000000001</v>
      </c>
      <c r="Q88" s="81">
        <v>5549.0159999999996</v>
      </c>
      <c r="R88" s="81">
        <v>5991.857</v>
      </c>
      <c r="S88" s="81">
        <v>6011.6549999999997</v>
      </c>
      <c r="T88" s="81">
        <v>6106.8419999999996</v>
      </c>
      <c r="U88" s="81">
        <v>6136.384</v>
      </c>
      <c r="V88" s="81">
        <v>6156.2719999999999</v>
      </c>
      <c r="W88" s="81">
        <v>6190.0370000000003</v>
      </c>
      <c r="X88" s="70">
        <f t="shared" si="38"/>
        <v>6236.4622775000007</v>
      </c>
      <c r="Y88" s="70">
        <f t="shared" si="38"/>
        <v>6283.2357445812513</v>
      </c>
      <c r="Z88" s="70">
        <f t="shared" si="38"/>
        <v>6330.3600126656111</v>
      </c>
      <c r="AA88" s="70">
        <f t="shared" si="38"/>
        <v>6377.8377127606036</v>
      </c>
      <c r="AB88" s="70">
        <f t="shared" si="38"/>
        <v>6425.6714956063088</v>
      </c>
      <c r="AC88" s="70">
        <f t="shared" si="38"/>
        <v>6473.8640318233565</v>
      </c>
      <c r="AD88" s="70">
        <f t="shared" si="38"/>
        <v>6522.4180120620322</v>
      </c>
      <c r="AE88" s="70">
        <f t="shared" si="38"/>
        <v>6571.3361471524977</v>
      </c>
      <c r="AF88" s="70">
        <f t="shared" si="38"/>
        <v>6620.6211682561416</v>
      </c>
      <c r="AG88" s="70">
        <f t="shared" si="38"/>
        <v>6670.275827018063</v>
      </c>
      <c r="AH88" s="70">
        <f t="shared" si="38"/>
        <v>6720.3028957206989</v>
      </c>
      <c r="AI88" s="70">
        <f t="shared" si="38"/>
        <v>6770.7051674386048</v>
      </c>
    </row>
    <row r="89" spans="2:35" hidden="1" outlineLevel="1">
      <c r="B89" s="71" t="s">
        <v>315</v>
      </c>
      <c r="H89" s="81">
        <v>3459.68</v>
      </c>
      <c r="I89" s="81">
        <v>3493.7280000000001</v>
      </c>
      <c r="J89" s="81">
        <v>3456.47</v>
      </c>
      <c r="K89" s="81">
        <v>3470.79</v>
      </c>
      <c r="L89" s="81">
        <v>3562.328</v>
      </c>
      <c r="M89" s="81">
        <v>3505.605</v>
      </c>
      <c r="N89" s="81">
        <v>3457.5889999999999</v>
      </c>
      <c r="O89" s="81">
        <v>3447.2460000000001</v>
      </c>
      <c r="P89" s="81">
        <v>3466.5929999999998</v>
      </c>
      <c r="Q89" s="81">
        <v>3496.4290000000001</v>
      </c>
      <c r="R89" s="81">
        <v>3552.5459999999998</v>
      </c>
      <c r="S89" s="81">
        <v>3592.3939999999998</v>
      </c>
      <c r="T89" s="81">
        <v>3631.7559999999999</v>
      </c>
      <c r="U89" s="81">
        <v>3705.1080000000002</v>
      </c>
      <c r="V89" s="81">
        <v>3646.5680000000002</v>
      </c>
      <c r="W89" s="81">
        <v>3741.134</v>
      </c>
      <c r="X89" s="70">
        <f t="shared" si="38"/>
        <v>3769.1925050000004</v>
      </c>
      <c r="Y89" s="70">
        <f t="shared" si="38"/>
        <v>3797.4614487875006</v>
      </c>
      <c r="Z89" s="70">
        <f t="shared" si="38"/>
        <v>3825.9424096534071</v>
      </c>
      <c r="AA89" s="70">
        <f t="shared" si="38"/>
        <v>3854.6369777258078</v>
      </c>
      <c r="AB89" s="70">
        <f t="shared" si="38"/>
        <v>3883.5467550587514</v>
      </c>
      <c r="AC89" s="70">
        <f t="shared" si="38"/>
        <v>3912.6733557216921</v>
      </c>
      <c r="AD89" s="70">
        <f t="shared" si="38"/>
        <v>3942.0184058896052</v>
      </c>
      <c r="AE89" s="70">
        <f t="shared" si="38"/>
        <v>3971.5835439337775</v>
      </c>
      <c r="AF89" s="70">
        <f t="shared" si="38"/>
        <v>4001.3704205132813</v>
      </c>
      <c r="AG89" s="70">
        <f t="shared" si="38"/>
        <v>4031.3806986671311</v>
      </c>
      <c r="AH89" s="70">
        <f t="shared" si="38"/>
        <v>4061.6160539071348</v>
      </c>
      <c r="AI89" s="70">
        <f t="shared" si="38"/>
        <v>4092.0781743114385</v>
      </c>
    </row>
    <row r="90" spans="2:35" hidden="1" outlineLevel="1">
      <c r="B90" s="71" t="s">
        <v>316</v>
      </c>
      <c r="H90" s="81">
        <v>2376.8240000000001</v>
      </c>
      <c r="I90" s="81">
        <v>2403.1759999999999</v>
      </c>
      <c r="J90" s="81">
        <v>2429.1</v>
      </c>
      <c r="K90" s="81">
        <v>2473.9369999999999</v>
      </c>
      <c r="L90" s="81">
        <v>2500.585</v>
      </c>
      <c r="M90" s="81">
        <v>2478.6849999999999</v>
      </c>
      <c r="N90" s="81">
        <v>2491.4209999999998</v>
      </c>
      <c r="O90" s="81">
        <v>2402.337</v>
      </c>
      <c r="P90" s="81">
        <v>2410.08</v>
      </c>
      <c r="Q90" s="81">
        <v>2588.6610000000001</v>
      </c>
      <c r="R90" s="81">
        <v>2504.8649999999998</v>
      </c>
      <c r="S90" s="81">
        <v>2596.498</v>
      </c>
      <c r="T90" s="81">
        <v>2630.2930000000001</v>
      </c>
      <c r="U90" s="81">
        <v>2697.87</v>
      </c>
      <c r="V90" s="81">
        <v>2662.7910000000002</v>
      </c>
      <c r="W90" s="81">
        <v>2661.9929999999999</v>
      </c>
      <c r="X90" s="70">
        <f t="shared" si="38"/>
        <v>2681.9579475</v>
      </c>
      <c r="Y90" s="70">
        <f t="shared" si="38"/>
        <v>2702.0726321062502</v>
      </c>
      <c r="Z90" s="70">
        <f t="shared" si="38"/>
        <v>2722.3381768470472</v>
      </c>
      <c r="AA90" s="70">
        <f t="shared" si="38"/>
        <v>2742.7557131734002</v>
      </c>
      <c r="AB90" s="70">
        <f t="shared" si="38"/>
        <v>2763.3263810222011</v>
      </c>
      <c r="AC90" s="70">
        <f t="shared" si="38"/>
        <v>2784.0513288798679</v>
      </c>
      <c r="AD90" s="70">
        <f t="shared" si="38"/>
        <v>2804.9317138464671</v>
      </c>
      <c r="AE90" s="70">
        <f t="shared" si="38"/>
        <v>2825.9687017003157</v>
      </c>
      <c r="AF90" s="70">
        <f t="shared" si="38"/>
        <v>2847.1634669630685</v>
      </c>
      <c r="AG90" s="70">
        <f t="shared" si="38"/>
        <v>2868.5171929652915</v>
      </c>
      <c r="AH90" s="70">
        <f t="shared" si="38"/>
        <v>2890.0310719125314</v>
      </c>
      <c r="AI90" s="70">
        <f t="shared" si="38"/>
        <v>2911.7063049518756</v>
      </c>
    </row>
    <row r="91" spans="2:35" hidden="1" outlineLevel="1">
      <c r="B91" s="71" t="s">
        <v>317</v>
      </c>
      <c r="H91" s="81">
        <v>3323.7359999999999</v>
      </c>
      <c r="I91" s="81">
        <v>3434.6869999999999</v>
      </c>
      <c r="J91" s="81">
        <v>3567.81</v>
      </c>
      <c r="K91" s="81">
        <v>3558.9576557812502</v>
      </c>
      <c r="L91" s="81">
        <v>3619.1706385703123</v>
      </c>
      <c r="M91" s="81">
        <v>3602.1709999999998</v>
      </c>
      <c r="N91" s="81">
        <v>3609.7539999999999</v>
      </c>
      <c r="O91" s="81">
        <v>3699.4160000000002</v>
      </c>
      <c r="P91" s="81">
        <v>3624.6010000000001</v>
      </c>
      <c r="Q91" s="81">
        <v>3986.0619999999999</v>
      </c>
      <c r="R91" s="81">
        <v>4103.0460000000003</v>
      </c>
      <c r="S91" s="81">
        <v>4059.377</v>
      </c>
      <c r="T91" s="81">
        <v>4131.6769999999997</v>
      </c>
      <c r="U91" s="81">
        <v>4200.5929999999998</v>
      </c>
      <c r="V91" s="81">
        <v>4273.5460000000003</v>
      </c>
      <c r="W91" s="81">
        <v>4290.6580000000004</v>
      </c>
      <c r="X91" s="70">
        <f t="shared" si="38"/>
        <v>4322.8379350000005</v>
      </c>
      <c r="Y91" s="70">
        <f t="shared" si="38"/>
        <v>4355.2592195125007</v>
      </c>
      <c r="Z91" s="70">
        <f t="shared" si="38"/>
        <v>4387.9236636588448</v>
      </c>
      <c r="AA91" s="70">
        <f t="shared" si="38"/>
        <v>4420.8330911362864</v>
      </c>
      <c r="AB91" s="70">
        <f t="shared" si="38"/>
        <v>4453.989339319809</v>
      </c>
      <c r="AC91" s="70">
        <f t="shared" si="38"/>
        <v>4487.394259364708</v>
      </c>
      <c r="AD91" s="70">
        <f t="shared" si="38"/>
        <v>4521.0497163099435</v>
      </c>
      <c r="AE91" s="70">
        <f t="shared" si="38"/>
        <v>4554.9575891822687</v>
      </c>
      <c r="AF91" s="70">
        <f t="shared" si="38"/>
        <v>4589.1197711011364</v>
      </c>
      <c r="AG91" s="70">
        <f t="shared" si="38"/>
        <v>4623.5381693843956</v>
      </c>
      <c r="AH91" s="70">
        <f t="shared" si="38"/>
        <v>4658.2147056547792</v>
      </c>
      <c r="AI91" s="70">
        <f t="shared" si="38"/>
        <v>4693.1513159471906</v>
      </c>
    </row>
    <row r="92" spans="2:35" hidden="1" outlineLevel="1">
      <c r="B92" s="71" t="s">
        <v>318</v>
      </c>
      <c r="H92" s="81">
        <v>3728.0030000000002</v>
      </c>
      <c r="I92" s="81">
        <v>3777.1489999999999</v>
      </c>
      <c r="J92" s="81">
        <v>3833.1260000000002</v>
      </c>
      <c r="K92" s="81">
        <v>3886.5235000000002</v>
      </c>
      <c r="L92" s="81">
        <v>3940.9274500000001</v>
      </c>
      <c r="M92" s="81">
        <v>3992.8530000000001</v>
      </c>
      <c r="N92" s="81">
        <v>4040.5990000000002</v>
      </c>
      <c r="O92" s="81">
        <v>3982.2330000000002</v>
      </c>
      <c r="P92" s="81">
        <v>3832.6050000000005</v>
      </c>
      <c r="Q92" s="81">
        <v>3848.5590000000002</v>
      </c>
      <c r="R92" s="81">
        <v>3774.4720000000002</v>
      </c>
      <c r="S92" s="81">
        <v>3792.6590000000001</v>
      </c>
      <c r="T92" s="81">
        <v>3792.6590000000001</v>
      </c>
      <c r="U92" s="81">
        <v>3794.82</v>
      </c>
      <c r="V92" s="81">
        <v>3773.596</v>
      </c>
      <c r="W92" s="81">
        <v>3692.5740000000001</v>
      </c>
      <c r="X92" s="70">
        <f t="shared" si="38"/>
        <v>3720.2683050000005</v>
      </c>
      <c r="Y92" s="70">
        <f t="shared" si="38"/>
        <v>3748.1703172875009</v>
      </c>
      <c r="Z92" s="70">
        <f t="shared" si="38"/>
        <v>3776.2815946671576</v>
      </c>
      <c r="AA92" s="70">
        <f t="shared" si="38"/>
        <v>3804.6037066271615</v>
      </c>
      <c r="AB92" s="70">
        <f t="shared" si="38"/>
        <v>3833.1382344268654</v>
      </c>
      <c r="AC92" s="70">
        <f t="shared" si="38"/>
        <v>3861.8867711850671</v>
      </c>
      <c r="AD92" s="70">
        <f t="shared" si="38"/>
        <v>3890.8509219689554</v>
      </c>
      <c r="AE92" s="70">
        <f t="shared" si="38"/>
        <v>3920.0323038837228</v>
      </c>
      <c r="AF92" s="70">
        <f t="shared" si="38"/>
        <v>3949.4325461628509</v>
      </c>
      <c r="AG92" s="70">
        <f t="shared" si="38"/>
        <v>3979.0532902590726</v>
      </c>
      <c r="AH92" s="70">
        <f t="shared" si="38"/>
        <v>4008.8961899360161</v>
      </c>
      <c r="AI92" s="70">
        <f t="shared" si="38"/>
        <v>4038.9629113605365</v>
      </c>
    </row>
    <row r="93" spans="2:35" hidden="1" outlineLevel="1">
      <c r="B93" s="71" t="s">
        <v>319</v>
      </c>
      <c r="H93" s="81">
        <v>1084.4190000000001</v>
      </c>
      <c r="I93" s="81">
        <v>1093.3409999999999</v>
      </c>
      <c r="J93" s="81">
        <v>1094.232</v>
      </c>
      <c r="K93" s="81">
        <v>1105.6020000000001</v>
      </c>
      <c r="L93" s="81">
        <v>1103.788</v>
      </c>
      <c r="M93" s="81">
        <v>1086.0840000000001</v>
      </c>
      <c r="N93" s="81">
        <v>1084.6880000000001</v>
      </c>
      <c r="O93" s="81">
        <v>1148.3389999999999</v>
      </c>
      <c r="P93" s="81">
        <v>1166.0990000000002</v>
      </c>
      <c r="Q93" s="81">
        <v>1185.018</v>
      </c>
      <c r="R93" s="81">
        <v>1178.4780000000001</v>
      </c>
      <c r="S93" s="81">
        <v>1087.23</v>
      </c>
      <c r="T93" s="81">
        <v>1090.9949999999999</v>
      </c>
      <c r="U93" s="81">
        <v>1077.704</v>
      </c>
      <c r="V93" s="81">
        <v>1108.232</v>
      </c>
      <c r="W93" s="81">
        <v>1113.0899999999999</v>
      </c>
      <c r="X93" s="70">
        <f t="shared" si="38"/>
        <v>1121.438175</v>
      </c>
      <c r="Y93" s="70">
        <f t="shared" si="38"/>
        <v>1129.8489613125</v>
      </c>
      <c r="Z93" s="70">
        <f t="shared" si="38"/>
        <v>1138.3228285223438</v>
      </c>
      <c r="AA93" s="70">
        <f t="shared" si="38"/>
        <v>1146.8602497362615</v>
      </c>
      <c r="AB93" s="70">
        <f t="shared" si="38"/>
        <v>1155.4617016092836</v>
      </c>
      <c r="AC93" s="70">
        <f t="shared" si="38"/>
        <v>1164.1276643713534</v>
      </c>
      <c r="AD93" s="70">
        <f t="shared" si="38"/>
        <v>1172.8586218541386</v>
      </c>
      <c r="AE93" s="70">
        <f t="shared" si="38"/>
        <v>1181.6550615180447</v>
      </c>
      <c r="AF93" s="70">
        <f t="shared" si="38"/>
        <v>1190.5174744794301</v>
      </c>
      <c r="AG93" s="70">
        <f t="shared" si="38"/>
        <v>1199.446355538026</v>
      </c>
      <c r="AH93" s="70">
        <f t="shared" si="38"/>
        <v>1208.4422032045613</v>
      </c>
      <c r="AI93" s="70">
        <f t="shared" si="38"/>
        <v>1217.5055197285956</v>
      </c>
    </row>
    <row r="94" spans="2:35" hidden="1" outlineLevel="1">
      <c r="B94" s="71" t="s">
        <v>320</v>
      </c>
      <c r="H94" s="81">
        <v>4143.1850000000004</v>
      </c>
      <c r="I94" s="81">
        <v>4347.8950000000004</v>
      </c>
      <c r="J94" s="81">
        <v>4510.5879999999997</v>
      </c>
      <c r="K94" s="81">
        <v>4538.0475999999999</v>
      </c>
      <c r="L94" s="81">
        <v>4553.8537999999999</v>
      </c>
      <c r="M94" s="81">
        <v>4515.2820000000002</v>
      </c>
      <c r="N94" s="81">
        <v>4585.7839999999997</v>
      </c>
      <c r="O94" s="81">
        <v>3822.7959999999998</v>
      </c>
      <c r="P94" s="81">
        <v>3913.7020000000002</v>
      </c>
      <c r="Q94" s="81">
        <v>3764.7689999999998</v>
      </c>
      <c r="R94" s="81">
        <v>3950.7469999999998</v>
      </c>
      <c r="S94" s="81">
        <v>4051.2890000000002</v>
      </c>
      <c r="T94" s="81">
        <v>4084.9929999999999</v>
      </c>
      <c r="U94" s="81">
        <v>4263.6580000000004</v>
      </c>
      <c r="V94" s="81">
        <v>4111.24</v>
      </c>
      <c r="W94" s="81">
        <v>4112.6930000000002</v>
      </c>
      <c r="X94" s="70">
        <f t="shared" ref="X94:AI109" si="39">+W94*(1+X$126)</f>
        <v>4143.5381975</v>
      </c>
      <c r="Y94" s="70">
        <f t="shared" si="39"/>
        <v>4174.6147339812505</v>
      </c>
      <c r="Z94" s="70">
        <f t="shared" si="39"/>
        <v>4205.9243444861104</v>
      </c>
      <c r="AA94" s="70">
        <f t="shared" si="39"/>
        <v>4237.4687770697565</v>
      </c>
      <c r="AB94" s="70">
        <f t="shared" si="39"/>
        <v>4269.24979289778</v>
      </c>
      <c r="AC94" s="70">
        <f t="shared" si="39"/>
        <v>4301.2691663445139</v>
      </c>
      <c r="AD94" s="70">
        <f t="shared" si="39"/>
        <v>4333.5286850920984</v>
      </c>
      <c r="AE94" s="70">
        <f t="shared" si="39"/>
        <v>4366.0301502302891</v>
      </c>
      <c r="AF94" s="70">
        <f t="shared" si="39"/>
        <v>4398.7753763570163</v>
      </c>
      <c r="AG94" s="70">
        <f t="shared" si="39"/>
        <v>4431.7661916796942</v>
      </c>
      <c r="AH94" s="70">
        <f t="shared" si="39"/>
        <v>4465.004438117292</v>
      </c>
      <c r="AI94" s="70">
        <f t="shared" si="39"/>
        <v>4498.4919714031721</v>
      </c>
    </row>
    <row r="95" spans="2:35" hidden="1" outlineLevel="1">
      <c r="B95" s="71" t="s">
        <v>351</v>
      </c>
      <c r="H95" s="81">
        <v>5520.6760000000004</v>
      </c>
      <c r="I95" s="81">
        <v>5485.3190000000004</v>
      </c>
      <c r="J95" s="81">
        <v>5453.402</v>
      </c>
      <c r="K95" s="81">
        <v>5433.1589999999997</v>
      </c>
      <c r="L95" s="81">
        <v>5402.8040000000001</v>
      </c>
      <c r="M95" s="81">
        <v>5338.6949999999997</v>
      </c>
      <c r="N95" s="81">
        <v>5409.625</v>
      </c>
      <c r="O95" s="81">
        <v>5622.6760000000004</v>
      </c>
      <c r="P95" s="81">
        <v>4883.6129999999994</v>
      </c>
      <c r="Q95" s="81">
        <v>4918.5360000000001</v>
      </c>
      <c r="R95" s="81">
        <v>4924.3419258517197</v>
      </c>
      <c r="S95" s="81">
        <v>5000.759</v>
      </c>
      <c r="T95" s="81">
        <v>5000.759</v>
      </c>
      <c r="U95" s="81">
        <v>5036.0259999999998</v>
      </c>
      <c r="V95" s="81">
        <v>5031.7650000000003</v>
      </c>
      <c r="W95" s="81">
        <v>5032.7960000000003</v>
      </c>
      <c r="X95" s="70">
        <f t="shared" si="39"/>
        <v>5070.5419700000002</v>
      </c>
      <c r="Y95" s="70">
        <f t="shared" si="39"/>
        <v>5108.571034775001</v>
      </c>
      <c r="Z95" s="70">
        <f t="shared" si="39"/>
        <v>5146.8853175358136</v>
      </c>
      <c r="AA95" s="70">
        <f t="shared" si="39"/>
        <v>5185.4869574173326</v>
      </c>
      <c r="AB95" s="70">
        <f t="shared" si="39"/>
        <v>5224.378109597963</v>
      </c>
      <c r="AC95" s="70">
        <f t="shared" si="39"/>
        <v>5263.5609454199484</v>
      </c>
      <c r="AD95" s="70">
        <f t="shared" si="39"/>
        <v>5303.0376525105985</v>
      </c>
      <c r="AE95" s="70">
        <f t="shared" si="39"/>
        <v>5342.8104349044279</v>
      </c>
      <c r="AF95" s="70">
        <f t="shared" si="39"/>
        <v>5382.8815131662113</v>
      </c>
      <c r="AG95" s="70">
        <f t="shared" si="39"/>
        <v>5423.2531245149585</v>
      </c>
      <c r="AH95" s="70">
        <f t="shared" si="39"/>
        <v>5463.9275229488212</v>
      </c>
      <c r="AI95" s="70">
        <f t="shared" si="39"/>
        <v>5504.9069793709377</v>
      </c>
    </row>
    <row r="96" spans="2:35" hidden="1" outlineLevel="1">
      <c r="B96" s="71" t="s">
        <v>321</v>
      </c>
      <c r="H96" s="81">
        <v>8471.7759999999998</v>
      </c>
      <c r="I96" s="81">
        <v>8354.6589999999997</v>
      </c>
      <c r="J96" s="81">
        <v>8243.7510000000002</v>
      </c>
      <c r="K96" s="81">
        <v>8300.5059999999994</v>
      </c>
      <c r="L96" s="81">
        <v>8055.6279999999997</v>
      </c>
      <c r="M96" s="81">
        <v>8018.0829999999996</v>
      </c>
      <c r="N96" s="81">
        <v>9401.2309999999998</v>
      </c>
      <c r="O96" s="81">
        <v>9066.2800000000007</v>
      </c>
      <c r="P96" s="81">
        <v>7717.7389999999996</v>
      </c>
      <c r="Q96" s="81">
        <v>8112.4849999999997</v>
      </c>
      <c r="R96" s="81">
        <v>8046.7520000000004</v>
      </c>
      <c r="S96" s="81">
        <v>8214.1039999999994</v>
      </c>
      <c r="T96" s="81">
        <v>8252.2199999999993</v>
      </c>
      <c r="U96" s="81">
        <v>8437.7160000000003</v>
      </c>
      <c r="V96" s="81">
        <v>8299.7270000000008</v>
      </c>
      <c r="W96" s="81">
        <v>8361.9140000000007</v>
      </c>
      <c r="X96" s="70">
        <f t="shared" si="39"/>
        <v>8424.6283550000007</v>
      </c>
      <c r="Y96" s="70">
        <f t="shared" si="39"/>
        <v>8487.8130676625005</v>
      </c>
      <c r="Z96" s="70">
        <f t="shared" si="39"/>
        <v>8551.4716656699693</v>
      </c>
      <c r="AA96" s="70">
        <f t="shared" si="39"/>
        <v>8615.6077031624955</v>
      </c>
      <c r="AB96" s="70">
        <f t="shared" si="39"/>
        <v>8680.2247609362148</v>
      </c>
      <c r="AC96" s="70">
        <f t="shared" si="39"/>
        <v>8745.3264466432374</v>
      </c>
      <c r="AD96" s="70">
        <f t="shared" si="39"/>
        <v>8810.9163949930626</v>
      </c>
      <c r="AE96" s="70">
        <f t="shared" si="39"/>
        <v>8876.9982679555105</v>
      </c>
      <c r="AF96" s="70">
        <f t="shared" si="39"/>
        <v>8943.5757549651771</v>
      </c>
      <c r="AG96" s="70">
        <f t="shared" si="39"/>
        <v>9010.652573127416</v>
      </c>
      <c r="AH96" s="70">
        <f t="shared" si="39"/>
        <v>9078.2324674258725</v>
      </c>
      <c r="AI96" s="70">
        <f t="shared" si="39"/>
        <v>9146.3192109315678</v>
      </c>
    </row>
    <row r="97" spans="2:35" hidden="1" outlineLevel="1">
      <c r="B97" s="71" t="s">
        <v>322</v>
      </c>
      <c r="H97" s="81">
        <v>4723.9409999999998</v>
      </c>
      <c r="I97" s="81">
        <v>4787.6459999999997</v>
      </c>
      <c r="J97" s="81">
        <v>4860.1080000000002</v>
      </c>
      <c r="K97" s="81">
        <v>4923.2020000000002</v>
      </c>
      <c r="L97" s="81">
        <v>4970.21</v>
      </c>
      <c r="M97" s="81">
        <v>4984.1130000000003</v>
      </c>
      <c r="N97" s="81">
        <v>5040.3109999999997</v>
      </c>
      <c r="O97" s="81">
        <v>4833.4719999999998</v>
      </c>
      <c r="P97" s="81">
        <v>5039.8389999999999</v>
      </c>
      <c r="Q97" s="81">
        <v>5160.2960000000003</v>
      </c>
      <c r="R97" s="81">
        <v>5163.5261366978066</v>
      </c>
      <c r="S97" s="81">
        <v>5214.6080000000002</v>
      </c>
      <c r="T97" s="81">
        <v>5291.4809999999998</v>
      </c>
      <c r="U97" s="81">
        <v>5614.6450000000004</v>
      </c>
      <c r="V97" s="81">
        <v>5335.0429999999997</v>
      </c>
      <c r="W97" s="81">
        <v>5358.6030000000001</v>
      </c>
      <c r="X97" s="70">
        <f t="shared" si="39"/>
        <v>5398.7925225000008</v>
      </c>
      <c r="Y97" s="70">
        <f t="shared" si="39"/>
        <v>5439.2834664187512</v>
      </c>
      <c r="Z97" s="70">
        <f t="shared" si="39"/>
        <v>5480.0780924168921</v>
      </c>
      <c r="AA97" s="70">
        <f t="shared" si="39"/>
        <v>5521.1786781100191</v>
      </c>
      <c r="AB97" s="70">
        <f t="shared" si="39"/>
        <v>5562.5875181958445</v>
      </c>
      <c r="AC97" s="70">
        <f t="shared" si="39"/>
        <v>5604.3069245823135</v>
      </c>
      <c r="AD97" s="70">
        <f t="shared" si="39"/>
        <v>5646.3392265166813</v>
      </c>
      <c r="AE97" s="70">
        <f t="shared" si="39"/>
        <v>5688.686770715557</v>
      </c>
      <c r="AF97" s="70">
        <f t="shared" si="39"/>
        <v>5731.3519214959242</v>
      </c>
      <c r="AG97" s="70">
        <f t="shared" si="39"/>
        <v>5774.3370609071444</v>
      </c>
      <c r="AH97" s="70">
        <f t="shared" si="39"/>
        <v>5817.6445888639482</v>
      </c>
      <c r="AI97" s="70">
        <f t="shared" si="39"/>
        <v>5861.2769232804285</v>
      </c>
    </row>
    <row r="98" spans="2:35" hidden="1" outlineLevel="1">
      <c r="B98" s="71" t="s">
        <v>323</v>
      </c>
      <c r="H98" s="81">
        <v>1955.8630000000001</v>
      </c>
      <c r="I98" s="81">
        <v>1969.317</v>
      </c>
      <c r="J98" s="81">
        <v>1988.124</v>
      </c>
      <c r="K98" s="81">
        <v>2003.549</v>
      </c>
      <c r="L98" s="81">
        <v>2029.3710000000001</v>
      </c>
      <c r="M98" s="81">
        <v>2019.134</v>
      </c>
      <c r="N98" s="81">
        <v>2008.673</v>
      </c>
      <c r="O98" s="81">
        <v>1986.8579999999999</v>
      </c>
      <c r="P98" s="81">
        <v>2015.8600000000001</v>
      </c>
      <c r="Q98" s="81">
        <v>2055.4679999999998</v>
      </c>
      <c r="R98" s="81">
        <v>2049.8330000000001</v>
      </c>
      <c r="S98" s="81">
        <v>2050.3339999999998</v>
      </c>
      <c r="T98" s="81">
        <v>2048.7179999999998</v>
      </c>
      <c r="U98" s="81">
        <v>2039.0609999999999</v>
      </c>
      <c r="V98" s="81">
        <v>2050.386</v>
      </c>
      <c r="W98" s="81">
        <v>2050.3290000000002</v>
      </c>
      <c r="X98" s="70">
        <f t="shared" si="39"/>
        <v>2065.7064675000001</v>
      </c>
      <c r="Y98" s="70">
        <f t="shared" si="39"/>
        <v>2081.1992660062501</v>
      </c>
      <c r="Z98" s="70">
        <f t="shared" si="39"/>
        <v>2096.8082605012974</v>
      </c>
      <c r="AA98" s="70">
        <f t="shared" si="39"/>
        <v>2112.534322455057</v>
      </c>
      <c r="AB98" s="70">
        <f t="shared" si="39"/>
        <v>2128.3783298734702</v>
      </c>
      <c r="AC98" s="70">
        <f t="shared" si="39"/>
        <v>2144.3411673475212</v>
      </c>
      <c r="AD98" s="70">
        <f t="shared" si="39"/>
        <v>2160.4237261026278</v>
      </c>
      <c r="AE98" s="70">
        <f t="shared" si="39"/>
        <v>2176.6269040483976</v>
      </c>
      <c r="AF98" s="70">
        <f t="shared" si="39"/>
        <v>2192.9516058287609</v>
      </c>
      <c r="AG98" s="70">
        <f t="shared" si="39"/>
        <v>2209.3987428724768</v>
      </c>
      <c r="AH98" s="70">
        <f t="shared" si="39"/>
        <v>2225.9692334440206</v>
      </c>
      <c r="AI98" s="70">
        <f t="shared" si="39"/>
        <v>2242.6640026948508</v>
      </c>
    </row>
    <row r="99" spans="2:35" hidden="1" outlineLevel="1">
      <c r="B99" s="71" t="s">
        <v>324</v>
      </c>
      <c r="H99" s="81">
        <v>4851.9880000000003</v>
      </c>
      <c r="I99" s="81">
        <v>4633.7330000000002</v>
      </c>
      <c r="J99" s="81">
        <v>5004.9790000000003</v>
      </c>
      <c r="K99" s="81">
        <v>4971.3724110853245</v>
      </c>
      <c r="L99" s="81">
        <v>4927.7753709519129</v>
      </c>
      <c r="M99" s="81">
        <v>4971.2190000000001</v>
      </c>
      <c r="N99" s="81">
        <v>5223.7709999999997</v>
      </c>
      <c r="O99" s="81">
        <v>5088.9250000000002</v>
      </c>
      <c r="P99" s="81">
        <v>5626.2080000000005</v>
      </c>
      <c r="Q99" s="81">
        <v>5763.2629999999999</v>
      </c>
      <c r="R99" s="81">
        <v>5274.8559999999998</v>
      </c>
      <c r="S99" s="81">
        <v>5554.5529999999999</v>
      </c>
      <c r="T99" s="81">
        <v>5604.1189999999997</v>
      </c>
      <c r="U99" s="81">
        <v>5488.7290000000003</v>
      </c>
      <c r="V99" s="81">
        <v>5418.7969999999996</v>
      </c>
      <c r="W99" s="81">
        <v>5456.73</v>
      </c>
      <c r="X99" s="70">
        <f t="shared" si="39"/>
        <v>5497.6554749999996</v>
      </c>
      <c r="Y99" s="70">
        <f t="shared" si="39"/>
        <v>5538.8878910624999</v>
      </c>
      <c r="Z99" s="70">
        <f t="shared" si="39"/>
        <v>5580.4295502454688</v>
      </c>
      <c r="AA99" s="70">
        <f t="shared" si="39"/>
        <v>5622.2827718723101</v>
      </c>
      <c r="AB99" s="70">
        <f t="shared" si="39"/>
        <v>5664.4498926613533</v>
      </c>
      <c r="AC99" s="70">
        <f t="shared" si="39"/>
        <v>5706.9332668563138</v>
      </c>
      <c r="AD99" s="70">
        <f t="shared" si="39"/>
        <v>5749.7352663577367</v>
      </c>
      <c r="AE99" s="70">
        <f t="shared" si="39"/>
        <v>5792.8582808554202</v>
      </c>
      <c r="AF99" s="70">
        <f t="shared" si="39"/>
        <v>5836.3047179618361</v>
      </c>
      <c r="AG99" s="70">
        <f t="shared" si="39"/>
        <v>5880.0770033465506</v>
      </c>
      <c r="AH99" s="70">
        <f t="shared" si="39"/>
        <v>5924.1775808716502</v>
      </c>
      <c r="AI99" s="70">
        <f t="shared" si="39"/>
        <v>5968.6089127281875</v>
      </c>
    </row>
    <row r="100" spans="2:35" hidden="1" outlineLevel="1">
      <c r="B100" s="71" t="s">
        <v>325</v>
      </c>
      <c r="H100" s="81">
        <v>1030.1690000000001</v>
      </c>
      <c r="I100" s="81">
        <v>1030.1690000000001</v>
      </c>
      <c r="J100" s="81">
        <v>1124.9190000000001</v>
      </c>
      <c r="K100" s="81">
        <v>940.94900000000007</v>
      </c>
      <c r="L100" s="81">
        <v>1010.457</v>
      </c>
      <c r="M100" s="81">
        <v>1021.453</v>
      </c>
      <c r="N100" s="81">
        <v>1022.3</v>
      </c>
      <c r="O100" s="81">
        <v>1196.915</v>
      </c>
      <c r="P100" s="81">
        <v>1470.5039999999999</v>
      </c>
      <c r="Q100" s="81">
        <v>1528.521</v>
      </c>
      <c r="R100" s="81">
        <v>1573.885</v>
      </c>
      <c r="S100" s="81">
        <v>1633.414</v>
      </c>
      <c r="T100" s="81">
        <v>1782.654</v>
      </c>
      <c r="U100" s="81">
        <v>1802.3420000000001</v>
      </c>
      <c r="V100" s="81">
        <v>1833.864</v>
      </c>
      <c r="W100" s="81">
        <v>1890.922</v>
      </c>
      <c r="X100" s="70">
        <f t="shared" si="39"/>
        <v>1905.1039150000001</v>
      </c>
      <c r="Y100" s="70">
        <f t="shared" si="39"/>
        <v>1919.3921943625003</v>
      </c>
      <c r="Z100" s="70">
        <f t="shared" si="39"/>
        <v>1933.7876358202191</v>
      </c>
      <c r="AA100" s="70">
        <f t="shared" si="39"/>
        <v>1948.2910430888708</v>
      </c>
      <c r="AB100" s="70">
        <f t="shared" si="39"/>
        <v>1962.9032259120374</v>
      </c>
      <c r="AC100" s="70">
        <f t="shared" si="39"/>
        <v>1977.6250001063779</v>
      </c>
      <c r="AD100" s="70">
        <f t="shared" si="39"/>
        <v>1992.4571876071759</v>
      </c>
      <c r="AE100" s="70">
        <f t="shared" si="39"/>
        <v>2007.4006165142298</v>
      </c>
      <c r="AF100" s="70">
        <f t="shared" si="39"/>
        <v>2022.4561211380867</v>
      </c>
      <c r="AG100" s="70">
        <f t="shared" si="39"/>
        <v>2037.6245420466225</v>
      </c>
      <c r="AH100" s="70">
        <f t="shared" si="39"/>
        <v>2052.9067261119721</v>
      </c>
      <c r="AI100" s="70">
        <f t="shared" si="39"/>
        <v>2068.3035265578119</v>
      </c>
    </row>
    <row r="101" spans="2:35" hidden="1" outlineLevel="1">
      <c r="B101" s="71" t="s">
        <v>326</v>
      </c>
      <c r="H101" s="81">
        <v>1676.9269999999999</v>
      </c>
      <c r="I101" s="81">
        <v>1692.587</v>
      </c>
      <c r="J101" s="81">
        <v>1726.4290000000001</v>
      </c>
      <c r="K101" s="81">
        <v>1735.462</v>
      </c>
      <c r="L101" s="81">
        <v>1755.356</v>
      </c>
      <c r="M101" s="81">
        <v>1796.7270000000001</v>
      </c>
      <c r="N101" s="81">
        <v>1806.316</v>
      </c>
      <c r="O101" s="81">
        <v>1858.7470000000001</v>
      </c>
      <c r="P101" s="81">
        <v>1842.723</v>
      </c>
      <c r="Q101" s="81">
        <v>1841.5340000000001</v>
      </c>
      <c r="R101" s="81">
        <v>1900.8520000000001</v>
      </c>
      <c r="S101" s="81">
        <v>1933.8440000000001</v>
      </c>
      <c r="T101" s="81">
        <v>1895.7929999999999</v>
      </c>
      <c r="U101" s="81">
        <v>1908.6759999999999</v>
      </c>
      <c r="V101" s="81">
        <v>1904.98</v>
      </c>
      <c r="W101" s="81">
        <v>1911.52</v>
      </c>
      <c r="X101" s="70">
        <f t="shared" si="39"/>
        <v>1925.8564000000001</v>
      </c>
      <c r="Y101" s="70">
        <f t="shared" si="39"/>
        <v>1940.3003230000002</v>
      </c>
      <c r="Z101" s="70">
        <f t="shared" si="39"/>
        <v>1954.8525754225002</v>
      </c>
      <c r="AA101" s="70">
        <f t="shared" si="39"/>
        <v>1969.5139697381692</v>
      </c>
      <c r="AB101" s="70">
        <f t="shared" si="39"/>
        <v>1984.2853245112055</v>
      </c>
      <c r="AC101" s="70">
        <f t="shared" si="39"/>
        <v>1999.1674644450397</v>
      </c>
      <c r="AD101" s="70">
        <f t="shared" si="39"/>
        <v>2014.1612204283776</v>
      </c>
      <c r="AE101" s="70">
        <f t="shared" si="39"/>
        <v>2029.2674295815907</v>
      </c>
      <c r="AF101" s="70">
        <f t="shared" si="39"/>
        <v>2044.4869353034528</v>
      </c>
      <c r="AG101" s="70">
        <f t="shared" si="39"/>
        <v>2059.8205873182287</v>
      </c>
      <c r="AH101" s="70">
        <f t="shared" si="39"/>
        <v>2075.2692417231156</v>
      </c>
      <c r="AI101" s="70">
        <f t="shared" si="39"/>
        <v>2090.833761036039</v>
      </c>
    </row>
    <row r="102" spans="2:35" hidden="1" outlineLevel="1">
      <c r="B102" s="71" t="s">
        <v>327</v>
      </c>
      <c r="H102" s="81">
        <v>1299.26</v>
      </c>
      <c r="I102" s="81">
        <v>1372.652</v>
      </c>
      <c r="J102" s="81">
        <v>1396.0940000000001</v>
      </c>
      <c r="K102" s="81">
        <v>1457.8029999999999</v>
      </c>
      <c r="L102" s="81">
        <v>1453.9739999999999</v>
      </c>
      <c r="M102" s="81">
        <v>1437.4870000000001</v>
      </c>
      <c r="N102" s="81">
        <v>1399.5409999999999</v>
      </c>
      <c r="O102" s="81">
        <v>2121.9839999999999</v>
      </c>
      <c r="P102" s="81">
        <v>2103.779</v>
      </c>
      <c r="Q102" s="81">
        <v>2176.5949999999998</v>
      </c>
      <c r="R102" s="81">
        <v>2213.7137632769404</v>
      </c>
      <c r="S102" s="81">
        <v>2290.027</v>
      </c>
      <c r="T102" s="81">
        <v>2372.2150000000001</v>
      </c>
      <c r="U102" s="81">
        <v>2428.6280000000002</v>
      </c>
      <c r="V102" s="81">
        <v>2486.4699999999998</v>
      </c>
      <c r="W102" s="81">
        <v>2520.797</v>
      </c>
      <c r="X102" s="70">
        <f t="shared" si="39"/>
        <v>2539.7029775000001</v>
      </c>
      <c r="Y102" s="70">
        <f t="shared" si="39"/>
        <v>2558.7507498312502</v>
      </c>
      <c r="Z102" s="70">
        <f t="shared" si="39"/>
        <v>2577.9413804549849</v>
      </c>
      <c r="AA102" s="70">
        <f t="shared" si="39"/>
        <v>2597.2759408083975</v>
      </c>
      <c r="AB102" s="70">
        <f t="shared" si="39"/>
        <v>2616.7555103644609</v>
      </c>
      <c r="AC102" s="70">
        <f t="shared" si="39"/>
        <v>2636.3811766921945</v>
      </c>
      <c r="AD102" s="70">
        <f t="shared" si="39"/>
        <v>2656.1540355173861</v>
      </c>
      <c r="AE102" s="70">
        <f t="shared" si="39"/>
        <v>2676.0751907837666</v>
      </c>
      <c r="AF102" s="70">
        <f t="shared" si="39"/>
        <v>2696.1457547146451</v>
      </c>
      <c r="AG102" s="70">
        <f t="shared" si="39"/>
        <v>2716.3668478750051</v>
      </c>
      <c r="AH102" s="70">
        <f t="shared" si="39"/>
        <v>2736.739599234068</v>
      </c>
      <c r="AI102" s="70">
        <f t="shared" si="39"/>
        <v>2757.2651462283238</v>
      </c>
    </row>
    <row r="103" spans="2:35" hidden="1" outlineLevel="1">
      <c r="B103" s="71" t="s">
        <v>328</v>
      </c>
      <c r="H103" s="81">
        <v>1224.9570000000001</v>
      </c>
      <c r="I103" s="81">
        <v>1225.075</v>
      </c>
      <c r="J103" s="81">
        <v>1111.893</v>
      </c>
      <c r="K103" s="81">
        <v>1240.963</v>
      </c>
      <c r="L103" s="81">
        <v>1275.0730000000001</v>
      </c>
      <c r="M103" s="81">
        <v>1273.847</v>
      </c>
      <c r="N103" s="81">
        <v>1263.8019999999999</v>
      </c>
      <c r="O103" s="81">
        <v>1260.08</v>
      </c>
      <c r="P103" s="81">
        <v>1286.4359999999999</v>
      </c>
      <c r="Q103" s="81">
        <v>1395.5060000000001</v>
      </c>
      <c r="R103" s="81">
        <v>1296.213</v>
      </c>
      <c r="S103" s="81">
        <v>1282.232</v>
      </c>
      <c r="T103" s="81">
        <v>1308.7429999999999</v>
      </c>
      <c r="U103" s="81">
        <v>1307.9390000000001</v>
      </c>
      <c r="V103" s="81">
        <v>1334.645</v>
      </c>
      <c r="W103" s="81">
        <v>1351.8440000000001</v>
      </c>
      <c r="X103" s="70">
        <f t="shared" si="39"/>
        <v>1361.9828300000001</v>
      </c>
      <c r="Y103" s="70">
        <f t="shared" si="39"/>
        <v>1372.1977012250002</v>
      </c>
      <c r="Z103" s="70">
        <f t="shared" si="39"/>
        <v>1382.4891839841878</v>
      </c>
      <c r="AA103" s="70">
        <f t="shared" si="39"/>
        <v>1392.8578528640692</v>
      </c>
      <c r="AB103" s="70">
        <f t="shared" si="39"/>
        <v>1403.3042867605498</v>
      </c>
      <c r="AC103" s="70">
        <f t="shared" si="39"/>
        <v>1413.8290689112539</v>
      </c>
      <c r="AD103" s="70">
        <f t="shared" si="39"/>
        <v>1424.4327869280885</v>
      </c>
      <c r="AE103" s="70">
        <f t="shared" si="39"/>
        <v>1435.1160328300493</v>
      </c>
      <c r="AF103" s="70">
        <f t="shared" si="39"/>
        <v>1445.8794030762747</v>
      </c>
      <c r="AG103" s="70">
        <f t="shared" si="39"/>
        <v>1456.7234985993468</v>
      </c>
      <c r="AH103" s="70">
        <f t="shared" si="39"/>
        <v>1467.648924838842</v>
      </c>
      <c r="AI103" s="70">
        <f t="shared" si="39"/>
        <v>1478.6562917751335</v>
      </c>
    </row>
    <row r="104" spans="2:35" hidden="1" outlineLevel="1">
      <c r="B104" s="71" t="s">
        <v>329</v>
      </c>
      <c r="H104" s="81">
        <v>6198.8680000000004</v>
      </c>
      <c r="I104" s="81">
        <v>6239.518</v>
      </c>
      <c r="J104" s="81">
        <v>5937.29</v>
      </c>
      <c r="K104" s="81">
        <v>6230.4050000000007</v>
      </c>
      <c r="L104" s="81">
        <v>6230.4049999999997</v>
      </c>
      <c r="M104" s="81">
        <v>6096.2470000000003</v>
      </c>
      <c r="N104" s="81">
        <v>6777.2650000000003</v>
      </c>
      <c r="O104" s="81">
        <v>7827.4309999999996</v>
      </c>
      <c r="P104" s="81">
        <v>7813.5739999999996</v>
      </c>
      <c r="Q104" s="81">
        <v>6969.6670000000004</v>
      </c>
      <c r="R104" s="81">
        <v>6753.8320000000003</v>
      </c>
      <c r="S104" s="81">
        <v>5824.6450000000004</v>
      </c>
      <c r="T104" s="81">
        <v>5856.2160000000003</v>
      </c>
      <c r="U104" s="81">
        <v>5973.32</v>
      </c>
      <c r="V104" s="81">
        <v>5968.7079999999996</v>
      </c>
      <c r="W104" s="81">
        <v>5947.4250000000002</v>
      </c>
      <c r="X104" s="70">
        <f t="shared" si="39"/>
        <v>5992.0306875000006</v>
      </c>
      <c r="Y104" s="70">
        <f t="shared" si="39"/>
        <v>6036.970917656251</v>
      </c>
      <c r="Z104" s="70">
        <f t="shared" si="39"/>
        <v>6082.2481995386734</v>
      </c>
      <c r="AA104" s="70">
        <f t="shared" si="39"/>
        <v>6127.8650610352142</v>
      </c>
      <c r="AB104" s="70">
        <f t="shared" si="39"/>
        <v>6173.8240489929785</v>
      </c>
      <c r="AC104" s="70">
        <f t="shared" si="39"/>
        <v>6220.1277293604262</v>
      </c>
      <c r="AD104" s="70">
        <f t="shared" si="39"/>
        <v>6266.7786873306295</v>
      </c>
      <c r="AE104" s="70">
        <f t="shared" si="39"/>
        <v>6313.7795274856098</v>
      </c>
      <c r="AF104" s="70">
        <f t="shared" si="39"/>
        <v>6361.1328739417522</v>
      </c>
      <c r="AG104" s="70">
        <f t="shared" si="39"/>
        <v>6408.8413704963159</v>
      </c>
      <c r="AH104" s="70">
        <f t="shared" si="39"/>
        <v>6456.9076807750389</v>
      </c>
      <c r="AI104" s="70">
        <f t="shared" si="39"/>
        <v>6505.3344883808522</v>
      </c>
    </row>
    <row r="105" spans="2:35" hidden="1" outlineLevel="1">
      <c r="B105" s="71" t="s">
        <v>330</v>
      </c>
      <c r="H105" s="81">
        <v>1537.1389999999999</v>
      </c>
      <c r="I105" s="81">
        <v>1543.0909999999999</v>
      </c>
      <c r="J105" s="81">
        <v>1580.693</v>
      </c>
      <c r="K105" s="81">
        <v>1601.8490000000002</v>
      </c>
      <c r="L105" s="81">
        <v>1572.143</v>
      </c>
      <c r="M105" s="81">
        <v>1629.32</v>
      </c>
      <c r="N105" s="81">
        <v>1619.8510000000001</v>
      </c>
      <c r="O105" s="81">
        <v>1733.6769999999999</v>
      </c>
      <c r="P105" s="81">
        <v>1770.3710000000001</v>
      </c>
      <c r="Q105" s="81">
        <v>1847.396</v>
      </c>
      <c r="R105" s="81">
        <v>1893.7670000000001</v>
      </c>
      <c r="S105" s="81">
        <v>1787.326</v>
      </c>
      <c r="T105" s="81">
        <v>1787.124</v>
      </c>
      <c r="U105" s="81">
        <v>1703.0150000000001</v>
      </c>
      <c r="V105" s="81">
        <v>1791.675</v>
      </c>
      <c r="W105" s="81">
        <v>1795.175</v>
      </c>
      <c r="X105" s="70">
        <f t="shared" si="39"/>
        <v>1808.6388125000001</v>
      </c>
      <c r="Y105" s="70">
        <f t="shared" si="39"/>
        <v>1822.2036035937501</v>
      </c>
      <c r="Z105" s="70">
        <f t="shared" si="39"/>
        <v>1835.8701306207033</v>
      </c>
      <c r="AA105" s="70">
        <f t="shared" si="39"/>
        <v>1849.6391566003588</v>
      </c>
      <c r="AB105" s="70">
        <f t="shared" si="39"/>
        <v>1863.5114502748615</v>
      </c>
      <c r="AC105" s="70">
        <f t="shared" si="39"/>
        <v>1877.487786151923</v>
      </c>
      <c r="AD105" s="70">
        <f t="shared" si="39"/>
        <v>1891.5689445480625</v>
      </c>
      <c r="AE105" s="70">
        <f t="shared" si="39"/>
        <v>1905.7557116321732</v>
      </c>
      <c r="AF105" s="70">
        <f t="shared" si="39"/>
        <v>1920.0488794694147</v>
      </c>
      <c r="AG105" s="70">
        <f t="shared" si="39"/>
        <v>1934.4492460654355</v>
      </c>
      <c r="AH105" s="70">
        <f t="shared" si="39"/>
        <v>1948.9576154109263</v>
      </c>
      <c r="AI105" s="70">
        <f t="shared" si="39"/>
        <v>1963.5747975265085</v>
      </c>
    </row>
    <row r="106" spans="2:35" hidden="1" outlineLevel="1">
      <c r="B106" s="71" t="s">
        <v>331</v>
      </c>
      <c r="H106" s="81">
        <v>11023.335999999999</v>
      </c>
      <c r="I106" s="81">
        <v>11802.754999999999</v>
      </c>
      <c r="J106" s="81">
        <v>11234.689</v>
      </c>
      <c r="K106" s="81">
        <v>11556.167887900001</v>
      </c>
      <c r="L106" s="81">
        <v>11173.897195799998</v>
      </c>
      <c r="M106" s="81">
        <v>11339.174999999999</v>
      </c>
      <c r="N106" s="81">
        <v>10357.865</v>
      </c>
      <c r="O106" s="81">
        <v>10178.4</v>
      </c>
      <c r="P106" s="81">
        <v>10258.08</v>
      </c>
      <c r="Q106" s="81">
        <v>10484.554</v>
      </c>
      <c r="R106" s="81">
        <v>10828.572</v>
      </c>
      <c r="S106" s="81">
        <v>10499.565000000001</v>
      </c>
      <c r="T106" s="81">
        <v>10978.325999999999</v>
      </c>
      <c r="U106" s="81">
        <v>10713.977000000001</v>
      </c>
      <c r="V106" s="81">
        <v>11332.862999999999</v>
      </c>
      <c r="W106" s="81">
        <v>11249.089</v>
      </c>
      <c r="X106" s="70">
        <f t="shared" si="39"/>
        <v>11333.457167500001</v>
      </c>
      <c r="Y106" s="70">
        <f t="shared" si="39"/>
        <v>11418.458096256252</v>
      </c>
      <c r="Z106" s="70">
        <f t="shared" si="39"/>
        <v>11504.096531978175</v>
      </c>
      <c r="AA106" s="70">
        <f t="shared" si="39"/>
        <v>11590.377255968013</v>
      </c>
      <c r="AB106" s="70">
        <f t="shared" si="39"/>
        <v>11677.305085387774</v>
      </c>
      <c r="AC106" s="70">
        <f t="shared" si="39"/>
        <v>11764.884873528183</v>
      </c>
      <c r="AD106" s="70">
        <f t="shared" si="39"/>
        <v>11853.121510079645</v>
      </c>
      <c r="AE106" s="70">
        <f t="shared" si="39"/>
        <v>11942.019921405243</v>
      </c>
      <c r="AF106" s="70">
        <f t="shared" si="39"/>
        <v>12031.585070815783</v>
      </c>
      <c r="AG106" s="70">
        <f t="shared" si="39"/>
        <v>12121.821958846902</v>
      </c>
      <c r="AH106" s="70">
        <f t="shared" si="39"/>
        <v>12212.735623538254</v>
      </c>
      <c r="AI106" s="70">
        <f t="shared" si="39"/>
        <v>12304.331140714792</v>
      </c>
    </row>
    <row r="107" spans="2:35" hidden="1" outlineLevel="1">
      <c r="B107" s="71" t="s">
        <v>332</v>
      </c>
      <c r="H107" s="81">
        <v>6184.61</v>
      </c>
      <c r="I107" s="81">
        <v>6137.5780000000004</v>
      </c>
      <c r="J107" s="81">
        <v>6294.6369999999997</v>
      </c>
      <c r="K107" s="81">
        <v>6313.4843579687495</v>
      </c>
      <c r="L107" s="81">
        <v>6249.2917258671878</v>
      </c>
      <c r="M107" s="81">
        <v>6052.3890000000001</v>
      </c>
      <c r="N107" s="81">
        <v>5758.1580000000004</v>
      </c>
      <c r="O107" s="81">
        <v>6125.2849999999999</v>
      </c>
      <c r="P107" s="81">
        <v>7682.5640000000003</v>
      </c>
      <c r="Q107" s="81">
        <v>7718.8710000000001</v>
      </c>
      <c r="R107" s="81">
        <v>7729.4440000000004</v>
      </c>
      <c r="S107" s="81">
        <v>7781.2610000000004</v>
      </c>
      <c r="T107" s="81">
        <v>8119.4229999999998</v>
      </c>
      <c r="U107" s="81">
        <v>7918.3739999999998</v>
      </c>
      <c r="V107" s="81">
        <v>8056.6419999999998</v>
      </c>
      <c r="W107" s="81">
        <v>8379.8430000000008</v>
      </c>
      <c r="X107" s="70">
        <f t="shared" si="39"/>
        <v>8442.6918225000009</v>
      </c>
      <c r="Y107" s="70">
        <f t="shared" si="39"/>
        <v>8506.012011168752</v>
      </c>
      <c r="Z107" s="70">
        <f t="shared" si="39"/>
        <v>8569.8071012525179</v>
      </c>
      <c r="AA107" s="70">
        <f t="shared" si="39"/>
        <v>8634.0806545119121</v>
      </c>
      <c r="AB107" s="70">
        <f t="shared" si="39"/>
        <v>8698.836259420752</v>
      </c>
      <c r="AC107" s="70">
        <f t="shared" si="39"/>
        <v>8764.0775313664089</v>
      </c>
      <c r="AD107" s="70">
        <f t="shared" si="39"/>
        <v>8829.8081128516569</v>
      </c>
      <c r="AE107" s="70">
        <f t="shared" si="39"/>
        <v>8896.0316736980458</v>
      </c>
      <c r="AF107" s="70">
        <f t="shared" si="39"/>
        <v>8962.7519112507816</v>
      </c>
      <c r="AG107" s="70">
        <f t="shared" si="39"/>
        <v>9029.9725505851638</v>
      </c>
      <c r="AH107" s="70">
        <f t="shared" si="39"/>
        <v>9097.6973447145538</v>
      </c>
      <c r="AI107" s="70">
        <f t="shared" si="39"/>
        <v>9165.9300747999132</v>
      </c>
    </row>
    <row r="108" spans="2:35" hidden="1" outlineLevel="1">
      <c r="B108" s="71" t="s">
        <v>333</v>
      </c>
      <c r="H108" s="81">
        <v>706.21799999999996</v>
      </c>
      <c r="I108" s="81">
        <v>702.88800000000003</v>
      </c>
      <c r="J108" s="81">
        <v>721.83600000000001</v>
      </c>
      <c r="K108" s="81">
        <v>722.57799999999997</v>
      </c>
      <c r="L108" s="81">
        <v>732.495</v>
      </c>
      <c r="M108" s="81">
        <v>738.77300000000002</v>
      </c>
      <c r="N108" s="81">
        <v>753.596</v>
      </c>
      <c r="O108" s="81">
        <v>769.90200000000004</v>
      </c>
      <c r="P108" s="81">
        <v>798.07600000000002</v>
      </c>
      <c r="Q108" s="81">
        <v>826.39300000000003</v>
      </c>
      <c r="R108" s="81">
        <v>850.97</v>
      </c>
      <c r="S108" s="81">
        <v>870.55600000000004</v>
      </c>
      <c r="T108" s="81">
        <v>874.27700000000004</v>
      </c>
      <c r="U108" s="81">
        <v>1035.5350000000001</v>
      </c>
      <c r="V108" s="81">
        <v>879.39599999999996</v>
      </c>
      <c r="W108" s="81">
        <v>883.55899999999997</v>
      </c>
      <c r="X108" s="70">
        <f t="shared" si="39"/>
        <v>890.18569250000007</v>
      </c>
      <c r="Y108" s="70">
        <f t="shared" si="39"/>
        <v>896.86208519375009</v>
      </c>
      <c r="Z108" s="70">
        <f t="shared" si="39"/>
        <v>903.58855083270328</v>
      </c>
      <c r="AA108" s="70">
        <f t="shared" si="39"/>
        <v>910.36546496394863</v>
      </c>
      <c r="AB108" s="70">
        <f t="shared" si="39"/>
        <v>917.19320595117824</v>
      </c>
      <c r="AC108" s="70">
        <f t="shared" si="39"/>
        <v>924.07215499581218</v>
      </c>
      <c r="AD108" s="70">
        <f t="shared" si="39"/>
        <v>931.00269615828086</v>
      </c>
      <c r="AE108" s="70">
        <f t="shared" si="39"/>
        <v>937.98521637946806</v>
      </c>
      <c r="AF108" s="70">
        <f t="shared" si="39"/>
        <v>945.0201055023141</v>
      </c>
      <c r="AG108" s="70">
        <f t="shared" si="39"/>
        <v>952.10775629358147</v>
      </c>
      <c r="AH108" s="70">
        <f t="shared" si="39"/>
        <v>959.24856446578337</v>
      </c>
      <c r="AI108" s="70">
        <f t="shared" si="39"/>
        <v>966.44292869927676</v>
      </c>
    </row>
    <row r="109" spans="2:35" hidden="1" outlineLevel="1">
      <c r="B109" s="71" t="s">
        <v>334</v>
      </c>
      <c r="H109" s="81">
        <v>10754.004999999999</v>
      </c>
      <c r="I109" s="81">
        <v>10755.808999999999</v>
      </c>
      <c r="J109" s="81">
        <v>10967.895</v>
      </c>
      <c r="K109" s="81">
        <v>10995.397000000001</v>
      </c>
      <c r="L109" s="81">
        <v>11096.859</v>
      </c>
      <c r="M109" s="81">
        <v>11195.596</v>
      </c>
      <c r="N109" s="81">
        <v>9967.7289999999994</v>
      </c>
      <c r="O109" s="81">
        <v>10068.668</v>
      </c>
      <c r="P109" s="81">
        <v>10011.388999999999</v>
      </c>
      <c r="Q109" s="81">
        <v>10201.787</v>
      </c>
      <c r="R109" s="81">
        <v>10299.65</v>
      </c>
      <c r="S109" s="81">
        <v>10408.356</v>
      </c>
      <c r="T109" s="81">
        <v>10535.486000000001</v>
      </c>
      <c r="U109" s="81">
        <v>10657.507</v>
      </c>
      <c r="V109" s="81">
        <v>10759.075000000001</v>
      </c>
      <c r="W109" s="81">
        <v>10748.721</v>
      </c>
      <c r="X109" s="70">
        <f t="shared" si="39"/>
        <v>10829.336407500001</v>
      </c>
      <c r="Y109" s="70">
        <f t="shared" si="39"/>
        <v>10910.556430556251</v>
      </c>
      <c r="Z109" s="70">
        <f t="shared" si="39"/>
        <v>10992.385603785424</v>
      </c>
      <c r="AA109" s="70">
        <f t="shared" si="39"/>
        <v>11074.828495813816</v>
      </c>
      <c r="AB109" s="70">
        <f t="shared" si="39"/>
        <v>11157.889709532419</v>
      </c>
      <c r="AC109" s="70">
        <f t="shared" si="39"/>
        <v>11241.573882353912</v>
      </c>
      <c r="AD109" s="70">
        <f t="shared" si="39"/>
        <v>11325.885686471567</v>
      </c>
      <c r="AE109" s="70">
        <f t="shared" si="39"/>
        <v>11410.829829120104</v>
      </c>
      <c r="AF109" s="70">
        <f t="shared" si="39"/>
        <v>11496.411052838506</v>
      </c>
      <c r="AG109" s="70">
        <f t="shared" si="39"/>
        <v>11582.634135734796</v>
      </c>
      <c r="AH109" s="70">
        <f t="shared" si="39"/>
        <v>11669.503891752807</v>
      </c>
      <c r="AI109" s="70">
        <f t="shared" si="39"/>
        <v>11757.025170940955</v>
      </c>
    </row>
    <row r="110" spans="2:35" hidden="1" outlineLevel="1">
      <c r="B110" s="71" t="s">
        <v>335</v>
      </c>
      <c r="H110" s="81">
        <v>3154.2979999999998</v>
      </c>
      <c r="I110" s="81">
        <v>3724.32</v>
      </c>
      <c r="J110" s="81">
        <v>3211.2930000000001</v>
      </c>
      <c r="K110" s="81">
        <v>3239.6689999999999</v>
      </c>
      <c r="L110" s="81">
        <v>3319.837</v>
      </c>
      <c r="M110" s="81">
        <v>3430.864</v>
      </c>
      <c r="N110" s="81">
        <v>3391.0210000000002</v>
      </c>
      <c r="O110" s="81">
        <v>3375.098</v>
      </c>
      <c r="P110" s="81">
        <v>3404.0510000000004</v>
      </c>
      <c r="Q110" s="81">
        <v>3425.5430000000001</v>
      </c>
      <c r="R110" s="81">
        <v>3494.9670000000001</v>
      </c>
      <c r="S110" s="81">
        <v>2962.8240000000001</v>
      </c>
      <c r="T110" s="81">
        <v>3709.2860000000001</v>
      </c>
      <c r="U110" s="81">
        <v>3716.1909999999998</v>
      </c>
      <c r="V110" s="81">
        <v>3675.451</v>
      </c>
      <c r="W110" s="81">
        <v>3683.1390000000001</v>
      </c>
      <c r="X110" s="70">
        <f t="shared" ref="X110:AI124" si="40">+W110*(1+X$126)</f>
        <v>3710.7625425000006</v>
      </c>
      <c r="Y110" s="70">
        <f t="shared" si="40"/>
        <v>3738.5932615687507</v>
      </c>
      <c r="Z110" s="70">
        <f t="shared" si="40"/>
        <v>3766.6327110305165</v>
      </c>
      <c r="AA110" s="70">
        <f t="shared" si="40"/>
        <v>3794.8824563632456</v>
      </c>
      <c r="AB110" s="70">
        <f t="shared" si="40"/>
        <v>3823.3440747859704</v>
      </c>
      <c r="AC110" s="70">
        <f t="shared" si="40"/>
        <v>3852.0191553468653</v>
      </c>
      <c r="AD110" s="70">
        <f t="shared" si="40"/>
        <v>3880.9092990119671</v>
      </c>
      <c r="AE110" s="70">
        <f t="shared" si="40"/>
        <v>3910.0161187545568</v>
      </c>
      <c r="AF110" s="70">
        <f t="shared" si="40"/>
        <v>3939.3412396452163</v>
      </c>
      <c r="AG110" s="70">
        <f t="shared" si="40"/>
        <v>3968.8862989425556</v>
      </c>
      <c r="AH110" s="70">
        <f t="shared" si="40"/>
        <v>3998.6529461846249</v>
      </c>
      <c r="AI110" s="70">
        <f t="shared" si="40"/>
        <v>4028.6428432810098</v>
      </c>
    </row>
    <row r="111" spans="2:35" hidden="1" outlineLevel="1">
      <c r="B111" s="71" t="s">
        <v>336</v>
      </c>
      <c r="H111" s="81">
        <v>3000.9989999999998</v>
      </c>
      <c r="I111" s="81">
        <v>2889.3560000000002</v>
      </c>
      <c r="J111" s="81">
        <v>2988.0039999999999</v>
      </c>
      <c r="K111" s="81">
        <v>3105.31828</v>
      </c>
      <c r="L111" s="81">
        <v>3128.0222000000003</v>
      </c>
      <c r="M111" s="81">
        <v>3068.549</v>
      </c>
      <c r="N111" s="81">
        <v>3074.3069999999998</v>
      </c>
      <c r="O111" s="81">
        <v>3080.1689999999999</v>
      </c>
      <c r="P111" s="81">
        <v>3485.1890000000003</v>
      </c>
      <c r="Q111" s="81">
        <v>3562.2750000000001</v>
      </c>
      <c r="R111" s="81">
        <v>3371.6880000000001</v>
      </c>
      <c r="S111" s="81">
        <v>3523.8229999999999</v>
      </c>
      <c r="T111" s="81">
        <v>3724.0120000000002</v>
      </c>
      <c r="U111" s="81">
        <v>4013.8020000000001</v>
      </c>
      <c r="V111" s="81">
        <v>3849.43</v>
      </c>
      <c r="W111" s="81">
        <v>3829.2939999999999</v>
      </c>
      <c r="X111" s="70">
        <f t="shared" si="40"/>
        <v>3858.0137050000003</v>
      </c>
      <c r="Y111" s="70">
        <f t="shared" si="40"/>
        <v>3886.9488077875008</v>
      </c>
      <c r="Z111" s="70">
        <f t="shared" si="40"/>
        <v>3916.1009238459073</v>
      </c>
      <c r="AA111" s="70">
        <f t="shared" si="40"/>
        <v>3945.4716807747518</v>
      </c>
      <c r="AB111" s="70">
        <f t="shared" si="40"/>
        <v>3975.0627183805627</v>
      </c>
      <c r="AC111" s="70">
        <f t="shared" si="40"/>
        <v>4004.8756887684171</v>
      </c>
      <c r="AD111" s="70">
        <f t="shared" si="40"/>
        <v>4034.9122564341806</v>
      </c>
      <c r="AE111" s="70">
        <f t="shared" si="40"/>
        <v>4065.1740983574373</v>
      </c>
      <c r="AF111" s="70">
        <f t="shared" si="40"/>
        <v>4095.6629040951184</v>
      </c>
      <c r="AG111" s="70">
        <f t="shared" si="40"/>
        <v>4126.3803758758322</v>
      </c>
      <c r="AH111" s="70">
        <f t="shared" si="40"/>
        <v>4157.3282286949016</v>
      </c>
      <c r="AI111" s="70">
        <f t="shared" si="40"/>
        <v>4188.5081904101135</v>
      </c>
    </row>
    <row r="112" spans="2:35" hidden="1" outlineLevel="1">
      <c r="B112" s="71" t="s">
        <v>337</v>
      </c>
      <c r="H112" s="81">
        <v>9959.5490000000009</v>
      </c>
      <c r="I112" s="81">
        <v>10014.166999999999</v>
      </c>
      <c r="J112" s="81">
        <v>10068.721</v>
      </c>
      <c r="K112" s="81">
        <v>10133.873</v>
      </c>
      <c r="L112" s="81">
        <v>10601.243</v>
      </c>
      <c r="M112" s="81">
        <v>10118.217000000001</v>
      </c>
      <c r="N112" s="81">
        <v>10252.534</v>
      </c>
      <c r="O112" s="81">
        <v>10163.085999999999</v>
      </c>
      <c r="P112" s="81">
        <v>10316.816000000001</v>
      </c>
      <c r="Q112" s="81">
        <v>10288.26</v>
      </c>
      <c r="R112" s="81">
        <v>10330.370000000001</v>
      </c>
      <c r="S112" s="81">
        <v>10423.528</v>
      </c>
      <c r="T112" s="81">
        <v>10570.183000000001</v>
      </c>
      <c r="U112" s="81">
        <v>10510.784</v>
      </c>
      <c r="V112" s="81">
        <v>10546.026</v>
      </c>
      <c r="W112" s="81">
        <v>10623.403</v>
      </c>
      <c r="X112" s="70">
        <f t="shared" si="40"/>
        <v>10703.078522500002</v>
      </c>
      <c r="Y112" s="70">
        <f t="shared" si="40"/>
        <v>10783.351611418753</v>
      </c>
      <c r="Z112" s="70">
        <f t="shared" si="40"/>
        <v>10864.226748504394</v>
      </c>
      <c r="AA112" s="70">
        <f t="shared" si="40"/>
        <v>10945.708449118178</v>
      </c>
      <c r="AB112" s="70">
        <f t="shared" si="40"/>
        <v>11027.801262486564</v>
      </c>
      <c r="AC112" s="70">
        <f t="shared" si="40"/>
        <v>11110.509771955214</v>
      </c>
      <c r="AD112" s="70">
        <f t="shared" si="40"/>
        <v>11193.838595244879</v>
      </c>
      <c r="AE112" s="70">
        <f t="shared" si="40"/>
        <v>11277.792384709217</v>
      </c>
      <c r="AF112" s="70">
        <f t="shared" si="40"/>
        <v>11362.375827594537</v>
      </c>
      <c r="AG112" s="70">
        <f t="shared" si="40"/>
        <v>11447.593646301497</v>
      </c>
      <c r="AH112" s="70">
        <f t="shared" si="40"/>
        <v>11533.450598648758</v>
      </c>
      <c r="AI112" s="70">
        <f t="shared" si="40"/>
        <v>11619.951478138624</v>
      </c>
    </row>
    <row r="113" spans="2:37" hidden="1" outlineLevel="1">
      <c r="B113" s="71" t="s">
        <v>338</v>
      </c>
      <c r="H113" s="81">
        <v>822.06399999999996</v>
      </c>
      <c r="I113" s="81">
        <v>827.71199999999999</v>
      </c>
      <c r="J113" s="81">
        <v>824.41600000000005</v>
      </c>
      <c r="K113" s="81">
        <v>815.41029266471617</v>
      </c>
      <c r="L113" s="81">
        <v>813.97281089482499</v>
      </c>
      <c r="M113" s="81">
        <v>810.18399999999997</v>
      </c>
      <c r="N113" s="81">
        <v>803.50400000000002</v>
      </c>
      <c r="O113" s="81">
        <v>905.87199999999996</v>
      </c>
      <c r="P113" s="81">
        <v>838.36799999999994</v>
      </c>
      <c r="Q113" s="81">
        <v>836.96199999999999</v>
      </c>
      <c r="R113" s="81">
        <v>847.404</v>
      </c>
      <c r="S113" s="81">
        <v>857.54300000000001</v>
      </c>
      <c r="T113" s="81">
        <v>858.25599999999997</v>
      </c>
      <c r="U113" s="81">
        <v>854.78499999999997</v>
      </c>
      <c r="V113" s="81">
        <v>853.57</v>
      </c>
      <c r="W113" s="81">
        <v>850.31299999999999</v>
      </c>
      <c r="X113" s="70">
        <f t="shared" si="40"/>
        <v>856.69034750000003</v>
      </c>
      <c r="Y113" s="70">
        <f t="shared" si="40"/>
        <v>863.11552510625006</v>
      </c>
      <c r="Z113" s="70">
        <f t="shared" si="40"/>
        <v>869.58889154454698</v>
      </c>
      <c r="AA113" s="70">
        <f t="shared" si="40"/>
        <v>876.11080823113116</v>
      </c>
      <c r="AB113" s="70">
        <f t="shared" si="40"/>
        <v>882.6816392928647</v>
      </c>
      <c r="AC113" s="70">
        <f t="shared" si="40"/>
        <v>889.30175158756128</v>
      </c>
      <c r="AD113" s="70">
        <f t="shared" si="40"/>
        <v>895.97151472446808</v>
      </c>
      <c r="AE113" s="70">
        <f t="shared" si="40"/>
        <v>902.69130108490162</v>
      </c>
      <c r="AF113" s="70">
        <f t="shared" si="40"/>
        <v>909.46148584303842</v>
      </c>
      <c r="AG113" s="70">
        <f t="shared" si="40"/>
        <v>916.28244698686126</v>
      </c>
      <c r="AH113" s="70">
        <f t="shared" si="40"/>
        <v>923.15456533926283</v>
      </c>
      <c r="AI113" s="70">
        <f t="shared" si="40"/>
        <v>930.0782245793074</v>
      </c>
    </row>
    <row r="114" spans="2:37" hidden="1" outlineLevel="1">
      <c r="B114" s="71" t="s">
        <v>339</v>
      </c>
      <c r="H114" s="81">
        <v>3261.3290000000002</v>
      </c>
      <c r="I114" s="81">
        <v>3345.346</v>
      </c>
      <c r="J114" s="81">
        <v>3483.3829999999998</v>
      </c>
      <c r="K114" s="81">
        <v>3556.3319999999999</v>
      </c>
      <c r="L114" s="81">
        <v>3646.6039999999998</v>
      </c>
      <c r="M114" s="81">
        <v>3660.047</v>
      </c>
      <c r="N114" s="81">
        <v>3707.0940000000001</v>
      </c>
      <c r="O114" s="81">
        <v>3766.7249999999999</v>
      </c>
      <c r="P114" s="81">
        <v>3840.6769999999997</v>
      </c>
      <c r="Q114" s="81">
        <v>3884.63</v>
      </c>
      <c r="R114" s="81">
        <v>3915.0360000000001</v>
      </c>
      <c r="S114" s="81">
        <v>4011.0830000000001</v>
      </c>
      <c r="T114" s="81">
        <v>4106.9570000000003</v>
      </c>
      <c r="U114" s="81">
        <v>4185.1369999999997</v>
      </c>
      <c r="V114" s="81">
        <v>4253.1279999999997</v>
      </c>
      <c r="W114" s="81">
        <v>4306.7110000000002</v>
      </c>
      <c r="X114" s="70">
        <f t="shared" si="40"/>
        <v>4339.0113325000002</v>
      </c>
      <c r="Y114" s="70">
        <f t="shared" si="40"/>
        <v>4371.5539174937503</v>
      </c>
      <c r="Z114" s="70">
        <f t="shared" si="40"/>
        <v>4404.3405718749536</v>
      </c>
      <c r="AA114" s="70">
        <f t="shared" si="40"/>
        <v>4437.373126164016</v>
      </c>
      <c r="AB114" s="70">
        <f t="shared" si="40"/>
        <v>4470.6534246102465</v>
      </c>
      <c r="AC114" s="70">
        <f t="shared" si="40"/>
        <v>4504.1833252948236</v>
      </c>
      <c r="AD114" s="70">
        <f t="shared" si="40"/>
        <v>4537.9647002345355</v>
      </c>
      <c r="AE114" s="70">
        <f t="shared" si="40"/>
        <v>4571.9994354862947</v>
      </c>
      <c r="AF114" s="70">
        <f t="shared" si="40"/>
        <v>4606.2894312524422</v>
      </c>
      <c r="AG114" s="70">
        <f t="shared" si="40"/>
        <v>4640.8366019868354</v>
      </c>
      <c r="AH114" s="70">
        <f t="shared" si="40"/>
        <v>4675.6428765017372</v>
      </c>
      <c r="AI114" s="70">
        <f t="shared" si="40"/>
        <v>4710.7101980755006</v>
      </c>
    </row>
    <row r="115" spans="2:37" hidden="1" outlineLevel="1">
      <c r="B115" s="71" t="s">
        <v>340</v>
      </c>
      <c r="H115" s="81">
        <v>861.57100000000003</v>
      </c>
      <c r="I115" s="81">
        <v>878.66700000000003</v>
      </c>
      <c r="J115" s="81">
        <v>876.12599999999998</v>
      </c>
      <c r="K115" s="81">
        <v>901.32200000000012</v>
      </c>
      <c r="L115" s="81">
        <v>944.00199999999995</v>
      </c>
      <c r="M115" s="81">
        <v>965.91899999999998</v>
      </c>
      <c r="N115" s="81">
        <v>969.28899999999999</v>
      </c>
      <c r="O115" s="81">
        <v>979.32500000000005</v>
      </c>
      <c r="P115" s="81">
        <v>984.93299999999999</v>
      </c>
      <c r="Q115" s="81">
        <v>990.05700000000002</v>
      </c>
      <c r="R115" s="81">
        <v>1006.019</v>
      </c>
      <c r="S115" s="81">
        <v>1053.855</v>
      </c>
      <c r="T115" s="81">
        <v>1222.3040000000001</v>
      </c>
      <c r="U115" s="81">
        <v>1233.771</v>
      </c>
      <c r="V115" s="81">
        <v>1245.2529999999999</v>
      </c>
      <c r="W115" s="81">
        <v>1257.354</v>
      </c>
      <c r="X115" s="70">
        <f t="shared" si="40"/>
        <v>1266.7841550000001</v>
      </c>
      <c r="Y115" s="70">
        <f t="shared" si="40"/>
        <v>1276.2850361625001</v>
      </c>
      <c r="Z115" s="70">
        <f t="shared" si="40"/>
        <v>1285.857173933719</v>
      </c>
      <c r="AA115" s="70">
        <f t="shared" si="40"/>
        <v>1295.501102738222</v>
      </c>
      <c r="AB115" s="70">
        <f t="shared" si="40"/>
        <v>1305.2173610087589</v>
      </c>
      <c r="AC115" s="70">
        <f t="shared" si="40"/>
        <v>1315.0064912163245</v>
      </c>
      <c r="AD115" s="70">
        <f t="shared" si="40"/>
        <v>1324.869039900447</v>
      </c>
      <c r="AE115" s="70">
        <f t="shared" si="40"/>
        <v>1334.8055576997003</v>
      </c>
      <c r="AF115" s="70">
        <f t="shared" si="40"/>
        <v>1344.8165993824482</v>
      </c>
      <c r="AG115" s="70">
        <f t="shared" si="40"/>
        <v>1354.9027238778167</v>
      </c>
      <c r="AH115" s="70">
        <f t="shared" si="40"/>
        <v>1365.0644943069003</v>
      </c>
      <c r="AI115" s="70">
        <f t="shared" si="40"/>
        <v>1375.3024780142021</v>
      </c>
    </row>
    <row r="116" spans="2:37" hidden="1" outlineLevel="1">
      <c r="B116" s="71" t="s">
        <v>341</v>
      </c>
      <c r="H116" s="81">
        <v>5044.9790000000003</v>
      </c>
      <c r="I116" s="81">
        <v>4999.2110000000002</v>
      </c>
      <c r="J116" s="81">
        <v>5118.2479999999996</v>
      </c>
      <c r="K116" s="81">
        <v>5377.3979999999992</v>
      </c>
      <c r="L116" s="81">
        <v>5143.3779999999997</v>
      </c>
      <c r="M116" s="81">
        <v>5193.3100000000004</v>
      </c>
      <c r="N116" s="81">
        <v>5165.2920000000004</v>
      </c>
      <c r="O116" s="81">
        <v>5223.9369999999999</v>
      </c>
      <c r="P116" s="81">
        <v>5327.7449999999999</v>
      </c>
      <c r="Q116" s="81">
        <v>5306.8440000000001</v>
      </c>
      <c r="R116" s="81">
        <v>5344.1629999999996</v>
      </c>
      <c r="S116" s="81">
        <v>5459.9520000000002</v>
      </c>
      <c r="T116" s="81">
        <v>5550.4719999999998</v>
      </c>
      <c r="U116" s="81">
        <v>5639.1419999999998</v>
      </c>
      <c r="V116" s="81">
        <v>5607.0249999999996</v>
      </c>
      <c r="W116" s="81">
        <v>5656.9210000000003</v>
      </c>
      <c r="X116" s="70">
        <f t="shared" si="40"/>
        <v>5699.3479075000005</v>
      </c>
      <c r="Y116" s="70">
        <f t="shared" si="40"/>
        <v>5742.0930168062505</v>
      </c>
      <c r="Z116" s="70">
        <f t="shared" si="40"/>
        <v>5785.1587144322975</v>
      </c>
      <c r="AA116" s="70">
        <f t="shared" si="40"/>
        <v>5828.54740479054</v>
      </c>
      <c r="AB116" s="70">
        <f t="shared" si="40"/>
        <v>5872.2615103264698</v>
      </c>
      <c r="AC116" s="70">
        <f t="shared" si="40"/>
        <v>5916.3034716539187</v>
      </c>
      <c r="AD116" s="70">
        <f t="shared" si="40"/>
        <v>5960.6757476913235</v>
      </c>
      <c r="AE116" s="70">
        <f t="shared" si="40"/>
        <v>6005.3808157990088</v>
      </c>
      <c r="AF116" s="70">
        <f t="shared" si="40"/>
        <v>6050.4211719175019</v>
      </c>
      <c r="AG116" s="70">
        <f t="shared" si="40"/>
        <v>6095.7993307068837</v>
      </c>
      <c r="AH116" s="70">
        <f t="shared" si="40"/>
        <v>6141.5178256871859</v>
      </c>
      <c r="AI116" s="70">
        <f t="shared" si="40"/>
        <v>6187.57920937984</v>
      </c>
    </row>
    <row r="117" spans="2:37" hidden="1" outlineLevel="1">
      <c r="B117" s="71" t="s">
        <v>342</v>
      </c>
      <c r="H117" s="81">
        <v>16754.754000000001</v>
      </c>
      <c r="I117" s="81">
        <v>17347.615000000002</v>
      </c>
      <c r="J117" s="81">
        <v>17440.547999999999</v>
      </c>
      <c r="K117" s="81">
        <v>17992.766000000003</v>
      </c>
      <c r="L117" s="81">
        <v>18179.978999999999</v>
      </c>
      <c r="M117" s="81">
        <v>18179.978999999999</v>
      </c>
      <c r="N117" s="81">
        <v>17127.577000000001</v>
      </c>
      <c r="O117" s="81">
        <v>19284.828000000001</v>
      </c>
      <c r="P117" s="81">
        <v>19721.215</v>
      </c>
      <c r="Q117" s="81">
        <v>19643.053</v>
      </c>
      <c r="R117" s="81">
        <v>20334.048999999999</v>
      </c>
      <c r="S117" s="81">
        <v>21530.377</v>
      </c>
      <c r="T117" s="81">
        <v>21429.444</v>
      </c>
      <c r="U117" s="81">
        <v>21789.562999999998</v>
      </c>
      <c r="V117" s="81">
        <v>21841.758999999998</v>
      </c>
      <c r="W117" s="81">
        <v>22666.370999999999</v>
      </c>
      <c r="X117" s="70">
        <f t="shared" si="40"/>
        <v>22836.368782500002</v>
      </c>
      <c r="Y117" s="70">
        <f t="shared" si="40"/>
        <v>23007.641548368752</v>
      </c>
      <c r="Z117" s="70">
        <f t="shared" si="40"/>
        <v>23180.198859981519</v>
      </c>
      <c r="AA117" s="70">
        <f t="shared" si="40"/>
        <v>23354.050351431382</v>
      </c>
      <c r="AB117" s="70">
        <f t="shared" si="40"/>
        <v>23529.205729067118</v>
      </c>
      <c r="AC117" s="70">
        <f t="shared" si="40"/>
        <v>23705.674772035123</v>
      </c>
      <c r="AD117" s="70">
        <f t="shared" si="40"/>
        <v>23883.467332825388</v>
      </c>
      <c r="AE117" s="70">
        <f t="shared" si="40"/>
        <v>24062.593337821581</v>
      </c>
      <c r="AF117" s="70">
        <f t="shared" si="40"/>
        <v>24243.062787855244</v>
      </c>
      <c r="AG117" s="70">
        <f t="shared" si="40"/>
        <v>24424.885758764161</v>
      </c>
      <c r="AH117" s="70">
        <f t="shared" si="40"/>
        <v>24608.072401954894</v>
      </c>
      <c r="AI117" s="70">
        <f t="shared" si="40"/>
        <v>24792.632944969559</v>
      </c>
    </row>
    <row r="118" spans="2:37" hidden="1" outlineLevel="1">
      <c r="B118" s="71" t="s">
        <v>343</v>
      </c>
      <c r="H118" s="81">
        <v>2100.1509999999998</v>
      </c>
      <c r="I118" s="81">
        <v>2229.0079999999998</v>
      </c>
      <c r="J118" s="81">
        <v>2257.2539999999999</v>
      </c>
      <c r="K118" s="81">
        <v>2344.42</v>
      </c>
      <c r="L118" s="81">
        <v>2466.018</v>
      </c>
      <c r="M118" s="81">
        <v>2482.3490000000002</v>
      </c>
      <c r="N118" s="81">
        <v>2681.8809999999999</v>
      </c>
      <c r="O118" s="81">
        <v>1840.144</v>
      </c>
      <c r="P118" s="81">
        <v>1949.98</v>
      </c>
      <c r="Q118" s="81">
        <v>2038.5319999999999</v>
      </c>
      <c r="R118" s="81">
        <v>2121.2170000000001</v>
      </c>
      <c r="S118" s="81">
        <v>2189.19</v>
      </c>
      <c r="T118" s="81">
        <v>2279.8690000000001</v>
      </c>
      <c r="U118" s="81">
        <v>2317.6889999999999</v>
      </c>
      <c r="V118" s="81">
        <v>2332.7779999999998</v>
      </c>
      <c r="W118" s="81">
        <v>2391.63</v>
      </c>
      <c r="X118" s="70">
        <f t="shared" si="40"/>
        <v>2409.5672250000002</v>
      </c>
      <c r="Y118" s="70">
        <f t="shared" si="40"/>
        <v>2427.6389791875004</v>
      </c>
      <c r="Z118" s="70">
        <f t="shared" si="40"/>
        <v>2445.8462715314067</v>
      </c>
      <c r="AA118" s="70">
        <f t="shared" si="40"/>
        <v>2464.1901185678926</v>
      </c>
      <c r="AB118" s="70">
        <f t="shared" si="40"/>
        <v>2482.6715444571519</v>
      </c>
      <c r="AC118" s="70">
        <f t="shared" si="40"/>
        <v>2501.2915810405807</v>
      </c>
      <c r="AD118" s="70">
        <f t="shared" si="40"/>
        <v>2520.051267898385</v>
      </c>
      <c r="AE118" s="70">
        <f t="shared" si="40"/>
        <v>2538.951652407623</v>
      </c>
      <c r="AF118" s="70">
        <f t="shared" si="40"/>
        <v>2557.9937898006801</v>
      </c>
      <c r="AG118" s="70">
        <f t="shared" si="40"/>
        <v>2577.1787432241854</v>
      </c>
      <c r="AH118" s="70">
        <f t="shared" si="40"/>
        <v>2596.5075837983668</v>
      </c>
      <c r="AI118" s="70">
        <f t="shared" si="40"/>
        <v>2615.9813906768545</v>
      </c>
    </row>
    <row r="119" spans="2:37" hidden="1" outlineLevel="1">
      <c r="B119" s="71" t="s">
        <v>344</v>
      </c>
      <c r="H119" s="81">
        <v>539.63900000000001</v>
      </c>
      <c r="I119" s="81">
        <v>520.51800000000003</v>
      </c>
      <c r="J119" s="81">
        <v>602.01199999999994</v>
      </c>
      <c r="K119" s="81">
        <v>580.07600000000002</v>
      </c>
      <c r="L119" s="81">
        <v>598.53899999999999</v>
      </c>
      <c r="M119" s="81">
        <v>574.41300000000001</v>
      </c>
      <c r="N119" s="81">
        <v>583.34699999999998</v>
      </c>
      <c r="O119" s="81">
        <v>594.09699999999998</v>
      </c>
      <c r="P119" s="81">
        <v>598.21299999999997</v>
      </c>
      <c r="Q119" s="81">
        <v>602.68499999999995</v>
      </c>
      <c r="R119" s="81">
        <v>603.41200000000003</v>
      </c>
      <c r="S119" s="81">
        <v>645.49599999999998</v>
      </c>
      <c r="T119" s="81">
        <v>603.404</v>
      </c>
      <c r="U119" s="81">
        <v>609.09199999999998</v>
      </c>
      <c r="V119" s="81">
        <v>606.40700000000004</v>
      </c>
      <c r="W119" s="81">
        <v>608.05200000000002</v>
      </c>
      <c r="X119" s="70">
        <f t="shared" si="40"/>
        <v>612.61239</v>
      </c>
      <c r="Y119" s="70">
        <f t="shared" si="40"/>
        <v>617.20698292500003</v>
      </c>
      <c r="Z119" s="70">
        <f t="shared" si="40"/>
        <v>621.83603529693755</v>
      </c>
      <c r="AA119" s="70">
        <f t="shared" si="40"/>
        <v>626.49980556166463</v>
      </c>
      <c r="AB119" s="70">
        <f t="shared" si="40"/>
        <v>631.19855410337721</v>
      </c>
      <c r="AC119" s="70">
        <f t="shared" si="40"/>
        <v>635.93254325915257</v>
      </c>
      <c r="AD119" s="70">
        <f t="shared" si="40"/>
        <v>640.70203733359619</v>
      </c>
      <c r="AE119" s="70">
        <f t="shared" si="40"/>
        <v>645.5073026135982</v>
      </c>
      <c r="AF119" s="70">
        <f t="shared" si="40"/>
        <v>650.34860738320026</v>
      </c>
      <c r="AG119" s="70">
        <f t="shared" si="40"/>
        <v>655.22622193857433</v>
      </c>
      <c r="AH119" s="70">
        <f t="shared" si="40"/>
        <v>660.14041860311363</v>
      </c>
      <c r="AI119" s="70">
        <f t="shared" si="40"/>
        <v>665.09147174263705</v>
      </c>
    </row>
    <row r="120" spans="2:37" hidden="1" outlineLevel="1">
      <c r="B120" s="71" t="s">
        <v>345</v>
      </c>
      <c r="H120" s="81">
        <v>6482.7730000000001</v>
      </c>
      <c r="I120" s="81">
        <v>6578.7730000000001</v>
      </c>
      <c r="J120" s="81">
        <v>6626.3770000000004</v>
      </c>
      <c r="K120" s="81">
        <v>6603.2294499999998</v>
      </c>
      <c r="L120" s="81">
        <v>6522.1067999999996</v>
      </c>
      <c r="M120" s="81">
        <v>6297.5479999999998</v>
      </c>
      <c r="N120" s="81">
        <v>6143.1509999999998</v>
      </c>
      <c r="O120" s="81">
        <v>6870.924</v>
      </c>
      <c r="P120" s="81">
        <v>6966.473</v>
      </c>
      <c r="Q120" s="81">
        <v>6910.1040000000003</v>
      </c>
      <c r="R120" s="81">
        <v>7014.6149999999998</v>
      </c>
      <c r="S120" s="81">
        <v>7091.5659999999998</v>
      </c>
      <c r="T120" s="81">
        <v>7151.7110000000002</v>
      </c>
      <c r="U120" s="81">
        <v>7363.7939999999999</v>
      </c>
      <c r="V120" s="81">
        <v>7453.558</v>
      </c>
      <c r="W120" s="81">
        <v>7502.951</v>
      </c>
      <c r="X120" s="70">
        <f t="shared" si="40"/>
        <v>7559.2231325000002</v>
      </c>
      <c r="Y120" s="70">
        <f t="shared" si="40"/>
        <v>7615.9173059937511</v>
      </c>
      <c r="Z120" s="70">
        <f t="shared" si="40"/>
        <v>7673.0366857887047</v>
      </c>
      <c r="AA120" s="70">
        <f t="shared" si="40"/>
        <v>7730.5844609321202</v>
      </c>
      <c r="AB120" s="70">
        <f t="shared" si="40"/>
        <v>7788.5638443891112</v>
      </c>
      <c r="AC120" s="70">
        <f t="shared" si="40"/>
        <v>7846.9780732220297</v>
      </c>
      <c r="AD120" s="70">
        <f t="shared" si="40"/>
        <v>7905.8304087711958</v>
      </c>
      <c r="AE120" s="70">
        <f t="shared" si="40"/>
        <v>7965.1241368369801</v>
      </c>
      <c r="AF120" s="70">
        <f t="shared" si="40"/>
        <v>8024.8625678632579</v>
      </c>
      <c r="AG120" s="70">
        <f t="shared" si="40"/>
        <v>8085.0490371222331</v>
      </c>
      <c r="AH120" s="70">
        <f t="shared" si="40"/>
        <v>8145.68690490065</v>
      </c>
      <c r="AI120" s="70">
        <f t="shared" si="40"/>
        <v>8206.7795566874047</v>
      </c>
    </row>
    <row r="121" spans="2:37" hidden="1" outlineLevel="1">
      <c r="B121" s="71" t="s">
        <v>346</v>
      </c>
      <c r="H121" s="81">
        <v>5619.7269999999999</v>
      </c>
      <c r="I121" s="81">
        <v>5694.3180000000002</v>
      </c>
      <c r="J121" s="81">
        <v>5805.7089999999998</v>
      </c>
      <c r="K121" s="81">
        <v>5885.308</v>
      </c>
      <c r="L121" s="81">
        <v>6133.6059999999998</v>
      </c>
      <c r="M121" s="81">
        <v>5732.2510000000002</v>
      </c>
      <c r="N121" s="81">
        <v>4823.8969999999999</v>
      </c>
      <c r="O121" s="81">
        <v>5789.3540000000003</v>
      </c>
      <c r="P121" s="81">
        <v>5766.68</v>
      </c>
      <c r="Q121" s="81">
        <v>6307.4539999999997</v>
      </c>
      <c r="R121" s="81">
        <v>6319.893</v>
      </c>
      <c r="S121" s="81">
        <v>6535.8159999999998</v>
      </c>
      <c r="T121" s="81">
        <v>6845.0879999999997</v>
      </c>
      <c r="U121" s="81">
        <v>7049.317</v>
      </c>
      <c r="V121" s="81">
        <v>6960.3310000000001</v>
      </c>
      <c r="W121" s="81">
        <v>7181.7359999999999</v>
      </c>
      <c r="X121" s="70">
        <f t="shared" si="40"/>
        <v>7235.5990200000006</v>
      </c>
      <c r="Y121" s="70">
        <f t="shared" si="40"/>
        <v>7289.8660126500008</v>
      </c>
      <c r="Z121" s="70">
        <f t="shared" si="40"/>
        <v>7344.5400077448767</v>
      </c>
      <c r="AA121" s="70">
        <f t="shared" si="40"/>
        <v>7399.6240578029638</v>
      </c>
      <c r="AB121" s="70">
        <f t="shared" si="40"/>
        <v>7455.1212382364865</v>
      </c>
      <c r="AC121" s="70">
        <f t="shared" si="40"/>
        <v>7511.0346475232609</v>
      </c>
      <c r="AD121" s="70">
        <f t="shared" si="40"/>
        <v>7567.3674073796856</v>
      </c>
      <c r="AE121" s="70">
        <f t="shared" si="40"/>
        <v>7624.122662935034</v>
      </c>
      <c r="AF121" s="70">
        <f t="shared" si="40"/>
        <v>7681.3035829070468</v>
      </c>
      <c r="AG121" s="70">
        <f t="shared" si="40"/>
        <v>7738.9133597788505</v>
      </c>
      <c r="AH121" s="70">
        <f t="shared" si="40"/>
        <v>7796.9552099771927</v>
      </c>
      <c r="AI121" s="70">
        <f t="shared" si="40"/>
        <v>7855.4323740520222</v>
      </c>
    </row>
    <row r="122" spans="2:37" hidden="1" outlineLevel="1">
      <c r="B122" s="71" t="s">
        <v>347</v>
      </c>
      <c r="H122" s="81">
        <v>1369.7270000000001</v>
      </c>
      <c r="I122" s="81">
        <v>1324.001</v>
      </c>
      <c r="J122" s="81">
        <v>1437.2090000000001</v>
      </c>
      <c r="K122" s="81">
        <v>1414.941</v>
      </c>
      <c r="L122" s="81">
        <v>1407.9739999999999</v>
      </c>
      <c r="M122" s="81">
        <v>1419.24</v>
      </c>
      <c r="N122" s="81">
        <v>1442.8219999999999</v>
      </c>
      <c r="O122" s="81">
        <v>1428.01</v>
      </c>
      <c r="P122" s="81">
        <v>1412.845</v>
      </c>
      <c r="Q122" s="81">
        <v>1411.4359999999999</v>
      </c>
      <c r="R122" s="81">
        <v>1509.5820000000001</v>
      </c>
      <c r="S122" s="81">
        <v>1570.338</v>
      </c>
      <c r="T122" s="81">
        <v>1660.885</v>
      </c>
      <c r="U122" s="81">
        <v>1647.057</v>
      </c>
      <c r="V122" s="81">
        <v>1651.7149999999999</v>
      </c>
      <c r="W122" s="81">
        <v>1627.095</v>
      </c>
      <c r="X122" s="70">
        <f t="shared" si="40"/>
        <v>1639.2982125000001</v>
      </c>
      <c r="Y122" s="70">
        <f t="shared" si="40"/>
        <v>1651.5929490937501</v>
      </c>
      <c r="Z122" s="70">
        <f t="shared" si="40"/>
        <v>1663.9798962119532</v>
      </c>
      <c r="AA122" s="70">
        <f t="shared" si="40"/>
        <v>1676.459745433543</v>
      </c>
      <c r="AB122" s="70">
        <f t="shared" si="40"/>
        <v>1689.0331935242948</v>
      </c>
      <c r="AC122" s="70">
        <f t="shared" si="40"/>
        <v>1701.7009424757271</v>
      </c>
      <c r="AD122" s="70">
        <f t="shared" si="40"/>
        <v>1714.4636995442952</v>
      </c>
      <c r="AE122" s="70">
        <f t="shared" si="40"/>
        <v>1727.3221772908776</v>
      </c>
      <c r="AF122" s="70">
        <f t="shared" si="40"/>
        <v>1740.2770936205593</v>
      </c>
      <c r="AG122" s="70">
        <f t="shared" si="40"/>
        <v>1753.3291718227135</v>
      </c>
      <c r="AH122" s="70">
        <f t="shared" si="40"/>
        <v>1766.4791406113841</v>
      </c>
      <c r="AI122" s="70">
        <f t="shared" si="40"/>
        <v>1779.7277341659697</v>
      </c>
    </row>
    <row r="123" spans="2:37" hidden="1" outlineLevel="1">
      <c r="B123" s="71" t="s">
        <v>348</v>
      </c>
      <c r="H123" s="81">
        <v>4858.683</v>
      </c>
      <c r="I123" s="81">
        <v>4948.7579999999998</v>
      </c>
      <c r="J123" s="81">
        <v>5161.009</v>
      </c>
      <c r="K123" s="81">
        <v>5259.9760000000006</v>
      </c>
      <c r="L123" s="81">
        <v>5232.5789999999997</v>
      </c>
      <c r="M123" s="81">
        <v>5158.8490000000002</v>
      </c>
      <c r="N123" s="81">
        <v>5206.8</v>
      </c>
      <c r="O123" s="81">
        <v>5168.7160000000003</v>
      </c>
      <c r="P123" s="81">
        <v>5128.0830000000005</v>
      </c>
      <c r="Q123" s="81">
        <v>5242.1580000000004</v>
      </c>
      <c r="R123" s="81">
        <v>5243.5219999999999</v>
      </c>
      <c r="S123" s="81">
        <v>5366.3280000000004</v>
      </c>
      <c r="T123" s="81">
        <v>5460.4549999999999</v>
      </c>
      <c r="U123" s="81">
        <v>5491.1440000000002</v>
      </c>
      <c r="V123" s="81">
        <v>5582.4859999999999</v>
      </c>
      <c r="W123" s="81">
        <v>5566.1319999999996</v>
      </c>
      <c r="X123" s="70">
        <f t="shared" si="40"/>
        <v>5607.87799</v>
      </c>
      <c r="Y123" s="70">
        <f t="shared" si="40"/>
        <v>5649.9370749250002</v>
      </c>
      <c r="Z123" s="70">
        <f t="shared" si="40"/>
        <v>5692.3116029869379</v>
      </c>
      <c r="AA123" s="70">
        <f t="shared" si="40"/>
        <v>5735.0039400093401</v>
      </c>
      <c r="AB123" s="70">
        <f t="shared" si="40"/>
        <v>5778.0164695594103</v>
      </c>
      <c r="AC123" s="70">
        <f t="shared" si="40"/>
        <v>5821.3515930811063</v>
      </c>
      <c r="AD123" s="70">
        <f t="shared" si="40"/>
        <v>5865.011730029215</v>
      </c>
      <c r="AE123" s="70">
        <f t="shared" si="40"/>
        <v>5908.9993180044348</v>
      </c>
      <c r="AF123" s="70">
        <f t="shared" si="40"/>
        <v>5953.3168128894686</v>
      </c>
      <c r="AG123" s="70">
        <f t="shared" si="40"/>
        <v>5997.9666889861401</v>
      </c>
      <c r="AH123" s="70">
        <f t="shared" si="40"/>
        <v>6042.9514391535367</v>
      </c>
      <c r="AI123" s="70">
        <f t="shared" si="40"/>
        <v>6088.2735749471885</v>
      </c>
    </row>
    <row r="124" spans="2:37" hidden="1" outlineLevel="1">
      <c r="B124" s="71" t="s">
        <v>349</v>
      </c>
      <c r="H124" s="81">
        <v>649.65599999999995</v>
      </c>
      <c r="I124" s="81">
        <v>657.24800000000005</v>
      </c>
      <c r="J124" s="81">
        <v>658.02499999999998</v>
      </c>
      <c r="K124" s="81">
        <v>666.13499999999999</v>
      </c>
      <c r="L124" s="81">
        <v>669.58199999999999</v>
      </c>
      <c r="M124" s="81">
        <v>656.226</v>
      </c>
      <c r="N124" s="81">
        <v>666.45299999999997</v>
      </c>
      <c r="O124" s="81">
        <v>780.38300000000004</v>
      </c>
      <c r="P124" s="81">
        <v>785.79899999999998</v>
      </c>
      <c r="Q124" s="81">
        <v>825.07899999999995</v>
      </c>
      <c r="R124" s="81">
        <v>814.19325180103999</v>
      </c>
      <c r="S124" s="81">
        <v>809.00699999999995</v>
      </c>
      <c r="T124" s="81">
        <v>834.73299999999995</v>
      </c>
      <c r="U124" s="81">
        <v>798.98599999999999</v>
      </c>
      <c r="V124" s="81">
        <v>817.52599999999995</v>
      </c>
      <c r="W124" s="81">
        <v>824.94</v>
      </c>
      <c r="X124" s="70">
        <f t="shared" si="40"/>
        <v>831.12705000000005</v>
      </c>
      <c r="Y124" s="70">
        <f t="shared" si="40"/>
        <v>837.36050287500007</v>
      </c>
      <c r="Z124" s="70">
        <f t="shared" si="40"/>
        <v>843.64070664656265</v>
      </c>
      <c r="AA124" s="70">
        <f t="shared" si="40"/>
        <v>849.96801194641193</v>
      </c>
      <c r="AB124" s="70">
        <f t="shared" si="40"/>
        <v>856.34277203601005</v>
      </c>
      <c r="AC124" s="70">
        <f t="shared" si="40"/>
        <v>862.76534282628018</v>
      </c>
      <c r="AD124" s="70">
        <f t="shared" si="40"/>
        <v>869.23608289747733</v>
      </c>
      <c r="AE124" s="70">
        <f t="shared" si="40"/>
        <v>875.75535351920848</v>
      </c>
      <c r="AF124" s="70">
        <f t="shared" si="40"/>
        <v>882.32351867060265</v>
      </c>
      <c r="AG124" s="70">
        <f t="shared" si="40"/>
        <v>888.9409450606322</v>
      </c>
      <c r="AH124" s="70">
        <f t="shared" si="40"/>
        <v>895.60800214858705</v>
      </c>
      <c r="AI124" s="70">
        <f t="shared" si="40"/>
        <v>902.32506216470154</v>
      </c>
    </row>
    <row r="125" spans="2:37" collapsed="1">
      <c r="B125" s="286" t="s">
        <v>353</v>
      </c>
      <c r="C125" s="286"/>
      <c r="D125" s="286"/>
      <c r="E125" s="286"/>
      <c r="F125" s="286"/>
      <c r="G125" s="286"/>
      <c r="H125" s="289">
        <f t="shared" ref="H125:J125" si="41">SUM(H75:H124)</f>
        <v>238448.427</v>
      </c>
      <c r="I125" s="289">
        <f t="shared" si="41"/>
        <v>242767.90600000002</v>
      </c>
      <c r="J125" s="289">
        <f t="shared" si="41"/>
        <v>246149.20800000001</v>
      </c>
      <c r="K125" s="289">
        <f t="shared" ref="K125:AI125" si="42">SUM(K75:K124)</f>
        <v>249638.53078540001</v>
      </c>
      <c r="L125" s="289">
        <f t="shared" si="42"/>
        <v>251098.63629208424</v>
      </c>
      <c r="M125" s="289">
        <f t="shared" si="42"/>
        <v>249386.04999999996</v>
      </c>
      <c r="N125" s="289">
        <f t="shared" si="42"/>
        <v>245201.00099999993</v>
      </c>
      <c r="O125" s="289">
        <f t="shared" si="42"/>
        <v>248873.68900000004</v>
      </c>
      <c r="P125" s="289">
        <f t="shared" si="42"/>
        <v>249284.29699999996</v>
      </c>
      <c r="Q125" s="289">
        <f t="shared" si="42"/>
        <v>251192.81900000002</v>
      </c>
      <c r="R125" s="289">
        <f t="shared" si="42"/>
        <v>255454.46407966377</v>
      </c>
      <c r="S125" s="289">
        <f t="shared" si="42"/>
        <v>258785.95900000006</v>
      </c>
      <c r="T125" s="289">
        <f t="shared" si="42"/>
        <v>263752.82899999997</v>
      </c>
      <c r="U125" s="289">
        <f t="shared" si="42"/>
        <v>267376.48599999998</v>
      </c>
      <c r="V125" s="289">
        <f t="shared" si="42"/>
        <v>268535.886</v>
      </c>
      <c r="W125" s="289">
        <f t="shared" si="42"/>
        <v>271519.1779999999</v>
      </c>
      <c r="X125" s="289">
        <f t="shared" si="42"/>
        <v>273555.57183500007</v>
      </c>
      <c r="Y125" s="289">
        <f t="shared" si="42"/>
        <v>275607.23862376256</v>
      </c>
      <c r="Z125" s="289">
        <f t="shared" si="42"/>
        <v>277674.29291344067</v>
      </c>
      <c r="AA125" s="289">
        <f t="shared" si="42"/>
        <v>279756.85011029168</v>
      </c>
      <c r="AB125" s="289">
        <f t="shared" si="42"/>
        <v>281855.02648611879</v>
      </c>
      <c r="AC125" s="289">
        <f t="shared" si="42"/>
        <v>283968.93918476469</v>
      </c>
      <c r="AD125" s="289">
        <f t="shared" si="42"/>
        <v>286098.70622865047</v>
      </c>
      <c r="AE125" s="289">
        <f t="shared" si="42"/>
        <v>288244.44652536529</v>
      </c>
      <c r="AF125" s="289">
        <f t="shared" si="42"/>
        <v>290406.27987430565</v>
      </c>
      <c r="AG125" s="289">
        <f t="shared" si="42"/>
        <v>292584.32697336288</v>
      </c>
      <c r="AH125" s="289">
        <f t="shared" si="42"/>
        <v>294778.70942566305</v>
      </c>
      <c r="AI125" s="289">
        <f t="shared" si="42"/>
        <v>296989.54974635574</v>
      </c>
    </row>
    <row r="126" spans="2:37">
      <c r="B126" s="86" t="s">
        <v>354</v>
      </c>
      <c r="C126" s="64"/>
      <c r="D126" s="64"/>
      <c r="E126" s="64"/>
      <c r="F126" s="64"/>
      <c r="G126" s="64"/>
      <c r="H126" s="64"/>
      <c r="I126" s="243">
        <f t="shared" ref="I126:R126" si="43">+I125/H125-1</f>
        <v>1.8114940217240472E-2</v>
      </c>
      <c r="J126" s="243">
        <f t="shared" si="43"/>
        <v>1.3928126067866531E-2</v>
      </c>
      <c r="K126" s="243">
        <f t="shared" si="43"/>
        <v>1.4175640920201626E-2</v>
      </c>
      <c r="L126" s="243">
        <f t="shared" si="43"/>
        <v>5.8488787852200019E-3</v>
      </c>
      <c r="M126" s="243">
        <f t="shared" si="43"/>
        <v>-6.8203727323000729E-3</v>
      </c>
      <c r="N126" s="243">
        <f t="shared" si="43"/>
        <v>-1.6781407781229274E-2</v>
      </c>
      <c r="O126" s="243">
        <f t="shared" si="43"/>
        <v>1.4978274905167011E-2</v>
      </c>
      <c r="P126" s="243">
        <f t="shared" si="43"/>
        <v>1.6498650445926355E-3</v>
      </c>
      <c r="Q126" s="243">
        <f t="shared" si="43"/>
        <v>7.656005705004576E-3</v>
      </c>
      <c r="R126" s="243">
        <f t="shared" si="43"/>
        <v>1.6965632602991443E-2</v>
      </c>
      <c r="S126" s="243">
        <f>+S125/R125-1</f>
        <v>1.3041443344272041E-2</v>
      </c>
      <c r="T126" s="243">
        <f>+T125/S125-1</f>
        <v>1.9192965565801412E-2</v>
      </c>
      <c r="U126" s="243">
        <f>+U125/T125-1</f>
        <v>1.3738836522583897E-2</v>
      </c>
      <c r="V126" s="243">
        <f>+V125/U125-1</f>
        <v>4.3362077845545688E-3</v>
      </c>
      <c r="W126" s="243">
        <f>+W125/V125-1</f>
        <v>1.1109472348138638E-2</v>
      </c>
      <c r="X126" s="249">
        <v>7.4999999999999997E-3</v>
      </c>
      <c r="Y126" s="249">
        <v>7.4999999999999997E-3</v>
      </c>
      <c r="Z126" s="249">
        <v>7.4999999999999997E-3</v>
      </c>
      <c r="AA126" s="249">
        <v>7.4999999999999997E-3</v>
      </c>
      <c r="AB126" s="249">
        <v>7.4999999999999997E-3</v>
      </c>
      <c r="AC126" s="249">
        <v>7.4999999999999997E-3</v>
      </c>
      <c r="AD126" s="249">
        <v>7.4999999999999997E-3</v>
      </c>
      <c r="AE126" s="249">
        <v>7.4999999999999997E-3</v>
      </c>
      <c r="AF126" s="249">
        <v>7.4999999999999997E-3</v>
      </c>
      <c r="AG126" s="249">
        <v>7.4999999999999997E-3</v>
      </c>
      <c r="AH126" s="249">
        <v>7.4999999999999997E-3</v>
      </c>
      <c r="AI126" s="249">
        <v>7.4999999999999997E-3</v>
      </c>
    </row>
    <row r="128" spans="2:37" hidden="1" outlineLevel="1">
      <c r="B128" s="71" t="s">
        <v>301</v>
      </c>
      <c r="H128" s="69">
        <f t="shared" ref="H128:U143" si="44">+H5/(H75/1000)</f>
        <v>0.22046667062036898</v>
      </c>
      <c r="I128" s="69">
        <f t="shared" si="44"/>
        <v>0.21813043458344614</v>
      </c>
      <c r="J128" s="69">
        <f t="shared" si="44"/>
        <v>0.213651794151624</v>
      </c>
      <c r="K128" s="69">
        <f>+K5/(K75/1000)</f>
        <v>0.21123026845254819</v>
      </c>
      <c r="L128" s="69">
        <f t="shared" si="44"/>
        <v>0.41644699087897796</v>
      </c>
      <c r="M128" s="69">
        <f t="shared" si="44"/>
        <v>0.42748287396736162</v>
      </c>
      <c r="N128" s="69">
        <f t="shared" si="44"/>
        <v>0.42354261632862672</v>
      </c>
      <c r="O128" s="69">
        <f t="shared" si="44"/>
        <v>0.4218587815073141</v>
      </c>
      <c r="P128" s="69">
        <f t="shared" si="44"/>
        <v>0.4168039514681815</v>
      </c>
      <c r="Q128" s="69">
        <f t="shared" si="44"/>
        <v>0.42190603646280728</v>
      </c>
      <c r="R128" s="69">
        <f t="shared" si="44"/>
        <v>0.5639469822163079</v>
      </c>
      <c r="S128" s="69">
        <f t="shared" si="44"/>
        <v>0.56047151347485613</v>
      </c>
      <c r="T128" s="69">
        <f t="shared" si="44"/>
        <v>0.74746753328052473</v>
      </c>
      <c r="U128" s="69">
        <f t="shared" si="44"/>
        <v>0.80983692718715694</v>
      </c>
      <c r="V128" s="69">
        <f t="shared" ref="V128:X143" ca="1" si="45">+V5/(V75/1000)+0.000001*RAND()</f>
        <v>0.96494708765588977</v>
      </c>
      <c r="W128" s="69">
        <f t="shared" ca="1" si="45"/>
        <v>0.96723488602453345</v>
      </c>
      <c r="X128" s="69">
        <f t="shared" ca="1" si="45"/>
        <v>0.9600344795201613</v>
      </c>
      <c r="Y128" s="251">
        <f t="shared" ref="Y128:AG143" ca="1" si="46">IF(ISBLANK(Y$181),AVERAGE(Z128,X128),X128*(1+Y$181))</f>
        <v>0.99603577250216746</v>
      </c>
      <c r="Z128" s="251">
        <f t="shared" ca="1" si="46"/>
        <v>1.034881167629752</v>
      </c>
      <c r="AA128" s="251">
        <f t="shared" ca="1" si="46"/>
        <v>1.0804159390054611</v>
      </c>
      <c r="AB128" s="251">
        <f t="shared" ca="1" si="46"/>
        <v>1.1180777007658569</v>
      </c>
      <c r="AC128" s="251">
        <f t="shared" ca="1" si="46"/>
        <v>1.1557394625262525</v>
      </c>
      <c r="AD128" s="251">
        <f t="shared" ca="1" si="46"/>
        <v>1.1934012242866476</v>
      </c>
      <c r="AE128" s="251">
        <f t="shared" ca="1" si="46"/>
        <v>1.2310629860470423</v>
      </c>
      <c r="AF128" s="251">
        <f t="shared" ca="1" si="46"/>
        <v>1.268724747807437</v>
      </c>
      <c r="AG128" s="251">
        <f t="shared" ca="1" si="46"/>
        <v>1.3063865095678313</v>
      </c>
      <c r="AH128" s="263">
        <f ca="1">+AK128</f>
        <v>1.3440482713282258</v>
      </c>
      <c r="AI128" s="251">
        <f ca="1">+AH128*1.035</f>
        <v>1.3910899608247136</v>
      </c>
      <c r="AK128" s="250">
        <f ca="1">MIN(1.95,IF(X128&lt;0.1,$X$178*RAND()*1.3,MAX($X128*1.4,(($X$178*1.2)-X128)*0.6+X128)))</f>
        <v>1.3440482713282258</v>
      </c>
    </row>
    <row r="129" spans="2:37" hidden="1" outlineLevel="1">
      <c r="B129" s="71" t="s">
        <v>302</v>
      </c>
      <c r="H129" s="69">
        <f t="shared" si="44"/>
        <v>0</v>
      </c>
      <c r="I129" s="69">
        <f t="shared" si="44"/>
        <v>0</v>
      </c>
      <c r="J129" s="69">
        <f t="shared" si="44"/>
        <v>0</v>
      </c>
      <c r="K129" s="69">
        <f t="shared" si="44"/>
        <v>0</v>
      </c>
      <c r="L129" s="69">
        <f t="shared" si="44"/>
        <v>0</v>
      </c>
      <c r="M129" s="69">
        <f t="shared" si="44"/>
        <v>0</v>
      </c>
      <c r="N129" s="69">
        <f t="shared" si="44"/>
        <v>0</v>
      </c>
      <c r="O129" s="69">
        <f t="shared" si="44"/>
        <v>0</v>
      </c>
      <c r="P129" s="69">
        <f t="shared" si="44"/>
        <v>0</v>
      </c>
      <c r="Q129" s="69">
        <f t="shared" si="44"/>
        <v>0</v>
      </c>
      <c r="R129" s="69">
        <f t="shared" si="44"/>
        <v>0</v>
      </c>
      <c r="S129" s="69">
        <f t="shared" si="44"/>
        <v>0</v>
      </c>
      <c r="T129" s="69">
        <f t="shared" si="44"/>
        <v>0</v>
      </c>
      <c r="U129" s="69">
        <f t="shared" si="44"/>
        <v>0</v>
      </c>
      <c r="V129" s="69">
        <f t="shared" ca="1" si="45"/>
        <v>8.6413210984938359E-7</v>
      </c>
      <c r="W129" s="69">
        <f t="shared" ca="1" si="45"/>
        <v>5.2661660527145993E-7</v>
      </c>
      <c r="X129" s="69">
        <f t="shared" ca="1" si="45"/>
        <v>5.1129196128649877E-7</v>
      </c>
      <c r="Y129" s="181">
        <v>0</v>
      </c>
      <c r="Z129" s="181">
        <v>0</v>
      </c>
      <c r="AA129" s="181">
        <v>0</v>
      </c>
      <c r="AB129" s="251">
        <f t="shared" ca="1" si="46"/>
        <v>6.0755362499606204E-2</v>
      </c>
      <c r="AC129" s="251">
        <f t="shared" ca="1" si="46"/>
        <v>0.12151072512560977</v>
      </c>
      <c r="AD129" s="251">
        <f t="shared" ca="1" si="46"/>
        <v>0.18226608789361951</v>
      </c>
      <c r="AE129" s="251">
        <f t="shared" ca="1" si="46"/>
        <v>0.24302145078957238</v>
      </c>
      <c r="AF129" s="251">
        <f t="shared" ca="1" si="46"/>
        <v>0.30377681377796678</v>
      </c>
      <c r="AG129" s="251">
        <f t="shared" ca="1" si="46"/>
        <v>0.36453217681258199</v>
      </c>
      <c r="AH129" s="263">
        <f t="shared" ref="AH129:AH177" ca="1" si="47">+AK129</f>
        <v>0.42528753984719719</v>
      </c>
      <c r="AI129" s="251">
        <f t="shared" ref="AI129:AI180" ca="1" si="48">+AH129*1.035</f>
        <v>0.44017260374184908</v>
      </c>
      <c r="AK129" s="250">
        <f t="shared" ref="AK129:AK177" ca="1" si="49">MIN(1.95,IF(X129&lt;0.1,$X$178*RAND()*1.3,MAX($X129*1.4,(($X$178*1.2)-X129)*0.6+X129)))</f>
        <v>0.42528753984719719</v>
      </c>
    </row>
    <row r="130" spans="2:37" hidden="1" outlineLevel="1">
      <c r="B130" s="71" t="s">
        <v>303</v>
      </c>
      <c r="H130" s="69">
        <f t="shared" si="44"/>
        <v>0</v>
      </c>
      <c r="I130" s="69">
        <f t="shared" si="44"/>
        <v>0</v>
      </c>
      <c r="J130" s="69">
        <f t="shared" si="44"/>
        <v>0</v>
      </c>
      <c r="K130" s="69">
        <f t="shared" si="44"/>
        <v>0.2245222279250868</v>
      </c>
      <c r="L130" s="69">
        <f t="shared" si="44"/>
        <v>0.67200040857624843</v>
      </c>
      <c r="M130" s="69">
        <f t="shared" si="44"/>
        <v>0.67381328005117391</v>
      </c>
      <c r="N130" s="69">
        <f t="shared" si="44"/>
        <v>0.6798894590391531</v>
      </c>
      <c r="O130" s="69">
        <f t="shared" si="44"/>
        <v>0.59671733857702003</v>
      </c>
      <c r="P130" s="69">
        <f t="shared" si="44"/>
        <v>0.58968673285441597</v>
      </c>
      <c r="Q130" s="69">
        <f t="shared" si="44"/>
        <v>0.56632111011019093</v>
      </c>
      <c r="R130" s="69">
        <f t="shared" si="44"/>
        <v>0.54503397741815229</v>
      </c>
      <c r="S130" s="69">
        <f t="shared" si="44"/>
        <v>0.54085803882711692</v>
      </c>
      <c r="T130" s="69">
        <f t="shared" si="44"/>
        <v>0.52500861014120637</v>
      </c>
      <c r="U130" s="69">
        <f t="shared" si="44"/>
        <v>0.50919824190820351</v>
      </c>
      <c r="V130" s="69">
        <f t="shared" ca="1" si="45"/>
        <v>0.5227267106351855</v>
      </c>
      <c r="W130" s="69">
        <f t="shared" ca="1" si="45"/>
        <v>0.67577702172423326</v>
      </c>
      <c r="X130" s="69">
        <f t="shared" ca="1" si="45"/>
        <v>0.67074579938290779</v>
      </c>
      <c r="Y130" s="251">
        <f ca="1">IF(ISBLANK(Y$181),AVERAGE(Z130,X130),X130*(1+Y$181))</f>
        <v>0.69589876685976693</v>
      </c>
      <c r="Z130" s="251">
        <f ca="1">IF(ISBLANK(Z$181),AVERAGE(AA130,Y130),Y130*(1+Z$181))</f>
        <v>0.72303881876729781</v>
      </c>
      <c r="AA130" s="251">
        <f ca="1">IF(ISBLANK(AA$181),AVERAGE(AB130,Z130),Z130*(1+AA$181))</f>
        <v>0.75485252679305892</v>
      </c>
      <c r="AB130" s="251">
        <f t="shared" ca="1" si="46"/>
        <v>0.78116561141348761</v>
      </c>
      <c r="AC130" s="251">
        <f t="shared" ca="1" si="46"/>
        <v>0.80747869603391687</v>
      </c>
      <c r="AD130" s="251">
        <f t="shared" ca="1" si="46"/>
        <v>0.83379178065434689</v>
      </c>
      <c r="AE130" s="251">
        <f t="shared" ca="1" si="46"/>
        <v>0.86010486527477747</v>
      </c>
      <c r="AF130" s="251">
        <f t="shared" ca="1" si="46"/>
        <v>0.8864179498952085</v>
      </c>
      <c r="AG130" s="251">
        <f t="shared" ca="1" si="46"/>
        <v>0.91273103451563964</v>
      </c>
      <c r="AH130" s="263">
        <f t="shared" ca="1" si="47"/>
        <v>0.93904411913607089</v>
      </c>
      <c r="AI130" s="251">
        <f t="shared" ca="1" si="48"/>
        <v>0.97191066330583331</v>
      </c>
      <c r="AK130" s="250">
        <f t="shared" ca="1" si="49"/>
        <v>0.93904411913607089</v>
      </c>
    </row>
    <row r="131" spans="2:37" hidden="1" outlineLevel="1">
      <c r="B131" s="71" t="s">
        <v>304</v>
      </c>
      <c r="H131" s="69">
        <f t="shared" si="44"/>
        <v>0</v>
      </c>
      <c r="I131" s="69">
        <f t="shared" si="44"/>
        <v>0</v>
      </c>
      <c r="J131" s="69">
        <f t="shared" si="44"/>
        <v>0</v>
      </c>
      <c r="K131" s="69">
        <f t="shared" si="44"/>
        <v>0</v>
      </c>
      <c r="L131" s="69">
        <f t="shared" si="44"/>
        <v>0</v>
      </c>
      <c r="M131" s="69">
        <f t="shared" si="44"/>
        <v>0</v>
      </c>
      <c r="N131" s="69">
        <f t="shared" si="44"/>
        <v>0</v>
      </c>
      <c r="O131" s="69">
        <f t="shared" si="44"/>
        <v>0</v>
      </c>
      <c r="P131" s="69">
        <f t="shared" si="44"/>
        <v>0</v>
      </c>
      <c r="Q131" s="69">
        <f t="shared" si="44"/>
        <v>0</v>
      </c>
      <c r="R131" s="69">
        <f t="shared" si="44"/>
        <v>0</v>
      </c>
      <c r="S131" s="69">
        <f t="shared" si="44"/>
        <v>0</v>
      </c>
      <c r="T131" s="69">
        <f t="shared" si="44"/>
        <v>0</v>
      </c>
      <c r="U131" s="69">
        <f t="shared" si="44"/>
        <v>0</v>
      </c>
      <c r="V131" s="69">
        <f t="shared" ca="1" si="45"/>
        <v>2.6570750878215465E-7</v>
      </c>
      <c r="W131" s="69">
        <f t="shared" ca="1" si="45"/>
        <v>2.0506268065225697E-7</v>
      </c>
      <c r="X131" s="69">
        <f t="shared" ca="1" si="45"/>
        <v>7.9554971606907752E-7</v>
      </c>
      <c r="Y131" s="181">
        <v>0</v>
      </c>
      <c r="Z131" s="181">
        <v>0</v>
      </c>
      <c r="AA131" s="181">
        <v>0</v>
      </c>
      <c r="AB131" s="181">
        <v>0</v>
      </c>
      <c r="AC131" s="181">
        <v>0</v>
      </c>
      <c r="AD131" s="251">
        <f t="shared" ca="1" si="46"/>
        <v>1.5938208229027192E-2</v>
      </c>
      <c r="AE131" s="251">
        <f t="shared" ca="1" si="46"/>
        <v>3.1876416458054384E-2</v>
      </c>
      <c r="AF131" s="251">
        <f t="shared" ca="1" si="46"/>
        <v>4.7814624687081572E-2</v>
      </c>
      <c r="AG131" s="251">
        <f t="shared" ca="1" si="46"/>
        <v>6.3752832916108754E-2</v>
      </c>
      <c r="AH131" s="263">
        <f t="shared" ca="1" si="47"/>
        <v>7.9691041145135921E-2</v>
      </c>
      <c r="AI131" s="251">
        <f t="shared" ca="1" si="48"/>
        <v>8.2480227585215671E-2</v>
      </c>
      <c r="AK131" s="250">
        <f t="shared" ca="1" si="49"/>
        <v>7.9691041145135921E-2</v>
      </c>
    </row>
    <row r="132" spans="2:37" hidden="1" outlineLevel="1">
      <c r="B132" s="71" t="s">
        <v>305</v>
      </c>
      <c r="H132" s="69">
        <f t="shared" si="44"/>
        <v>0.19069036299531467</v>
      </c>
      <c r="I132" s="69">
        <f t="shared" si="44"/>
        <v>0.18409425625920472</v>
      </c>
      <c r="J132" s="69">
        <f t="shared" si="44"/>
        <v>0.24003051988060281</v>
      </c>
      <c r="K132" s="69">
        <f t="shared" si="44"/>
        <v>0.3224941108177718</v>
      </c>
      <c r="L132" s="69">
        <f t="shared" si="44"/>
        <v>0.38651073951307918</v>
      </c>
      <c r="M132" s="69">
        <f t="shared" si="44"/>
        <v>0.3757584250241699</v>
      </c>
      <c r="N132" s="69">
        <f t="shared" si="44"/>
        <v>0.41710540272777952</v>
      </c>
      <c r="O132" s="69">
        <f t="shared" si="44"/>
        <v>0.48628603900569789</v>
      </c>
      <c r="P132" s="69">
        <f t="shared" si="44"/>
        <v>0.5915329598837874</v>
      </c>
      <c r="Q132" s="69">
        <f t="shared" si="44"/>
        <v>0.65643326112324341</v>
      </c>
      <c r="R132" s="69">
        <f t="shared" si="44"/>
        <v>0.64494330410904133</v>
      </c>
      <c r="S132" s="69">
        <f t="shared" si="44"/>
        <v>0.62474511267104571</v>
      </c>
      <c r="T132" s="69">
        <f t="shared" si="44"/>
        <v>0.77762924307902359</v>
      </c>
      <c r="U132" s="69">
        <f t="shared" si="44"/>
        <v>0.82953214055459867</v>
      </c>
      <c r="V132" s="69">
        <f t="shared" ca="1" si="45"/>
        <v>0.82320206154710962</v>
      </c>
      <c r="W132" s="69">
        <f t="shared" ca="1" si="45"/>
        <v>0.88234071898647704</v>
      </c>
      <c r="X132" s="69">
        <f t="shared" ca="1" si="45"/>
        <v>0.90820841887567738</v>
      </c>
      <c r="Y132" s="251">
        <f t="shared" ref="Y132:AC137" ca="1" si="50">IF(ISBLANK(Y$181),AVERAGE(Z132,X132),X132*(1+Y$181))</f>
        <v>0.94226623458351533</v>
      </c>
      <c r="Z132" s="251">
        <f t="shared" ca="1" si="50"/>
        <v>0.97901461773227239</v>
      </c>
      <c r="AA132" s="251">
        <f t="shared" ca="1" si="50"/>
        <v>1.0220912609124924</v>
      </c>
      <c r="AB132" s="251">
        <f t="shared" ca="1" si="50"/>
        <v>1.0577199074144166</v>
      </c>
      <c r="AC132" s="251">
        <f t="shared" ca="1" si="50"/>
        <v>1.0933485539163399</v>
      </c>
      <c r="AD132" s="251">
        <f t="shared" ca="1" si="46"/>
        <v>1.1289772004182625</v>
      </c>
      <c r="AE132" s="251">
        <f t="shared" ca="1" si="46"/>
        <v>1.1646058469201845</v>
      </c>
      <c r="AF132" s="251">
        <f t="shared" ca="1" si="46"/>
        <v>1.2002344934221059</v>
      </c>
      <c r="AG132" s="251">
        <f t="shared" ca="1" si="46"/>
        <v>1.2358631399240272</v>
      </c>
      <c r="AH132" s="263">
        <f t="shared" ca="1" si="47"/>
        <v>1.2714917864259483</v>
      </c>
      <c r="AI132" s="251">
        <f t="shared" ca="1" si="48"/>
        <v>1.3159939989508564</v>
      </c>
      <c r="AK132" s="250">
        <f t="shared" ca="1" si="49"/>
        <v>1.2714917864259483</v>
      </c>
    </row>
    <row r="133" spans="2:37" hidden="1" outlineLevel="1">
      <c r="B133" s="71" t="s">
        <v>306</v>
      </c>
      <c r="H133" s="69">
        <f t="shared" si="44"/>
        <v>0</v>
      </c>
      <c r="I133" s="69">
        <f t="shared" si="44"/>
        <v>0</v>
      </c>
      <c r="J133" s="69">
        <f t="shared" si="44"/>
        <v>0</v>
      </c>
      <c r="K133" s="69">
        <f t="shared" si="44"/>
        <v>0</v>
      </c>
      <c r="L133" s="69">
        <f t="shared" si="44"/>
        <v>0.59080390095999724</v>
      </c>
      <c r="M133" s="69">
        <f t="shared" si="44"/>
        <v>0.67575968904242145</v>
      </c>
      <c r="N133" s="69">
        <f t="shared" si="44"/>
        <v>0.23570596529371088</v>
      </c>
      <c r="O133" s="69">
        <f t="shared" si="44"/>
        <v>0.23474773538859672</v>
      </c>
      <c r="P133" s="69">
        <f t="shared" si="44"/>
        <v>0.66603541310291481</v>
      </c>
      <c r="Q133" s="69">
        <f t="shared" si="44"/>
        <v>0.64914396303687727</v>
      </c>
      <c r="R133" s="69">
        <f t="shared" si="44"/>
        <v>0.63062689989491649</v>
      </c>
      <c r="S133" s="69">
        <f t="shared" si="44"/>
        <v>1.0110777725066924</v>
      </c>
      <c r="T133" s="69">
        <f t="shared" si="44"/>
        <v>0.99067517088651347</v>
      </c>
      <c r="U133" s="69">
        <f t="shared" si="44"/>
        <v>1.156231325659683</v>
      </c>
      <c r="V133" s="69">
        <f t="shared" ca="1" si="45"/>
        <v>1.134625653521129</v>
      </c>
      <c r="W133" s="69">
        <f t="shared" ca="1" si="45"/>
        <v>1.1228591096866853</v>
      </c>
      <c r="X133" s="69">
        <f t="shared" ca="1" si="45"/>
        <v>1.114500167765919</v>
      </c>
      <c r="Y133" s="251">
        <f t="shared" ca="1" si="50"/>
        <v>1.156293924057141</v>
      </c>
      <c r="Z133" s="251">
        <f t="shared" ca="1" si="50"/>
        <v>1.2013893870953694</v>
      </c>
      <c r="AA133" s="251">
        <f t="shared" ca="1" si="50"/>
        <v>1.2542505201275655</v>
      </c>
      <c r="AB133" s="251">
        <f t="shared" ca="1" si="50"/>
        <v>1.2979719079482461</v>
      </c>
      <c r="AC133" s="251">
        <f t="shared" ca="1" si="50"/>
        <v>1.3416932957689243</v>
      </c>
      <c r="AD133" s="251">
        <f t="shared" ca="1" si="46"/>
        <v>1.3854146835896</v>
      </c>
      <c r="AE133" s="251">
        <f t="shared" ca="1" si="46"/>
        <v>1.4291360714102734</v>
      </c>
      <c r="AF133" s="251">
        <f t="shared" ca="1" si="46"/>
        <v>1.4728574592309451</v>
      </c>
      <c r="AG133" s="251">
        <f t="shared" ca="1" si="46"/>
        <v>1.5165788470516159</v>
      </c>
      <c r="AH133" s="263">
        <f t="shared" ca="1" si="47"/>
        <v>1.5603002348722865</v>
      </c>
      <c r="AI133" s="251">
        <f t="shared" ca="1" si="48"/>
        <v>1.6149107430928165</v>
      </c>
      <c r="AK133" s="250">
        <f t="shared" ca="1" si="49"/>
        <v>1.5603002348722865</v>
      </c>
    </row>
    <row r="134" spans="2:37" hidden="1" outlineLevel="1">
      <c r="B134" s="71" t="s">
        <v>307</v>
      </c>
      <c r="H134" s="69">
        <f t="shared" si="44"/>
        <v>0</v>
      </c>
      <c r="I134" s="69">
        <f t="shared" si="44"/>
        <v>0</v>
      </c>
      <c r="J134" s="69">
        <f t="shared" si="44"/>
        <v>0.65245829975891667</v>
      </c>
      <c r="K134" s="69">
        <f t="shared" si="44"/>
        <v>0.65359776155838623</v>
      </c>
      <c r="L134" s="69">
        <f t="shared" si="44"/>
        <v>0.64373344800371812</v>
      </c>
      <c r="M134" s="69">
        <f t="shared" si="44"/>
        <v>0.64858561313878793</v>
      </c>
      <c r="N134" s="69">
        <f t="shared" si="44"/>
        <v>0.64647822903753938</v>
      </c>
      <c r="O134" s="69">
        <f t="shared" si="44"/>
        <v>0.71793358611774893</v>
      </c>
      <c r="P134" s="69">
        <f t="shared" si="44"/>
        <v>0.75138875426507035</v>
      </c>
      <c r="Q134" s="69">
        <f t="shared" si="44"/>
        <v>0.71374326940096955</v>
      </c>
      <c r="R134" s="69">
        <f t="shared" si="44"/>
        <v>0.71104866523722188</v>
      </c>
      <c r="S134" s="69">
        <f t="shared" si="44"/>
        <v>0.70849202078573892</v>
      </c>
      <c r="T134" s="69">
        <f t="shared" si="44"/>
        <v>0.70849202078573892</v>
      </c>
      <c r="U134" s="69">
        <f t="shared" si="44"/>
        <v>1.0681345208615571</v>
      </c>
      <c r="V134" s="69">
        <f t="shared" ca="1" si="45"/>
        <v>1.0482975664820042</v>
      </c>
      <c r="W134" s="69">
        <f t="shared" ca="1" si="45"/>
        <v>1.0485041816395839</v>
      </c>
      <c r="X134" s="69">
        <f t="shared" ca="1" si="45"/>
        <v>1.0406992397898505</v>
      </c>
      <c r="Y134" s="251">
        <f t="shared" ca="1" si="50"/>
        <v>1.07972546128197</v>
      </c>
      <c r="Z134" s="251">
        <f t="shared" ca="1" si="50"/>
        <v>1.1218347542719667</v>
      </c>
      <c r="AA134" s="251">
        <f t="shared" ca="1" si="50"/>
        <v>1.1711954834599332</v>
      </c>
      <c r="AB134" s="251">
        <f t="shared" ca="1" si="50"/>
        <v>1.2120216909236283</v>
      </c>
      <c r="AC134" s="251">
        <f t="shared" ca="1" si="50"/>
        <v>1.252847898387323</v>
      </c>
      <c r="AD134" s="251">
        <f t="shared" ca="1" si="46"/>
        <v>1.2936741058510171</v>
      </c>
      <c r="AE134" s="251">
        <f t="shared" ca="1" si="46"/>
        <v>1.3345003133147109</v>
      </c>
      <c r="AF134" s="251">
        <f t="shared" ca="1" si="46"/>
        <v>1.3753265207784042</v>
      </c>
      <c r="AG134" s="251">
        <f t="shared" ca="1" si="46"/>
        <v>1.4161527282420974</v>
      </c>
      <c r="AH134" s="263">
        <f t="shared" ca="1" si="47"/>
        <v>1.4569789357057905</v>
      </c>
      <c r="AI134" s="251">
        <f t="shared" ca="1" si="48"/>
        <v>1.5079731984554932</v>
      </c>
      <c r="AK134" s="250">
        <f t="shared" ca="1" si="49"/>
        <v>1.4569789357057905</v>
      </c>
    </row>
    <row r="135" spans="2:37" hidden="1" outlineLevel="1">
      <c r="B135" s="71" t="s">
        <v>308</v>
      </c>
      <c r="H135" s="69">
        <f t="shared" si="44"/>
        <v>0</v>
      </c>
      <c r="I135" s="69">
        <f t="shared" si="44"/>
        <v>0</v>
      </c>
      <c r="J135" s="69">
        <f t="shared" si="44"/>
        <v>0</v>
      </c>
      <c r="K135" s="69">
        <f t="shared" si="44"/>
        <v>0</v>
      </c>
      <c r="L135" s="69">
        <f t="shared" si="44"/>
        <v>0</v>
      </c>
      <c r="M135" s="69">
        <f t="shared" si="44"/>
        <v>0</v>
      </c>
      <c r="N135" s="69">
        <f t="shared" si="44"/>
        <v>0</v>
      </c>
      <c r="O135" s="69">
        <f t="shared" si="44"/>
        <v>0</v>
      </c>
      <c r="P135" s="69">
        <f t="shared" si="44"/>
        <v>0</v>
      </c>
      <c r="Q135" s="69">
        <f t="shared" si="44"/>
        <v>1.06509203460271</v>
      </c>
      <c r="R135" s="69">
        <f t="shared" si="44"/>
        <v>1.0532823943376344</v>
      </c>
      <c r="S135" s="69">
        <f t="shared" si="44"/>
        <v>1.0492232600206068</v>
      </c>
      <c r="T135" s="69">
        <f t="shared" si="44"/>
        <v>1.0050503781502047</v>
      </c>
      <c r="U135" s="69">
        <f t="shared" si="44"/>
        <v>1.0390247298275945</v>
      </c>
      <c r="V135" s="69">
        <f t="shared" ca="1" si="45"/>
        <v>0.99985485183509304</v>
      </c>
      <c r="W135" s="69">
        <f t="shared" ca="1" si="45"/>
        <v>0.99134693627813808</v>
      </c>
      <c r="X135" s="69">
        <f t="shared" ca="1" si="45"/>
        <v>0.98396696985981202</v>
      </c>
      <c r="Y135" s="251">
        <f t="shared" ca="1" si="50"/>
        <v>1.020865731229555</v>
      </c>
      <c r="Z135" s="251">
        <f t="shared" ca="1" si="50"/>
        <v>1.0606794947475076</v>
      </c>
      <c r="AA135" s="251">
        <f t="shared" ca="1" si="50"/>
        <v>1.107349392516398</v>
      </c>
      <c r="AB135" s="251">
        <f t="shared" ca="1" si="50"/>
        <v>1.1459500161288798</v>
      </c>
      <c r="AC135" s="251">
        <f t="shared" ca="1" si="50"/>
        <v>1.1845506397413597</v>
      </c>
      <c r="AD135" s="251">
        <f t="shared" ca="1" si="46"/>
        <v>1.2231512633538377</v>
      </c>
      <c r="AE135" s="251">
        <f t="shared" ca="1" si="46"/>
        <v>1.261751886966314</v>
      </c>
      <c r="AF135" s="251">
        <f t="shared" ca="1" si="46"/>
        <v>1.3003525105787888</v>
      </c>
      <c r="AG135" s="251">
        <f t="shared" ca="1" si="46"/>
        <v>1.3389531341912626</v>
      </c>
      <c r="AH135" s="263">
        <f t="shared" ca="1" si="47"/>
        <v>1.3775537578037367</v>
      </c>
      <c r="AI135" s="251">
        <f t="shared" ca="1" si="48"/>
        <v>1.4257681393268673</v>
      </c>
      <c r="AK135" s="250">
        <f t="shared" ca="1" si="49"/>
        <v>1.3775537578037367</v>
      </c>
    </row>
    <row r="136" spans="2:37" hidden="1" outlineLevel="1">
      <c r="B136" s="71" t="s">
        <v>309</v>
      </c>
      <c r="H136" s="69">
        <f t="shared" si="44"/>
        <v>0.59212337745858679</v>
      </c>
      <c r="I136" s="69">
        <f t="shared" si="44"/>
        <v>0.62967744080449606</v>
      </c>
      <c r="J136" s="69">
        <f t="shared" si="44"/>
        <v>0.60130768788114275</v>
      </c>
      <c r="K136" s="69">
        <f t="shared" si="44"/>
        <v>0.59660396319239917</v>
      </c>
      <c r="L136" s="69">
        <f t="shared" si="44"/>
        <v>0.59555444808897295</v>
      </c>
      <c r="M136" s="69">
        <f t="shared" si="44"/>
        <v>0.63964020494328022</v>
      </c>
      <c r="N136" s="69">
        <f t="shared" si="44"/>
        <v>0.68415653556266198</v>
      </c>
      <c r="O136" s="69">
        <f t="shared" si="44"/>
        <v>0.65519121100301914</v>
      </c>
      <c r="P136" s="69">
        <f t="shared" si="44"/>
        <v>0.83859211221549401</v>
      </c>
      <c r="Q136" s="69">
        <f t="shared" si="44"/>
        <v>0.8761106724567248</v>
      </c>
      <c r="R136" s="69">
        <f t="shared" si="44"/>
        <v>0.85483394127369727</v>
      </c>
      <c r="S136" s="69">
        <f t="shared" si="44"/>
        <v>0.94913316933155845</v>
      </c>
      <c r="T136" s="69">
        <f t="shared" si="44"/>
        <v>0.98195763319242657</v>
      </c>
      <c r="U136" s="69">
        <f t="shared" si="44"/>
        <v>1.020949585209203</v>
      </c>
      <c r="V136" s="69">
        <f t="shared" ca="1" si="45"/>
        <v>1.1066351482320147</v>
      </c>
      <c r="W136" s="69">
        <f t="shared" ca="1" si="45"/>
        <v>1.0848062334028681</v>
      </c>
      <c r="X136" s="69">
        <f t="shared" ca="1" si="45"/>
        <v>1.1334010967615524</v>
      </c>
      <c r="Y136" s="251">
        <f t="shared" ca="1" si="50"/>
        <v>1.1759036378901107</v>
      </c>
      <c r="Z136" s="251">
        <f t="shared" ca="1" si="50"/>
        <v>1.221763879767825</v>
      </c>
      <c r="AA136" s="251">
        <f t="shared" ca="1" si="50"/>
        <v>1.2755214904776093</v>
      </c>
      <c r="AB136" s="251">
        <f t="shared" ca="1" si="50"/>
        <v>1.3199843540474028</v>
      </c>
      <c r="AC136" s="251">
        <f t="shared" ca="1" si="50"/>
        <v>1.3644472176171965</v>
      </c>
      <c r="AD136" s="251">
        <f t="shared" ca="1" si="46"/>
        <v>1.408910081186991</v>
      </c>
      <c r="AE136" s="251">
        <f t="shared" ca="1" si="46"/>
        <v>1.453372944756786</v>
      </c>
      <c r="AF136" s="251">
        <f t="shared" ca="1" si="46"/>
        <v>1.4978358083265817</v>
      </c>
      <c r="AG136" s="251">
        <f t="shared" ca="1" si="46"/>
        <v>1.5422986718963774</v>
      </c>
      <c r="AH136" s="263">
        <f t="shared" ca="1" si="47"/>
        <v>1.5867615354661733</v>
      </c>
      <c r="AI136" s="251">
        <f t="shared" ca="1" si="48"/>
        <v>1.6422981892074893</v>
      </c>
      <c r="AK136" s="250">
        <f t="shared" ca="1" si="49"/>
        <v>1.5867615354661733</v>
      </c>
    </row>
    <row r="137" spans="2:37" hidden="1" outlineLevel="1">
      <c r="B137" s="71" t="s">
        <v>310</v>
      </c>
      <c r="H137" s="69">
        <f t="shared" si="44"/>
        <v>0.50685926304944018</v>
      </c>
      <c r="I137" s="69">
        <f t="shared" si="44"/>
        <v>0.4949793624542066</v>
      </c>
      <c r="J137" s="69">
        <f t="shared" si="44"/>
        <v>0.48182629511595576</v>
      </c>
      <c r="K137" s="69">
        <f t="shared" si="44"/>
        <v>0.58450826313486504</v>
      </c>
      <c r="L137" s="69">
        <f t="shared" si="44"/>
        <v>0.57981434344722815</v>
      </c>
      <c r="M137" s="69">
        <f t="shared" si="44"/>
        <v>0.58367636966372427</v>
      </c>
      <c r="N137" s="69">
        <f t="shared" si="44"/>
        <v>0.77342601039407222</v>
      </c>
      <c r="O137" s="69">
        <f t="shared" si="44"/>
        <v>0.8112307871818506</v>
      </c>
      <c r="P137" s="69">
        <f t="shared" si="44"/>
        <v>0.79615784837810699</v>
      </c>
      <c r="Q137" s="69">
        <f t="shared" si="44"/>
        <v>1.0429513437124374</v>
      </c>
      <c r="R137" s="69">
        <f t="shared" si="44"/>
        <v>1.0018870542667113</v>
      </c>
      <c r="S137" s="69">
        <f t="shared" si="44"/>
        <v>1.1301803227820117</v>
      </c>
      <c r="T137" s="69">
        <f t="shared" si="44"/>
        <v>1.1148858945256006</v>
      </c>
      <c r="U137" s="69">
        <f t="shared" si="44"/>
        <v>1.0884345843558572</v>
      </c>
      <c r="V137" s="69">
        <f t="shared" ca="1" si="45"/>
        <v>1.1996062914211223</v>
      </c>
      <c r="W137" s="69">
        <f t="shared" ca="1" si="45"/>
        <v>1.3066756891797293</v>
      </c>
      <c r="X137" s="69">
        <f t="shared" ca="1" si="45"/>
        <v>1.296948013204134</v>
      </c>
      <c r="Y137" s="251">
        <f t="shared" ca="1" si="50"/>
        <v>1.3455835636992892</v>
      </c>
      <c r="Z137" s="251">
        <f t="shared" ca="1" si="50"/>
        <v>1.3980613226835614</v>
      </c>
      <c r="AA137" s="251">
        <f t="shared" ca="1" si="50"/>
        <v>1.4595760208816382</v>
      </c>
      <c r="AB137" s="251">
        <f t="shared" ca="1" si="50"/>
        <v>1.5104547633965151</v>
      </c>
      <c r="AC137" s="251">
        <f t="shared" ca="1" si="50"/>
        <v>1.5613335059113926</v>
      </c>
      <c r="AD137" s="251">
        <f t="shared" ca="1" si="46"/>
        <v>1.6122122484262709</v>
      </c>
      <c r="AE137" s="251">
        <f t="shared" ca="1" si="46"/>
        <v>1.6630909909411495</v>
      </c>
      <c r="AF137" s="251">
        <f t="shared" ca="1" si="46"/>
        <v>1.7139697334560289</v>
      </c>
      <c r="AG137" s="251">
        <f t="shared" ca="1" si="46"/>
        <v>1.7648484759709082</v>
      </c>
      <c r="AH137" s="263">
        <f t="shared" ca="1" si="47"/>
        <v>1.8157272184857876</v>
      </c>
      <c r="AI137" s="251">
        <f t="shared" ca="1" si="48"/>
        <v>1.8792776711327899</v>
      </c>
      <c r="AK137" s="250">
        <f t="shared" ca="1" si="49"/>
        <v>1.8157272184857876</v>
      </c>
    </row>
    <row r="138" spans="2:37" hidden="1" outlineLevel="1">
      <c r="B138" s="71" t="s">
        <v>311</v>
      </c>
      <c r="H138" s="69">
        <f t="shared" si="44"/>
        <v>0</v>
      </c>
      <c r="I138" s="69">
        <f t="shared" si="44"/>
        <v>0</v>
      </c>
      <c r="J138" s="69">
        <f t="shared" si="44"/>
        <v>0</v>
      </c>
      <c r="K138" s="69">
        <f t="shared" si="44"/>
        <v>0</v>
      </c>
      <c r="L138" s="69">
        <f t="shared" si="44"/>
        <v>0</v>
      </c>
      <c r="M138" s="69">
        <f t="shared" si="44"/>
        <v>0</v>
      </c>
      <c r="N138" s="69">
        <f t="shared" si="44"/>
        <v>0</v>
      </c>
      <c r="O138" s="69">
        <f t="shared" si="44"/>
        <v>0</v>
      </c>
      <c r="P138" s="69">
        <f t="shared" si="44"/>
        <v>0</v>
      </c>
      <c r="Q138" s="69">
        <f t="shared" si="44"/>
        <v>0</v>
      </c>
      <c r="R138" s="69">
        <f t="shared" si="44"/>
        <v>0</v>
      </c>
      <c r="S138" s="69">
        <f t="shared" si="44"/>
        <v>0</v>
      </c>
      <c r="T138" s="69">
        <f t="shared" si="44"/>
        <v>0</v>
      </c>
      <c r="U138" s="69">
        <f t="shared" si="44"/>
        <v>0</v>
      </c>
      <c r="V138" s="69">
        <f t="shared" ca="1" si="45"/>
        <v>9.461574766751553E-7</v>
      </c>
      <c r="W138" s="69">
        <f t="shared" ca="1" si="45"/>
        <v>7.6191965042659256E-7</v>
      </c>
      <c r="X138" s="69">
        <f t="shared" ca="1" si="45"/>
        <v>4.2141525599146156E-7</v>
      </c>
      <c r="Y138" s="181">
        <v>0</v>
      </c>
      <c r="Z138" s="181">
        <v>0</v>
      </c>
      <c r="AA138" s="181">
        <v>0</v>
      </c>
      <c r="AB138" s="181">
        <v>0</v>
      </c>
      <c r="AC138" s="181">
        <v>0</v>
      </c>
      <c r="AD138" s="181">
        <v>0</v>
      </c>
      <c r="AE138" s="181">
        <v>0</v>
      </c>
      <c r="AF138" s="251">
        <f t="shared" ca="1" si="46"/>
        <v>5.7260028472915642E-2</v>
      </c>
      <c r="AG138" s="251">
        <f t="shared" ca="1" si="46"/>
        <v>0.11452005694583128</v>
      </c>
      <c r="AH138" s="263">
        <f t="shared" ca="1" si="47"/>
        <v>0.17178008541874693</v>
      </c>
      <c r="AI138" s="251">
        <f t="shared" ca="1" si="48"/>
        <v>0.17779238840840306</v>
      </c>
      <c r="AK138" s="250">
        <f t="shared" ca="1" si="49"/>
        <v>0.17178008541874693</v>
      </c>
    </row>
    <row r="139" spans="2:37" hidden="1" outlineLevel="1">
      <c r="B139" s="71" t="s">
        <v>312</v>
      </c>
      <c r="H139" s="69">
        <f t="shared" si="44"/>
        <v>0</v>
      </c>
      <c r="I139" s="69">
        <f t="shared" si="44"/>
        <v>0</v>
      </c>
      <c r="J139" s="69">
        <f t="shared" si="44"/>
        <v>0</v>
      </c>
      <c r="K139" s="69">
        <f t="shared" si="44"/>
        <v>0</v>
      </c>
      <c r="L139" s="69">
        <f t="shared" si="44"/>
        <v>0</v>
      </c>
      <c r="M139" s="69">
        <f t="shared" si="44"/>
        <v>0</v>
      </c>
      <c r="N139" s="69">
        <f t="shared" si="44"/>
        <v>0</v>
      </c>
      <c r="O139" s="69">
        <f t="shared" si="44"/>
        <v>0</v>
      </c>
      <c r="P139" s="69">
        <f t="shared" si="44"/>
        <v>0</v>
      </c>
      <c r="Q139" s="69">
        <f t="shared" si="44"/>
        <v>0</v>
      </c>
      <c r="R139" s="69">
        <f t="shared" si="44"/>
        <v>0</v>
      </c>
      <c r="S139" s="69">
        <f t="shared" si="44"/>
        <v>0</v>
      </c>
      <c r="T139" s="69">
        <f t="shared" si="44"/>
        <v>0.54750090474524504</v>
      </c>
      <c r="U139" s="69">
        <f t="shared" si="44"/>
        <v>0.54971604417738018</v>
      </c>
      <c r="V139" s="69">
        <f t="shared" ca="1" si="45"/>
        <v>0.5367664076129568</v>
      </c>
      <c r="W139" s="69">
        <f t="shared" ca="1" si="45"/>
        <v>0.51546997268055961</v>
      </c>
      <c r="X139" s="69">
        <f t="shared" ca="1" si="45"/>
        <v>0.51163248169055631</v>
      </c>
      <c r="Y139" s="251">
        <f t="shared" ref="Y139:AG154" ca="1" si="51">IF(ISBLANK(Y$181),AVERAGE(Z139,X139),X139*(1+Y$181))</f>
        <v>0.53081869975395224</v>
      </c>
      <c r="Z139" s="251">
        <f t="shared" ca="1" si="51"/>
        <v>0.55152062904435628</v>
      </c>
      <c r="AA139" s="251">
        <f t="shared" ca="1" si="51"/>
        <v>0.57578753672230798</v>
      </c>
      <c r="AB139" s="251">
        <f t="shared" ca="1" si="51"/>
        <v>0.60548851546898974</v>
      </c>
      <c r="AC139" s="251">
        <f t="shared" ca="1" si="51"/>
        <v>0.63518949421567084</v>
      </c>
      <c r="AD139" s="251">
        <f t="shared" ca="1" si="51"/>
        <v>0.66489047296235138</v>
      </c>
      <c r="AE139" s="251">
        <f t="shared" ca="1" si="51"/>
        <v>0.69459145170903125</v>
      </c>
      <c r="AF139" s="251">
        <f t="shared" ca="1" si="46"/>
        <v>0.72429243045571079</v>
      </c>
      <c r="AG139" s="251">
        <f t="shared" ca="1" si="46"/>
        <v>0.75399340920239011</v>
      </c>
      <c r="AH139" s="263">
        <f t="shared" ca="1" si="47"/>
        <v>0.78369438794906954</v>
      </c>
      <c r="AI139" s="251">
        <f t="shared" ca="1" si="48"/>
        <v>0.81112369152728692</v>
      </c>
      <c r="AK139" s="250">
        <f t="shared" ca="1" si="49"/>
        <v>0.78369438794906954</v>
      </c>
    </row>
    <row r="140" spans="2:37" hidden="1" outlineLevel="1">
      <c r="B140" s="71" t="s">
        <v>313</v>
      </c>
      <c r="H140" s="69">
        <f t="shared" si="44"/>
        <v>0.85075719517263337</v>
      </c>
      <c r="I140" s="69">
        <f t="shared" si="44"/>
        <v>0.82939457306395981</v>
      </c>
      <c r="J140" s="69">
        <f t="shared" si="44"/>
        <v>0.5962027252227835</v>
      </c>
      <c r="K140" s="69">
        <f t="shared" si="44"/>
        <v>0.60258333501554517</v>
      </c>
      <c r="L140" s="69">
        <f t="shared" si="44"/>
        <v>0.59898860773583806</v>
      </c>
      <c r="M140" s="69">
        <f t="shared" si="44"/>
        <v>0.59225128037323682</v>
      </c>
      <c r="N140" s="69">
        <f t="shared" si="44"/>
        <v>0.58105741215235085</v>
      </c>
      <c r="O140" s="69">
        <f t="shared" si="44"/>
        <v>0.58333828360682338</v>
      </c>
      <c r="P140" s="69">
        <f t="shared" si="44"/>
        <v>0.59984985758064746</v>
      </c>
      <c r="Q140" s="69">
        <f t="shared" si="44"/>
        <v>0.59634494221467216</v>
      </c>
      <c r="R140" s="69">
        <f t="shared" si="44"/>
        <v>0.58455762432663827</v>
      </c>
      <c r="S140" s="69">
        <f t="shared" si="44"/>
        <v>0.76472609136450254</v>
      </c>
      <c r="T140" s="69">
        <f t="shared" si="44"/>
        <v>0.8873768863167667</v>
      </c>
      <c r="U140" s="69">
        <f t="shared" si="44"/>
        <v>0.83665391977939108</v>
      </c>
      <c r="V140" s="69">
        <f t="shared" ca="1" si="45"/>
        <v>0.86096110458143971</v>
      </c>
      <c r="W140" s="69">
        <f t="shared" ca="1" si="45"/>
        <v>0.8523142788559912</v>
      </c>
      <c r="X140" s="69">
        <f t="shared" ca="1" si="45"/>
        <v>0.84596987968809456</v>
      </c>
      <c r="Y140" s="251">
        <f t="shared" ca="1" si="51"/>
        <v>0.87769375017639817</v>
      </c>
      <c r="Z140" s="251">
        <f t="shared" ca="1" si="51"/>
        <v>0.91192380643327764</v>
      </c>
      <c r="AA140" s="251">
        <f t="shared" ca="1" si="51"/>
        <v>0.95204845391634185</v>
      </c>
      <c r="AB140" s="251">
        <f t="shared" ca="1" si="51"/>
        <v>0.98523550786590663</v>
      </c>
      <c r="AC140" s="251">
        <f t="shared" ca="1" si="51"/>
        <v>1.0184225618154734</v>
      </c>
      <c r="AD140" s="251">
        <f t="shared" ca="1" si="51"/>
        <v>1.0516096157650425</v>
      </c>
      <c r="AE140" s="251">
        <f t="shared" ca="1" si="51"/>
        <v>1.0847966697146134</v>
      </c>
      <c r="AF140" s="251">
        <f t="shared" ca="1" si="46"/>
        <v>1.1179837236641859</v>
      </c>
      <c r="AG140" s="251">
        <f t="shared" ca="1" si="46"/>
        <v>1.1511707776137592</v>
      </c>
      <c r="AH140" s="263">
        <f t="shared" ca="1" si="47"/>
        <v>1.1843578315633323</v>
      </c>
      <c r="AI140" s="251">
        <f t="shared" ca="1" si="48"/>
        <v>1.2258103556680489</v>
      </c>
      <c r="AK140" s="250">
        <f t="shared" ca="1" si="49"/>
        <v>1.1843578315633323</v>
      </c>
    </row>
    <row r="141" spans="2:37" hidden="1" outlineLevel="1">
      <c r="B141" s="71" t="s">
        <v>314</v>
      </c>
      <c r="H141" s="69">
        <f t="shared" si="44"/>
        <v>0.17930401354103911</v>
      </c>
      <c r="I141" s="69">
        <f t="shared" si="44"/>
        <v>0.20001616130583352</v>
      </c>
      <c r="J141" s="69">
        <f t="shared" si="44"/>
        <v>0.40003232261166705</v>
      </c>
      <c r="K141" s="69">
        <f t="shared" si="44"/>
        <v>0.40003232261166705</v>
      </c>
      <c r="L141" s="69">
        <f t="shared" si="44"/>
        <v>0.33634230767484374</v>
      </c>
      <c r="M141" s="69">
        <f t="shared" si="44"/>
        <v>0.33634230767484374</v>
      </c>
      <c r="N141" s="69">
        <f t="shared" si="44"/>
        <v>0.34502103593256078</v>
      </c>
      <c r="O141" s="69">
        <f t="shared" si="44"/>
        <v>0.33105725949807419</v>
      </c>
      <c r="P141" s="69">
        <f t="shared" si="44"/>
        <v>0.3363014740934363</v>
      </c>
      <c r="Q141" s="69">
        <f t="shared" si="44"/>
        <v>0.36042426260800114</v>
      </c>
      <c r="R141" s="69">
        <f t="shared" si="44"/>
        <v>0.33378633702373073</v>
      </c>
      <c r="S141" s="69">
        <f t="shared" si="44"/>
        <v>0.3326870886636043</v>
      </c>
      <c r="T141" s="69">
        <f t="shared" si="44"/>
        <v>0.32750151387574794</v>
      </c>
      <c r="U141" s="69">
        <f t="shared" si="44"/>
        <v>0.32592484433829438</v>
      </c>
      <c r="V141" s="69">
        <f t="shared" ca="1" si="45"/>
        <v>0.32487269703638355</v>
      </c>
      <c r="W141" s="69">
        <f t="shared" ca="1" si="45"/>
        <v>0.48465007714795794</v>
      </c>
      <c r="X141" s="69">
        <f t="shared" ca="1" si="45"/>
        <v>0.48104198365365186</v>
      </c>
      <c r="Y141" s="251">
        <f t="shared" ca="1" si="51"/>
        <v>0.49908105804066383</v>
      </c>
      <c r="Z141" s="251">
        <f t="shared" ca="1" si="51"/>
        <v>0.51854521930424968</v>
      </c>
      <c r="AA141" s="251">
        <f t="shared" ca="1" si="51"/>
        <v>0.54136120895363671</v>
      </c>
      <c r="AB141" s="251">
        <f t="shared" ca="1" si="51"/>
        <v>0.57423220606516157</v>
      </c>
      <c r="AC141" s="251">
        <f t="shared" ca="1" si="51"/>
        <v>0.60710320317668631</v>
      </c>
      <c r="AD141" s="251">
        <f t="shared" ca="1" si="51"/>
        <v>0.63997420028821073</v>
      </c>
      <c r="AE141" s="251">
        <f t="shared" ca="1" si="51"/>
        <v>0.67284519739973514</v>
      </c>
      <c r="AF141" s="251">
        <f t="shared" ca="1" si="46"/>
        <v>0.70571619451125933</v>
      </c>
      <c r="AG141" s="251">
        <f t="shared" ca="1" si="46"/>
        <v>0.73858719162278352</v>
      </c>
      <c r="AH141" s="263">
        <f t="shared" ca="1" si="47"/>
        <v>0.77145818873430771</v>
      </c>
      <c r="AI141" s="251">
        <f t="shared" ca="1" si="48"/>
        <v>0.79845922534000846</v>
      </c>
      <c r="AK141" s="250">
        <f t="shared" ca="1" si="49"/>
        <v>0.77145818873430771</v>
      </c>
    </row>
    <row r="142" spans="2:37" hidden="1" outlineLevel="1">
      <c r="B142" s="71" t="s">
        <v>315</v>
      </c>
      <c r="H142" s="69">
        <f t="shared" si="44"/>
        <v>0</v>
      </c>
      <c r="I142" s="69">
        <f t="shared" si="44"/>
        <v>0</v>
      </c>
      <c r="J142" s="69">
        <f t="shared" si="44"/>
        <v>0</v>
      </c>
      <c r="K142" s="69">
        <f t="shared" si="44"/>
        <v>0</v>
      </c>
      <c r="L142" s="69">
        <f t="shared" si="44"/>
        <v>0</v>
      </c>
      <c r="M142" s="69">
        <f t="shared" si="44"/>
        <v>0</v>
      </c>
      <c r="N142" s="69">
        <f t="shared" si="44"/>
        <v>0</v>
      </c>
      <c r="O142" s="69">
        <f t="shared" si="44"/>
        <v>0</v>
      </c>
      <c r="P142" s="69">
        <f t="shared" si="44"/>
        <v>0.28846766839949195</v>
      </c>
      <c r="Q142" s="69">
        <f t="shared" si="44"/>
        <v>0.28600609364583124</v>
      </c>
      <c r="R142" s="69">
        <f t="shared" si="44"/>
        <v>0.28148826222095363</v>
      </c>
      <c r="S142" s="69">
        <f t="shared" si="44"/>
        <v>0.27836590307187914</v>
      </c>
      <c r="T142" s="69">
        <f t="shared" si="44"/>
        <v>0.27534889458432782</v>
      </c>
      <c r="U142" s="69">
        <f t="shared" si="44"/>
        <v>0.26989766560111067</v>
      </c>
      <c r="V142" s="69">
        <f t="shared" ca="1" si="45"/>
        <v>0.27423103847749086</v>
      </c>
      <c r="W142" s="69">
        <f t="shared" ca="1" si="45"/>
        <v>0.26729932021263608</v>
      </c>
      <c r="X142" s="69">
        <f t="shared" ca="1" si="45"/>
        <v>0.2653088320728092</v>
      </c>
      <c r="Y142" s="251">
        <f t="shared" ca="1" si="51"/>
        <v>0.27525791327553956</v>
      </c>
      <c r="Z142" s="251">
        <f t="shared" ca="1" si="51"/>
        <v>0.2859929718932856</v>
      </c>
      <c r="AA142" s="251">
        <f t="shared" ca="1" si="51"/>
        <v>0.29857666265659016</v>
      </c>
      <c r="AB142" s="251">
        <f t="shared" ca="1" si="51"/>
        <v>0.35380355772021949</v>
      </c>
      <c r="AC142" s="251">
        <f t="shared" ca="1" si="51"/>
        <v>0.40903045278384753</v>
      </c>
      <c r="AD142" s="251">
        <f t="shared" ca="1" si="51"/>
        <v>0.46425734784747402</v>
      </c>
      <c r="AE142" s="251">
        <f t="shared" ca="1" si="51"/>
        <v>0.51948424291109918</v>
      </c>
      <c r="AF142" s="251">
        <f t="shared" ca="1" si="46"/>
        <v>0.5747111379747234</v>
      </c>
      <c r="AG142" s="251">
        <f t="shared" ca="1" si="46"/>
        <v>0.62993803303834706</v>
      </c>
      <c r="AH142" s="263">
        <f t="shared" ca="1" si="47"/>
        <v>0.68516492810197072</v>
      </c>
      <c r="AI142" s="251">
        <f t="shared" ca="1" si="48"/>
        <v>0.70914570058553961</v>
      </c>
      <c r="AK142" s="250">
        <f t="shared" ca="1" si="49"/>
        <v>0.68516492810197072</v>
      </c>
    </row>
    <row r="143" spans="2:37" hidden="1" outlineLevel="1">
      <c r="B143" s="71" t="s">
        <v>316</v>
      </c>
      <c r="H143" s="69">
        <f t="shared" si="44"/>
        <v>0.42072951131425801</v>
      </c>
      <c r="I143" s="69">
        <f t="shared" si="44"/>
        <v>0.83223201296950378</v>
      </c>
      <c r="J143" s="69">
        <f t="shared" si="44"/>
        <v>0.82335021201267955</v>
      </c>
      <c r="K143" s="69">
        <f t="shared" si="44"/>
        <v>0.80842802383407508</v>
      </c>
      <c r="L143" s="69">
        <f t="shared" si="44"/>
        <v>0.79981284379455209</v>
      </c>
      <c r="M143" s="69">
        <f t="shared" si="44"/>
        <v>0.80687945422673713</v>
      </c>
      <c r="N143" s="69">
        <f t="shared" si="44"/>
        <v>0.80275473314225099</v>
      </c>
      <c r="O143" s="69">
        <f t="shared" si="44"/>
        <v>0.83252266438888456</v>
      </c>
      <c r="P143" s="69">
        <f t="shared" si="44"/>
        <v>0.8298479718515569</v>
      </c>
      <c r="Q143" s="69">
        <f t="shared" si="44"/>
        <v>0.77260019755387044</v>
      </c>
      <c r="R143" s="69">
        <f t="shared" si="44"/>
        <v>0.7984462236487796</v>
      </c>
      <c r="S143" s="69">
        <f t="shared" si="44"/>
        <v>0.77026826132737247</v>
      </c>
      <c r="T143" s="69">
        <f t="shared" si="44"/>
        <v>0.76037156316805765</v>
      </c>
      <c r="U143" s="69">
        <f t="shared" si="44"/>
        <v>0.74132556424142004</v>
      </c>
      <c r="V143" s="69">
        <f t="shared" ca="1" si="45"/>
        <v>0.75109164729597433</v>
      </c>
      <c r="W143" s="69">
        <f t="shared" ca="1" si="45"/>
        <v>0.7513169846938389</v>
      </c>
      <c r="X143" s="69">
        <f t="shared" ca="1" si="45"/>
        <v>0.74572475291872342</v>
      </c>
      <c r="Y143" s="251">
        <f t="shared" ca="1" si="51"/>
        <v>0.77368943115317557</v>
      </c>
      <c r="Z143" s="251">
        <f t="shared" ca="1" si="51"/>
        <v>0.80386331896814933</v>
      </c>
      <c r="AA143" s="251">
        <f t="shared" ca="1" si="51"/>
        <v>0.83923330500274795</v>
      </c>
      <c r="AB143" s="251">
        <f t="shared" ca="1" si="51"/>
        <v>0.86848778344323585</v>
      </c>
      <c r="AC143" s="251">
        <f t="shared" ca="1" si="51"/>
        <v>0.8977422618837263</v>
      </c>
      <c r="AD143" s="251">
        <f t="shared" ca="1" si="51"/>
        <v>0.92699674032421986</v>
      </c>
      <c r="AE143" s="251">
        <f t="shared" ca="1" si="51"/>
        <v>0.95625121876471608</v>
      </c>
      <c r="AF143" s="251">
        <f t="shared" ca="1" si="46"/>
        <v>0.9855056972052143</v>
      </c>
      <c r="AG143" s="251">
        <f t="shared" ca="1" si="46"/>
        <v>1.0147601756457134</v>
      </c>
      <c r="AH143" s="263">
        <f t="shared" ca="1" si="47"/>
        <v>1.0440146540862127</v>
      </c>
      <c r="AI143" s="251">
        <f t="shared" ca="1" si="48"/>
        <v>1.0805551669792302</v>
      </c>
      <c r="AK143" s="250">
        <f t="shared" ca="1" si="49"/>
        <v>1.0440146540862127</v>
      </c>
    </row>
    <row r="144" spans="2:37" hidden="1" outlineLevel="1">
      <c r="B144" s="71" t="s">
        <v>317</v>
      </c>
      <c r="H144" s="69">
        <f t="shared" ref="H144:U159" si="52">+H21/(H91/1000)</f>
        <v>0.30086625411885903</v>
      </c>
      <c r="I144" s="69">
        <f t="shared" si="52"/>
        <v>0.29114734472165876</v>
      </c>
      <c r="J144" s="69">
        <f t="shared" si="52"/>
        <v>0.28028398373231755</v>
      </c>
      <c r="K144" s="69">
        <f t="shared" si="52"/>
        <v>0.28098114580699707</v>
      </c>
      <c r="L144" s="69">
        <f t="shared" si="52"/>
        <v>0.27630639720127481</v>
      </c>
      <c r="M144" s="69">
        <f t="shared" si="52"/>
        <v>0.27761036330590638</v>
      </c>
      <c r="N144" s="69">
        <f t="shared" si="52"/>
        <v>0.27702718800228493</v>
      </c>
      <c r="O144" s="69">
        <f t="shared" si="52"/>
        <v>0.54062587175921817</v>
      </c>
      <c r="P144" s="69">
        <f t="shared" si="52"/>
        <v>0.55178487232111895</v>
      </c>
      <c r="Q144" s="69">
        <f t="shared" si="52"/>
        <v>0.50174834209804064</v>
      </c>
      <c r="R144" s="69">
        <f t="shared" si="52"/>
        <v>0.48744274375671148</v>
      </c>
      <c r="S144" s="69">
        <f t="shared" si="52"/>
        <v>0.49268643932307843</v>
      </c>
      <c r="T144" s="69">
        <f t="shared" si="52"/>
        <v>0.48406494505741859</v>
      </c>
      <c r="U144" s="69">
        <f t="shared" si="52"/>
        <v>0.4761232521217838</v>
      </c>
      <c r="V144" s="69">
        <f t="shared" ref="V144:X159" ca="1" si="53">+V21/(V91/1000)+0.000001*RAND()</f>
        <v>0.46799633149139452</v>
      </c>
      <c r="W144" s="69">
        <f t="shared" ca="1" si="53"/>
        <v>0.46612927170982194</v>
      </c>
      <c r="X144" s="69">
        <f t="shared" ca="1" si="53"/>
        <v>0.46265953015193312</v>
      </c>
      <c r="Y144" s="251">
        <f t="shared" ca="1" si="51"/>
        <v>0.48000926253263065</v>
      </c>
      <c r="Z144" s="251">
        <f t="shared" ca="1" si="51"/>
        <v>0.49872962377140323</v>
      </c>
      <c r="AA144" s="251">
        <f t="shared" ca="1" si="51"/>
        <v>0.52067372721734495</v>
      </c>
      <c r="AB144" s="251">
        <f t="shared" ca="1" si="51"/>
        <v>0.55544965294824278</v>
      </c>
      <c r="AC144" s="251">
        <f t="shared" ca="1" si="51"/>
        <v>0.59022557867914016</v>
      </c>
      <c r="AD144" s="251">
        <f t="shared" ca="1" si="51"/>
        <v>0.62500150441003688</v>
      </c>
      <c r="AE144" s="251">
        <f t="shared" ca="1" si="51"/>
        <v>0.65977743014093315</v>
      </c>
      <c r="AF144" s="251">
        <f t="shared" ca="1" si="51"/>
        <v>0.69455335587182898</v>
      </c>
      <c r="AG144" s="251">
        <f t="shared" ca="1" si="51"/>
        <v>0.72932928160272459</v>
      </c>
      <c r="AH144" s="263">
        <f t="shared" ca="1" si="47"/>
        <v>0.76410520733362031</v>
      </c>
      <c r="AI144" s="251">
        <f t="shared" ca="1" si="48"/>
        <v>0.79084888959029698</v>
      </c>
      <c r="AK144" s="250">
        <f t="shared" ca="1" si="49"/>
        <v>0.76410520733362031</v>
      </c>
    </row>
    <row r="145" spans="2:37" hidden="1" outlineLevel="1">
      <c r="B145" s="71" t="s">
        <v>318</v>
      </c>
      <c r="H145" s="69">
        <f t="shared" si="52"/>
        <v>0</v>
      </c>
      <c r="I145" s="69">
        <f t="shared" si="52"/>
        <v>0</v>
      </c>
      <c r="J145" s="69">
        <f t="shared" si="52"/>
        <v>0</v>
      </c>
      <c r="K145" s="69">
        <f t="shared" si="52"/>
        <v>0</v>
      </c>
      <c r="L145" s="69">
        <f t="shared" si="52"/>
        <v>0</v>
      </c>
      <c r="M145" s="69">
        <f t="shared" si="52"/>
        <v>0</v>
      </c>
      <c r="N145" s="69">
        <f t="shared" si="52"/>
        <v>0</v>
      </c>
      <c r="O145" s="69">
        <f t="shared" si="52"/>
        <v>0.25111539179148984</v>
      </c>
      <c r="P145" s="69">
        <f t="shared" si="52"/>
        <v>0.26091913985396353</v>
      </c>
      <c r="Q145" s="69">
        <f t="shared" si="52"/>
        <v>0.25983751320948956</v>
      </c>
      <c r="R145" s="69">
        <f t="shared" si="52"/>
        <v>0.26493771844114883</v>
      </c>
      <c r="S145" s="69">
        <f t="shared" si="52"/>
        <v>0.26366725824810511</v>
      </c>
      <c r="T145" s="69">
        <f t="shared" si="52"/>
        <v>0.26366725824810511</v>
      </c>
      <c r="U145" s="69">
        <f t="shared" si="52"/>
        <v>0.26351711016596308</v>
      </c>
      <c r="V145" s="69">
        <f t="shared" ca="1" si="53"/>
        <v>1.0599976386459484</v>
      </c>
      <c r="W145" s="69">
        <f t="shared" ca="1" si="53"/>
        <v>1.0832555257359116</v>
      </c>
      <c r="X145" s="69">
        <f t="shared" ca="1" si="53"/>
        <v>1.3439891222751339</v>
      </c>
      <c r="Y145" s="251">
        <f t="shared" ca="1" si="51"/>
        <v>1.3943887143604516</v>
      </c>
      <c r="Z145" s="251">
        <f t="shared" ca="1" si="51"/>
        <v>1.4487698742205091</v>
      </c>
      <c r="AA145" s="251">
        <f t="shared" ca="1" si="51"/>
        <v>1.5125157486862115</v>
      </c>
      <c r="AB145" s="251">
        <f t="shared" ca="1" si="51"/>
        <v>1.5652398947575006</v>
      </c>
      <c r="AC145" s="251">
        <f t="shared" ca="1" si="51"/>
        <v>1.617964040828787</v>
      </c>
      <c r="AD145" s="251">
        <f t="shared" ca="1" si="51"/>
        <v>1.6706881869000707</v>
      </c>
      <c r="AE145" s="251">
        <f t="shared" ca="1" si="51"/>
        <v>1.7234123329713518</v>
      </c>
      <c r="AF145" s="251">
        <f t="shared" ca="1" si="51"/>
        <v>1.7761364790426311</v>
      </c>
      <c r="AG145" s="251">
        <f t="shared" ca="1" si="51"/>
        <v>1.8288606251139092</v>
      </c>
      <c r="AH145" s="263">
        <f t="shared" ca="1" si="47"/>
        <v>1.8815847711851874</v>
      </c>
      <c r="AI145" s="251">
        <f t="shared" ca="1" si="48"/>
        <v>1.9474402381766689</v>
      </c>
      <c r="AK145" s="250">
        <f t="shared" ca="1" si="49"/>
        <v>1.8815847711851874</v>
      </c>
    </row>
    <row r="146" spans="2:37" hidden="1" outlineLevel="1">
      <c r="B146" s="71" t="s">
        <v>319</v>
      </c>
      <c r="H146" s="69">
        <f t="shared" si="52"/>
        <v>0</v>
      </c>
      <c r="I146" s="69">
        <f t="shared" si="52"/>
        <v>0</v>
      </c>
      <c r="J146" s="69">
        <f t="shared" si="52"/>
        <v>0</v>
      </c>
      <c r="K146" s="69">
        <f t="shared" si="52"/>
        <v>0</v>
      </c>
      <c r="L146" s="69">
        <f t="shared" si="52"/>
        <v>0</v>
      </c>
      <c r="M146" s="69">
        <f t="shared" si="52"/>
        <v>0</v>
      </c>
      <c r="N146" s="69">
        <f t="shared" si="52"/>
        <v>0</v>
      </c>
      <c r="O146" s="69">
        <f t="shared" si="52"/>
        <v>0</v>
      </c>
      <c r="P146" s="69">
        <f t="shared" si="52"/>
        <v>0</v>
      </c>
      <c r="Q146" s="69">
        <f t="shared" si="52"/>
        <v>0</v>
      </c>
      <c r="R146" s="69">
        <f t="shared" si="52"/>
        <v>0</v>
      </c>
      <c r="S146" s="69">
        <f t="shared" si="52"/>
        <v>0</v>
      </c>
      <c r="T146" s="69">
        <f t="shared" si="52"/>
        <v>0</v>
      </c>
      <c r="U146" s="69">
        <f t="shared" si="52"/>
        <v>0.92789856955156513</v>
      </c>
      <c r="V146" s="69">
        <f t="shared" ca="1" si="53"/>
        <v>0.90233830016715888</v>
      </c>
      <c r="W146" s="69">
        <f t="shared" ca="1" si="53"/>
        <v>0.89840067423160375</v>
      </c>
      <c r="X146" s="69">
        <f t="shared" ca="1" si="53"/>
        <v>0.89171303685353687</v>
      </c>
      <c r="Y146" s="251">
        <f t="shared" ca="1" si="51"/>
        <v>0.92515227573554459</v>
      </c>
      <c r="Z146" s="251">
        <f t="shared" ca="1" si="51"/>
        <v>0.96123321448923071</v>
      </c>
      <c r="AA146" s="251">
        <f t="shared" ca="1" si="51"/>
        <v>1.003527475926757</v>
      </c>
      <c r="AB146" s="251">
        <f t="shared" ca="1" si="51"/>
        <v>1.0385090153079255</v>
      </c>
      <c r="AC146" s="251">
        <f t="shared" ca="1" si="51"/>
        <v>1.0734905546890947</v>
      </c>
      <c r="AD146" s="251">
        <f t="shared" ca="1" si="51"/>
        <v>1.108472094070265</v>
      </c>
      <c r="AE146" s="251">
        <f t="shared" ca="1" si="51"/>
        <v>1.1434536334514362</v>
      </c>
      <c r="AF146" s="251">
        <f t="shared" ca="1" si="51"/>
        <v>1.1784351728326077</v>
      </c>
      <c r="AG146" s="251">
        <f t="shared" ca="1" si="51"/>
        <v>1.2134167122137796</v>
      </c>
      <c r="AH146" s="263">
        <f t="shared" ca="1" si="47"/>
        <v>1.2483982515949514</v>
      </c>
      <c r="AI146" s="251">
        <f t="shared" ca="1" si="48"/>
        <v>1.2920921904007747</v>
      </c>
      <c r="AK146" s="250">
        <f t="shared" ca="1" si="49"/>
        <v>1.2483982515949514</v>
      </c>
    </row>
    <row r="147" spans="2:37" hidden="1" outlineLevel="1">
      <c r="B147" s="71" t="s">
        <v>320</v>
      </c>
      <c r="H147" s="69">
        <f t="shared" si="52"/>
        <v>0</v>
      </c>
      <c r="I147" s="69">
        <f t="shared" si="52"/>
        <v>0.68998906367334079</v>
      </c>
      <c r="J147" s="69">
        <f t="shared" si="52"/>
        <v>0.66510175613467704</v>
      </c>
      <c r="K147" s="69">
        <f t="shared" si="52"/>
        <v>0.88143632517208514</v>
      </c>
      <c r="L147" s="69">
        <f t="shared" si="52"/>
        <v>0.87837690353607756</v>
      </c>
      <c r="M147" s="69">
        <f t="shared" si="52"/>
        <v>0.88588043891832224</v>
      </c>
      <c r="N147" s="69">
        <f t="shared" si="52"/>
        <v>0.87226088276290392</v>
      </c>
      <c r="O147" s="69">
        <f t="shared" si="52"/>
        <v>1.0463545530548846</v>
      </c>
      <c r="P147" s="69">
        <f t="shared" si="52"/>
        <v>1.0220502225258847</v>
      </c>
      <c r="Q147" s="69">
        <f t="shared" si="52"/>
        <v>1.5937232802331298</v>
      </c>
      <c r="R147" s="69">
        <f t="shared" si="52"/>
        <v>1.5187001344302737</v>
      </c>
      <c r="S147" s="69">
        <f t="shared" si="52"/>
        <v>1.4810101180142909</v>
      </c>
      <c r="T147" s="69">
        <f t="shared" si="52"/>
        <v>1.468790766593725</v>
      </c>
      <c r="U147" s="69">
        <f t="shared" si="52"/>
        <v>1.6417827133414544</v>
      </c>
      <c r="V147" s="69">
        <f t="shared" ca="1" si="53"/>
        <v>1.7026494198805429</v>
      </c>
      <c r="W147" s="69">
        <f t="shared" ca="1" si="53"/>
        <v>1.7020483324267548</v>
      </c>
      <c r="X147" s="69">
        <f t="shared" ca="1" si="53"/>
        <v>1.689377767962839</v>
      </c>
      <c r="Y147" s="251">
        <f t="shared" ca="1" si="51"/>
        <v>1.7527294342614457</v>
      </c>
      <c r="Z147" s="251">
        <f t="shared" ca="1" si="51"/>
        <v>1.8210858821976419</v>
      </c>
      <c r="AA147" s="251">
        <f t="shared" ca="1" si="51"/>
        <v>1.9012136610143382</v>
      </c>
      <c r="AB147" s="251">
        <f t="shared" ca="1" si="51"/>
        <v>1.9081831380122893</v>
      </c>
      <c r="AC147" s="251">
        <f t="shared" ca="1" si="51"/>
        <v>1.9151526150102407</v>
      </c>
      <c r="AD147" s="251">
        <f t="shared" ca="1" si="51"/>
        <v>1.9221220920081923</v>
      </c>
      <c r="AE147" s="251">
        <f t="shared" ca="1" si="51"/>
        <v>1.9290915690061441</v>
      </c>
      <c r="AF147" s="251">
        <f t="shared" ca="1" si="51"/>
        <v>1.9360610460040959</v>
      </c>
      <c r="AG147" s="251">
        <f t="shared" ca="1" si="51"/>
        <v>1.9430305230020479</v>
      </c>
      <c r="AH147" s="263">
        <f t="shared" ca="1" si="47"/>
        <v>1.95</v>
      </c>
      <c r="AI147" s="251">
        <f t="shared" ca="1" si="48"/>
        <v>2.0182499999999997</v>
      </c>
      <c r="AK147" s="250">
        <f t="shared" ca="1" si="49"/>
        <v>1.95</v>
      </c>
    </row>
    <row r="148" spans="2:37" hidden="1" outlineLevel="1">
      <c r="B148" s="71" t="s">
        <v>351</v>
      </c>
      <c r="H148" s="69">
        <f t="shared" si="52"/>
        <v>0</v>
      </c>
      <c r="I148" s="69">
        <f t="shared" si="52"/>
        <v>0</v>
      </c>
      <c r="J148" s="69">
        <f t="shared" si="52"/>
        <v>0</v>
      </c>
      <c r="K148" s="69">
        <f t="shared" si="52"/>
        <v>0</v>
      </c>
      <c r="L148" s="69">
        <f t="shared" si="52"/>
        <v>0</v>
      </c>
      <c r="M148" s="69">
        <f t="shared" si="52"/>
        <v>0</v>
      </c>
      <c r="N148" s="69">
        <f t="shared" si="52"/>
        <v>0</v>
      </c>
      <c r="O148" s="69">
        <f t="shared" si="52"/>
        <v>0.17785125801308843</v>
      </c>
      <c r="P148" s="69">
        <f t="shared" si="52"/>
        <v>0.20476643010001</v>
      </c>
      <c r="Q148" s="69">
        <f t="shared" si="52"/>
        <v>0.20331253039522326</v>
      </c>
      <c r="R148" s="69">
        <f t="shared" si="52"/>
        <v>0.20307281968992005</v>
      </c>
      <c r="S148" s="69">
        <f t="shared" si="52"/>
        <v>0.59990893382384547</v>
      </c>
      <c r="T148" s="69">
        <f t="shared" si="52"/>
        <v>0.799878578431794</v>
      </c>
      <c r="U148" s="69">
        <f t="shared" si="52"/>
        <v>0.79427707482050336</v>
      </c>
      <c r="V148" s="69">
        <f t="shared" ca="1" si="53"/>
        <v>0.79495067989051948</v>
      </c>
      <c r="W148" s="69">
        <f t="shared" ca="1" si="53"/>
        <v>0.79478731025028615</v>
      </c>
      <c r="X148" s="69">
        <f t="shared" ca="1" si="53"/>
        <v>0.78887120859288706</v>
      </c>
      <c r="Y148" s="251">
        <f t="shared" ca="1" si="51"/>
        <v>0.81845387891512045</v>
      </c>
      <c r="Z148" s="251">
        <f t="shared" ca="1" si="51"/>
        <v>0.85037358019281006</v>
      </c>
      <c r="AA148" s="251">
        <f t="shared" ca="1" si="51"/>
        <v>0.88779001772129373</v>
      </c>
      <c r="AB148" s="251">
        <f t="shared" ca="1" si="51"/>
        <v>0.91873711405111136</v>
      </c>
      <c r="AC148" s="251">
        <f t="shared" ca="1" si="51"/>
        <v>0.94968421038093043</v>
      </c>
      <c r="AD148" s="251">
        <f t="shared" ca="1" si="51"/>
        <v>0.98063130671075083</v>
      </c>
      <c r="AE148" s="251">
        <f t="shared" ca="1" si="51"/>
        <v>1.0115784030405726</v>
      </c>
      <c r="AF148" s="251">
        <f t="shared" ca="1" si="51"/>
        <v>1.0425254993703952</v>
      </c>
      <c r="AG148" s="251">
        <f t="shared" ca="1" si="51"/>
        <v>1.0734725957002185</v>
      </c>
      <c r="AH148" s="263">
        <f t="shared" ca="1" si="47"/>
        <v>1.1044196920300418</v>
      </c>
      <c r="AI148" s="251">
        <f t="shared" ca="1" si="48"/>
        <v>1.1430743812510931</v>
      </c>
      <c r="AK148" s="250">
        <f t="shared" ca="1" si="49"/>
        <v>1.1044196920300418</v>
      </c>
    </row>
    <row r="149" spans="2:37" hidden="1" outlineLevel="1">
      <c r="B149" s="71" t="s">
        <v>321</v>
      </c>
      <c r="H149" s="69">
        <f t="shared" si="52"/>
        <v>0</v>
      </c>
      <c r="I149" s="69">
        <f t="shared" si="52"/>
        <v>0</v>
      </c>
      <c r="J149" s="69">
        <f t="shared" si="52"/>
        <v>0</v>
      </c>
      <c r="K149" s="69">
        <f t="shared" si="52"/>
        <v>0</v>
      </c>
      <c r="L149" s="69">
        <f t="shared" si="52"/>
        <v>0</v>
      </c>
      <c r="M149" s="69">
        <f t="shared" si="52"/>
        <v>0</v>
      </c>
      <c r="N149" s="69">
        <f t="shared" si="52"/>
        <v>0</v>
      </c>
      <c r="O149" s="69">
        <f t="shared" si="52"/>
        <v>0</v>
      </c>
      <c r="P149" s="69">
        <f t="shared" si="52"/>
        <v>0</v>
      </c>
      <c r="Q149" s="69">
        <f t="shared" si="52"/>
        <v>0</v>
      </c>
      <c r="R149" s="69">
        <f t="shared" si="52"/>
        <v>0</v>
      </c>
      <c r="S149" s="69">
        <f t="shared" si="52"/>
        <v>0</v>
      </c>
      <c r="T149" s="69">
        <f t="shared" si="52"/>
        <v>0.12117951290682993</v>
      </c>
      <c r="U149" s="69">
        <f t="shared" si="52"/>
        <v>0.11851548452211476</v>
      </c>
      <c r="V149" s="69">
        <f t="shared" ca="1" si="53"/>
        <v>0.12048632962551754</v>
      </c>
      <c r="W149" s="69">
        <f t="shared" ca="1" si="53"/>
        <v>0.11959027117657041</v>
      </c>
      <c r="X149" s="69">
        <f t="shared" ca="1" si="53"/>
        <v>0.11869988532272603</v>
      </c>
      <c r="Y149" s="251">
        <f t="shared" ca="1" si="51"/>
        <v>0.12315113102232826</v>
      </c>
      <c r="Z149" s="251">
        <f t="shared" ca="1" si="51"/>
        <v>0.12795402513219906</v>
      </c>
      <c r="AA149" s="251">
        <f t="shared" ca="1" si="51"/>
        <v>0.13358400223801581</v>
      </c>
      <c r="AB149" s="251">
        <f t="shared" ca="1" si="51"/>
        <v>0.20400362326143429</v>
      </c>
      <c r="AC149" s="251">
        <f t="shared" ca="1" si="51"/>
        <v>0.27442324428485237</v>
      </c>
      <c r="AD149" s="251">
        <f t="shared" ca="1" si="51"/>
        <v>0.34484286530826996</v>
      </c>
      <c r="AE149" s="251">
        <f t="shared" ca="1" si="51"/>
        <v>0.41526248633168716</v>
      </c>
      <c r="AF149" s="251">
        <f t="shared" ca="1" si="51"/>
        <v>0.48568210735510398</v>
      </c>
      <c r="AG149" s="251">
        <f t="shared" ca="1" si="51"/>
        <v>0.55610172837852068</v>
      </c>
      <c r="AH149" s="263">
        <f t="shared" ca="1" si="47"/>
        <v>0.62652134940193738</v>
      </c>
      <c r="AI149" s="251">
        <f t="shared" ca="1" si="48"/>
        <v>0.6484495966310051</v>
      </c>
      <c r="AK149" s="250">
        <f t="shared" ca="1" si="49"/>
        <v>0.62652134940193738</v>
      </c>
    </row>
    <row r="150" spans="2:37" hidden="1" outlineLevel="1">
      <c r="B150" s="71" t="s">
        <v>322</v>
      </c>
      <c r="H150" s="69">
        <f t="shared" si="52"/>
        <v>0</v>
      </c>
      <c r="I150" s="69">
        <f t="shared" si="52"/>
        <v>0</v>
      </c>
      <c r="J150" s="69">
        <f t="shared" si="52"/>
        <v>0</v>
      </c>
      <c r="K150" s="69">
        <f t="shared" si="52"/>
        <v>0</v>
      </c>
      <c r="L150" s="69">
        <f t="shared" si="52"/>
        <v>0</v>
      </c>
      <c r="M150" s="69">
        <f t="shared" si="52"/>
        <v>0</v>
      </c>
      <c r="N150" s="69">
        <f t="shared" si="52"/>
        <v>0</v>
      </c>
      <c r="O150" s="69">
        <f t="shared" si="52"/>
        <v>0</v>
      </c>
      <c r="P150" s="69">
        <f t="shared" si="52"/>
        <v>0</v>
      </c>
      <c r="Q150" s="69">
        <f t="shared" si="52"/>
        <v>0</v>
      </c>
      <c r="R150" s="69">
        <f t="shared" si="52"/>
        <v>0</v>
      </c>
      <c r="S150" s="69">
        <f t="shared" si="52"/>
        <v>0.38353793803867903</v>
      </c>
      <c r="T150" s="69">
        <f t="shared" si="52"/>
        <v>0.3779660174533368</v>
      </c>
      <c r="U150" s="69">
        <f t="shared" si="52"/>
        <v>0.35621130098162929</v>
      </c>
      <c r="V150" s="69">
        <f t="shared" ca="1" si="53"/>
        <v>0.37488065908393914</v>
      </c>
      <c r="W150" s="69">
        <f t="shared" ca="1" si="53"/>
        <v>0.37323201269887168</v>
      </c>
      <c r="X150" s="69">
        <f t="shared" ca="1" si="53"/>
        <v>0.37045412090663582</v>
      </c>
      <c r="Y150" s="251">
        <f t="shared" ca="1" si="51"/>
        <v>0.38434615044063469</v>
      </c>
      <c r="Z150" s="251">
        <f t="shared" ca="1" si="51"/>
        <v>0.39933565030781942</v>
      </c>
      <c r="AA150" s="251">
        <f t="shared" ca="1" si="51"/>
        <v>0.41690641892136349</v>
      </c>
      <c r="AB150" s="251">
        <f t="shared" ca="1" si="51"/>
        <v>0.46123736530909676</v>
      </c>
      <c r="AC150" s="251">
        <f t="shared" ca="1" si="51"/>
        <v>0.50556831169683036</v>
      </c>
      <c r="AD150" s="251">
        <f t="shared" ca="1" si="51"/>
        <v>0.54989925808456419</v>
      </c>
      <c r="AE150" s="251">
        <f t="shared" ca="1" si="51"/>
        <v>0.59423020447229824</v>
      </c>
      <c r="AF150" s="251">
        <f t="shared" ca="1" si="51"/>
        <v>0.63856115086003262</v>
      </c>
      <c r="AG150" s="251">
        <f t="shared" ca="1" si="51"/>
        <v>0.682892097247767</v>
      </c>
      <c r="AH150" s="263">
        <f t="shared" ca="1" si="47"/>
        <v>0.72722304363550139</v>
      </c>
      <c r="AI150" s="251">
        <f t="shared" ca="1" si="48"/>
        <v>0.75267585016274385</v>
      </c>
      <c r="AK150" s="250">
        <f t="shared" ca="1" si="49"/>
        <v>0.72722304363550139</v>
      </c>
    </row>
    <row r="151" spans="2:37" hidden="1" outlineLevel="1">
      <c r="B151" s="71" t="s">
        <v>323</v>
      </c>
      <c r="H151" s="69">
        <f t="shared" si="52"/>
        <v>0</v>
      </c>
      <c r="I151" s="69">
        <f t="shared" si="52"/>
        <v>0</v>
      </c>
      <c r="J151" s="69">
        <f t="shared" si="52"/>
        <v>0</v>
      </c>
      <c r="K151" s="69">
        <f t="shared" si="52"/>
        <v>0.49911432163625646</v>
      </c>
      <c r="L151" s="69">
        <f t="shared" si="52"/>
        <v>0.49276352130783374</v>
      </c>
      <c r="M151" s="69">
        <f t="shared" si="52"/>
        <v>0.49526183007170393</v>
      </c>
      <c r="N151" s="69">
        <f t="shared" si="52"/>
        <v>0.49784111201773512</v>
      </c>
      <c r="O151" s="69">
        <f t="shared" si="52"/>
        <v>0.50330723182029113</v>
      </c>
      <c r="P151" s="69">
        <f t="shared" si="52"/>
        <v>0.49606619507307054</v>
      </c>
      <c r="Q151" s="69">
        <f t="shared" si="52"/>
        <v>0.48650720906382394</v>
      </c>
      <c r="R151" s="69">
        <f t="shared" si="52"/>
        <v>0.97568923907459781</v>
      </c>
      <c r="S151" s="69">
        <f t="shared" si="52"/>
        <v>0.97545082898688706</v>
      </c>
      <c r="T151" s="69">
        <f t="shared" si="52"/>
        <v>0.97622025090812892</v>
      </c>
      <c r="U151" s="69">
        <f t="shared" si="52"/>
        <v>0.98084363341753888</v>
      </c>
      <c r="V151" s="69">
        <f t="shared" ca="1" si="53"/>
        <v>0.97542657517278497</v>
      </c>
      <c r="W151" s="69">
        <f t="shared" ca="1" si="53"/>
        <v>1.4631801527898838</v>
      </c>
      <c r="X151" s="69">
        <f t="shared" ca="1" si="53"/>
        <v>1.452288575076361</v>
      </c>
      <c r="Y151" s="251">
        <f t="shared" ca="1" si="51"/>
        <v>1.5067493966417247</v>
      </c>
      <c r="Z151" s="251">
        <f t="shared" ca="1" si="51"/>
        <v>1.5655126231107519</v>
      </c>
      <c r="AA151" s="251">
        <f t="shared" ca="1" si="51"/>
        <v>1.6343951785276249</v>
      </c>
      <c r="AB151" s="251">
        <f t="shared" ca="1" si="51"/>
        <v>1.6794815815951063</v>
      </c>
      <c r="AC151" s="251">
        <f t="shared" ca="1" si="51"/>
        <v>1.7245679846625879</v>
      </c>
      <c r="AD151" s="251">
        <f t="shared" ca="1" si="51"/>
        <v>1.7696543877300699</v>
      </c>
      <c r="AE151" s="251">
        <f t="shared" ca="1" si="51"/>
        <v>1.8147407907975521</v>
      </c>
      <c r="AF151" s="251">
        <f t="shared" ca="1" si="51"/>
        <v>1.8598271938650348</v>
      </c>
      <c r="AG151" s="251">
        <f t="shared" ca="1" si="51"/>
        <v>1.9049135969325173</v>
      </c>
      <c r="AH151" s="263">
        <f t="shared" ca="1" si="47"/>
        <v>1.95</v>
      </c>
      <c r="AI151" s="251">
        <f t="shared" ca="1" si="48"/>
        <v>2.0182499999999997</v>
      </c>
      <c r="AK151" s="250">
        <f t="shared" ca="1" si="49"/>
        <v>1.95</v>
      </c>
    </row>
    <row r="152" spans="2:37" hidden="1" outlineLevel="1">
      <c r="B152" s="71" t="s">
        <v>324</v>
      </c>
      <c r="H152" s="69">
        <f t="shared" si="52"/>
        <v>0</v>
      </c>
      <c r="I152" s="69">
        <f t="shared" si="52"/>
        <v>0.21580872268643875</v>
      </c>
      <c r="J152" s="69">
        <f t="shared" si="52"/>
        <v>0.19980103812623387</v>
      </c>
      <c r="K152" s="69">
        <f t="shared" si="52"/>
        <v>0.20115169762180121</v>
      </c>
      <c r="L152" s="69">
        <f t="shared" si="52"/>
        <v>0.202931327977076</v>
      </c>
      <c r="M152" s="69">
        <f t="shared" si="52"/>
        <v>0.20115790513352963</v>
      </c>
      <c r="N152" s="69">
        <f t="shared" si="52"/>
        <v>0.19143258768426105</v>
      </c>
      <c r="O152" s="69">
        <f t="shared" si="52"/>
        <v>0.19650515580402539</v>
      </c>
      <c r="P152" s="69">
        <f t="shared" si="52"/>
        <v>0.17773960720968723</v>
      </c>
      <c r="Q152" s="69">
        <f t="shared" si="52"/>
        <v>0.52053845191517367</v>
      </c>
      <c r="R152" s="69">
        <f t="shared" si="52"/>
        <v>0.56873590482849201</v>
      </c>
      <c r="S152" s="69">
        <f t="shared" si="52"/>
        <v>0.54009746598871233</v>
      </c>
      <c r="T152" s="69">
        <f t="shared" si="52"/>
        <v>0.53532053833974624</v>
      </c>
      <c r="U152" s="69">
        <f t="shared" si="52"/>
        <v>0.54657462592888073</v>
      </c>
      <c r="V152" s="69">
        <f t="shared" ca="1" si="53"/>
        <v>0.55362893524974532</v>
      </c>
      <c r="W152" s="69">
        <f t="shared" ca="1" si="53"/>
        <v>0.54977991490380118</v>
      </c>
      <c r="X152" s="69">
        <f t="shared" ca="1" si="53"/>
        <v>0.54568775042002549</v>
      </c>
      <c r="Y152" s="251">
        <f t="shared" ca="1" si="51"/>
        <v>0.56615104106077652</v>
      </c>
      <c r="Z152" s="251">
        <f t="shared" ca="1" si="51"/>
        <v>0.58823093166214679</v>
      </c>
      <c r="AA152" s="251">
        <f t="shared" ca="1" si="51"/>
        <v>0.61411309265528125</v>
      </c>
      <c r="AB152" s="251">
        <f t="shared" ca="1" si="51"/>
        <v>0.6402850073389359</v>
      </c>
      <c r="AC152" s="251">
        <f t="shared" ca="1" si="51"/>
        <v>0.6664569220225901</v>
      </c>
      <c r="AD152" s="251">
        <f t="shared" ca="1" si="51"/>
        <v>0.69262883670624398</v>
      </c>
      <c r="AE152" s="251">
        <f t="shared" ca="1" si="51"/>
        <v>0.71880075138989752</v>
      </c>
      <c r="AF152" s="251">
        <f t="shared" ca="1" si="51"/>
        <v>0.74497266607355084</v>
      </c>
      <c r="AG152" s="251">
        <f t="shared" ca="1" si="51"/>
        <v>0.77114458075720393</v>
      </c>
      <c r="AH152" s="263">
        <f t="shared" ca="1" si="47"/>
        <v>0.79731649544085714</v>
      </c>
      <c r="AI152" s="251">
        <f t="shared" ca="1" si="48"/>
        <v>0.82522257278128708</v>
      </c>
      <c r="AK152" s="250">
        <f t="shared" ca="1" si="49"/>
        <v>0.79731649544085714</v>
      </c>
    </row>
    <row r="153" spans="2:37" hidden="1" outlineLevel="1">
      <c r="B153" s="71" t="s">
        <v>325</v>
      </c>
      <c r="H153" s="69">
        <f t="shared" si="52"/>
        <v>0</v>
      </c>
      <c r="I153" s="69">
        <f t="shared" si="52"/>
        <v>0</v>
      </c>
      <c r="J153" s="69">
        <f t="shared" si="52"/>
        <v>0</v>
      </c>
      <c r="K153" s="69">
        <f t="shared" si="52"/>
        <v>0</v>
      </c>
      <c r="L153" s="69">
        <f t="shared" si="52"/>
        <v>0</v>
      </c>
      <c r="M153" s="69">
        <f t="shared" si="52"/>
        <v>0</v>
      </c>
      <c r="N153" s="69">
        <f t="shared" si="52"/>
        <v>0</v>
      </c>
      <c r="O153" s="69">
        <f t="shared" si="52"/>
        <v>0</v>
      </c>
      <c r="P153" s="69">
        <f t="shared" si="52"/>
        <v>0</v>
      </c>
      <c r="Q153" s="69">
        <f t="shared" si="52"/>
        <v>0</v>
      </c>
      <c r="R153" s="69">
        <f t="shared" si="52"/>
        <v>0</v>
      </c>
      <c r="S153" s="69">
        <f t="shared" si="52"/>
        <v>0</v>
      </c>
      <c r="T153" s="69">
        <f t="shared" si="52"/>
        <v>0</v>
      </c>
      <c r="U153" s="69">
        <f t="shared" si="52"/>
        <v>0</v>
      </c>
      <c r="V153" s="69">
        <f t="shared" ca="1" si="53"/>
        <v>2.8000545971987601E-7</v>
      </c>
      <c r="W153" s="69">
        <f t="shared" ca="1" si="53"/>
        <v>7.713888990093306E-7</v>
      </c>
      <c r="X153" s="69">
        <f t="shared" ca="1" si="53"/>
        <v>2.1161825089013529E-7</v>
      </c>
      <c r="Y153" s="181">
        <v>0</v>
      </c>
      <c r="Z153" s="181">
        <v>0</v>
      </c>
      <c r="AA153" s="251">
        <f t="shared" si="51"/>
        <v>0</v>
      </c>
      <c r="AB153" s="251">
        <f t="shared" ca="1" si="51"/>
        <v>0.10617770337078104</v>
      </c>
      <c r="AC153" s="251">
        <f t="shared" ca="1" si="51"/>
        <v>0.21235540756868601</v>
      </c>
      <c r="AD153" s="251">
        <f t="shared" ca="1" si="51"/>
        <v>0.31853311269585632</v>
      </c>
      <c r="AE153" s="251">
        <f t="shared" ca="1" si="51"/>
        <v>0.42471081866026572</v>
      </c>
      <c r="AF153" s="251">
        <f t="shared" ca="1" si="51"/>
        <v>0.53088852522959795</v>
      </c>
      <c r="AG153" s="251">
        <f t="shared" ca="1" si="51"/>
        <v>0.63706623210139157</v>
      </c>
      <c r="AH153" s="263">
        <f t="shared" ca="1" si="47"/>
        <v>0.74324393897318508</v>
      </c>
      <c r="AI153" s="251">
        <f t="shared" ca="1" si="48"/>
        <v>0.76925747683724655</v>
      </c>
      <c r="AK153" s="250">
        <f t="shared" ca="1" si="49"/>
        <v>0.74324393897318508</v>
      </c>
    </row>
    <row r="154" spans="2:37" hidden="1" outlineLevel="1">
      <c r="B154" s="71" t="s">
        <v>326</v>
      </c>
      <c r="H154" s="69">
        <f t="shared" si="52"/>
        <v>0</v>
      </c>
      <c r="I154" s="69">
        <f t="shared" si="52"/>
        <v>0</v>
      </c>
      <c r="J154" s="69">
        <f t="shared" si="52"/>
        <v>0</v>
      </c>
      <c r="K154" s="69">
        <f t="shared" si="52"/>
        <v>0.57621544003844505</v>
      </c>
      <c r="L154" s="69">
        <f t="shared" si="52"/>
        <v>0.56968500976440106</v>
      </c>
      <c r="M154" s="69">
        <f t="shared" si="52"/>
        <v>0.55656758094023184</v>
      </c>
      <c r="N154" s="69">
        <f t="shared" si="52"/>
        <v>0.55361298908939516</v>
      </c>
      <c r="O154" s="69">
        <f t="shared" si="52"/>
        <v>0.53799683335063886</v>
      </c>
      <c r="P154" s="69">
        <f t="shared" si="52"/>
        <v>0.54267516061828069</v>
      </c>
      <c r="Q154" s="69">
        <f t="shared" si="52"/>
        <v>0.54302554283548388</v>
      </c>
      <c r="R154" s="69">
        <f t="shared" si="52"/>
        <v>0.52607988417825269</v>
      </c>
      <c r="S154" s="69">
        <f t="shared" si="52"/>
        <v>0.51710479232037332</v>
      </c>
      <c r="T154" s="69">
        <f t="shared" si="52"/>
        <v>0.52748374954438593</v>
      </c>
      <c r="U154" s="69">
        <f t="shared" si="52"/>
        <v>0.52392338982624609</v>
      </c>
      <c r="V154" s="69">
        <f t="shared" ca="1" si="53"/>
        <v>0.52494017858709741</v>
      </c>
      <c r="W154" s="69">
        <f t="shared" ca="1" si="53"/>
        <v>0.52314397038707539</v>
      </c>
      <c r="X154" s="69">
        <f t="shared" ca="1" si="53"/>
        <v>0.51924984567408816</v>
      </c>
      <c r="Y154" s="251">
        <f t="shared" ref="Y154:AG169" ca="1" si="54">IF(ISBLANK(Y$181),AVERAGE(Z154,X154),X154*(1+Y$181))</f>
        <v>0.53872171488686649</v>
      </c>
      <c r="Z154" s="251">
        <f t="shared" ca="1" si="54"/>
        <v>0.55973186176745426</v>
      </c>
      <c r="AA154" s="251">
        <f t="shared" ca="1" si="51"/>
        <v>0.58436006368522231</v>
      </c>
      <c r="AB154" s="251">
        <f t="shared" ca="1" si="51"/>
        <v>0.61327167366483271</v>
      </c>
      <c r="AC154" s="251">
        <f t="shared" ca="1" si="51"/>
        <v>0.64218328364444233</v>
      </c>
      <c r="AD154" s="251">
        <f t="shared" ca="1" si="51"/>
        <v>0.67109489362405128</v>
      </c>
      <c r="AE154" s="251">
        <f t="shared" ca="1" si="51"/>
        <v>0.70000650360365946</v>
      </c>
      <c r="AF154" s="251">
        <f t="shared" ca="1" si="51"/>
        <v>0.72891811358326719</v>
      </c>
      <c r="AG154" s="251">
        <f t="shared" ca="1" si="51"/>
        <v>0.7578297235628747</v>
      </c>
      <c r="AH154" s="263">
        <f t="shared" ca="1" si="47"/>
        <v>0.78674133354248221</v>
      </c>
      <c r="AI154" s="251">
        <f t="shared" ca="1" si="48"/>
        <v>0.81427728021646906</v>
      </c>
      <c r="AK154" s="250">
        <f t="shared" ca="1" si="49"/>
        <v>0.78674133354248221</v>
      </c>
    </row>
    <row r="155" spans="2:37" hidden="1" outlineLevel="1">
      <c r="B155" s="71" t="s">
        <v>327</v>
      </c>
      <c r="H155" s="69">
        <f t="shared" si="52"/>
        <v>1.5393377768883825</v>
      </c>
      <c r="I155" s="69">
        <f t="shared" si="52"/>
        <v>1.4570335379979777</v>
      </c>
      <c r="J155" s="69">
        <f t="shared" si="52"/>
        <v>1.432568294112001</v>
      </c>
      <c r="K155" s="69">
        <f t="shared" si="52"/>
        <v>1.3719274826571217</v>
      </c>
      <c r="L155" s="69">
        <f t="shared" si="52"/>
        <v>1.3755404154407165</v>
      </c>
      <c r="M155" s="69">
        <f t="shared" si="52"/>
        <v>1.3913169301704988</v>
      </c>
      <c r="N155" s="69">
        <f t="shared" si="52"/>
        <v>1.4290399495263091</v>
      </c>
      <c r="O155" s="69">
        <f t="shared" si="52"/>
        <v>0.94251417541319826</v>
      </c>
      <c r="P155" s="69">
        <f t="shared" si="52"/>
        <v>0.95067019872334502</v>
      </c>
      <c r="Q155" s="69">
        <f t="shared" si="52"/>
        <v>0.9188663945290696</v>
      </c>
      <c r="R155" s="69">
        <f t="shared" si="52"/>
        <v>1.3551887555503683</v>
      </c>
      <c r="S155" s="69">
        <f t="shared" si="52"/>
        <v>1.3100282223746706</v>
      </c>
      <c r="T155" s="69">
        <f t="shared" si="52"/>
        <v>1.2646408525365533</v>
      </c>
      <c r="U155" s="69">
        <f t="shared" si="52"/>
        <v>1.6470204576411043</v>
      </c>
      <c r="V155" s="69">
        <f t="shared" ca="1" si="53"/>
        <v>1.6087070371093115</v>
      </c>
      <c r="W155" s="69">
        <f t="shared" ca="1" si="53"/>
        <v>1.5867999858129416</v>
      </c>
      <c r="X155" s="69">
        <f t="shared" ca="1" si="53"/>
        <v>1.5749874569792521</v>
      </c>
      <c r="Y155" s="251">
        <f t="shared" ca="1" si="54"/>
        <v>1.6340494866159743</v>
      </c>
      <c r="Z155" s="251">
        <f t="shared" ca="1" si="54"/>
        <v>1.6977774165939972</v>
      </c>
      <c r="AA155" s="251">
        <f t="shared" ca="1" si="54"/>
        <v>1.7724796229241331</v>
      </c>
      <c r="AB155" s="251">
        <f t="shared" ca="1" si="54"/>
        <v>1.7978396767921137</v>
      </c>
      <c r="AC155" s="251">
        <f t="shared" ca="1" si="54"/>
        <v>1.8231997306600944</v>
      </c>
      <c r="AD155" s="251">
        <f t="shared" ca="1" si="54"/>
        <v>1.8485597845280752</v>
      </c>
      <c r="AE155" s="251">
        <f t="shared" ca="1" si="54"/>
        <v>1.8739198383960562</v>
      </c>
      <c r="AF155" s="251">
        <f t="shared" ca="1" si="54"/>
        <v>1.8992798922640373</v>
      </c>
      <c r="AG155" s="251">
        <f t="shared" ca="1" si="54"/>
        <v>1.9246399461320185</v>
      </c>
      <c r="AH155" s="263">
        <f t="shared" ca="1" si="47"/>
        <v>1.95</v>
      </c>
      <c r="AI155" s="251">
        <f t="shared" ca="1" si="48"/>
        <v>2.0182499999999997</v>
      </c>
      <c r="AK155" s="250">
        <f t="shared" ca="1" si="49"/>
        <v>1.95</v>
      </c>
    </row>
    <row r="156" spans="2:37" hidden="1" outlineLevel="1">
      <c r="B156" s="71" t="s">
        <v>328</v>
      </c>
      <c r="H156" s="69">
        <f t="shared" si="52"/>
        <v>0</v>
      </c>
      <c r="I156" s="69">
        <f t="shared" si="52"/>
        <v>0</v>
      </c>
      <c r="J156" s="69">
        <f t="shared" si="52"/>
        <v>0</v>
      </c>
      <c r="K156" s="69">
        <f t="shared" si="52"/>
        <v>0</v>
      </c>
      <c r="L156" s="69">
        <f t="shared" si="52"/>
        <v>0</v>
      </c>
      <c r="M156" s="69">
        <f t="shared" si="52"/>
        <v>0</v>
      </c>
      <c r="N156" s="69">
        <f t="shared" si="52"/>
        <v>0</v>
      </c>
      <c r="O156" s="69">
        <f t="shared" si="52"/>
        <v>0</v>
      </c>
      <c r="P156" s="69">
        <f t="shared" si="52"/>
        <v>0</v>
      </c>
      <c r="Q156" s="69">
        <f t="shared" si="52"/>
        <v>0</v>
      </c>
      <c r="R156" s="69">
        <f t="shared" si="52"/>
        <v>0</v>
      </c>
      <c r="S156" s="69">
        <f t="shared" si="52"/>
        <v>0</v>
      </c>
      <c r="T156" s="69">
        <f t="shared" si="52"/>
        <v>0</v>
      </c>
      <c r="U156" s="69">
        <f t="shared" si="52"/>
        <v>0.76456165004637056</v>
      </c>
      <c r="V156" s="69">
        <f t="shared" ca="1" si="53"/>
        <v>0.74926378592345666</v>
      </c>
      <c r="W156" s="69">
        <f t="shared" ca="1" si="53"/>
        <v>0.7397312580497345</v>
      </c>
      <c r="X156" s="69">
        <f t="shared" ca="1" si="53"/>
        <v>0.73422395064143398</v>
      </c>
      <c r="Y156" s="251">
        <f t="shared" ca="1" si="54"/>
        <v>0.76175734879048784</v>
      </c>
      <c r="Z156" s="251">
        <f t="shared" ca="1" si="54"/>
        <v>0.79146588539331686</v>
      </c>
      <c r="AA156" s="251">
        <f t="shared" ca="1" si="54"/>
        <v>0.82629038435062285</v>
      </c>
      <c r="AB156" s="251">
        <f t="shared" ca="1" si="54"/>
        <v>0.85509369100025068</v>
      </c>
      <c r="AC156" s="251">
        <f t="shared" ca="1" si="54"/>
        <v>0.88389699764987784</v>
      </c>
      <c r="AD156" s="251">
        <f t="shared" ca="1" si="54"/>
        <v>0.91270030429950455</v>
      </c>
      <c r="AE156" s="251">
        <f t="shared" ca="1" si="54"/>
        <v>0.9415036109491306</v>
      </c>
      <c r="AF156" s="251">
        <f t="shared" ca="1" si="54"/>
        <v>0.97030691759875631</v>
      </c>
      <c r="AG156" s="251">
        <f t="shared" ca="1" si="54"/>
        <v>0.99911022424838181</v>
      </c>
      <c r="AH156" s="263">
        <f t="shared" ca="1" si="47"/>
        <v>1.0279135308980074</v>
      </c>
      <c r="AI156" s="251">
        <f t="shared" ca="1" si="48"/>
        <v>1.0638905044794376</v>
      </c>
      <c r="AK156" s="250">
        <f t="shared" ca="1" si="49"/>
        <v>1.0279135308980074</v>
      </c>
    </row>
    <row r="157" spans="2:37" hidden="1" outlineLevel="1">
      <c r="B157" s="71" t="s">
        <v>329</v>
      </c>
      <c r="H157" s="69">
        <f t="shared" si="52"/>
        <v>0</v>
      </c>
      <c r="I157" s="69">
        <f t="shared" si="52"/>
        <v>0</v>
      </c>
      <c r="J157" s="69">
        <f t="shared" si="52"/>
        <v>0</v>
      </c>
      <c r="K157" s="69">
        <f t="shared" si="52"/>
        <v>0</v>
      </c>
      <c r="L157" s="69">
        <f t="shared" si="52"/>
        <v>0</v>
      </c>
      <c r="M157" s="69">
        <f t="shared" si="52"/>
        <v>0</v>
      </c>
      <c r="N157" s="69">
        <f t="shared" si="52"/>
        <v>0</v>
      </c>
      <c r="O157" s="69">
        <f t="shared" si="52"/>
        <v>0</v>
      </c>
      <c r="P157" s="69">
        <f t="shared" si="52"/>
        <v>0</v>
      </c>
      <c r="Q157" s="69">
        <f t="shared" si="52"/>
        <v>0</v>
      </c>
      <c r="R157" s="69">
        <f t="shared" si="52"/>
        <v>0</v>
      </c>
      <c r="S157" s="69">
        <f t="shared" si="52"/>
        <v>0.17168428290479504</v>
      </c>
      <c r="T157" s="69">
        <f t="shared" si="52"/>
        <v>0.34151745768940212</v>
      </c>
      <c r="U157" s="69">
        <f t="shared" si="52"/>
        <v>0.33482217594235708</v>
      </c>
      <c r="V157" s="69">
        <f t="shared" ca="1" si="53"/>
        <v>0.33508112508523524</v>
      </c>
      <c r="W157" s="69">
        <f t="shared" ca="1" si="53"/>
        <v>0.3362805652439288</v>
      </c>
      <c r="X157" s="69">
        <f t="shared" ca="1" si="53"/>
        <v>0.33377713583879981</v>
      </c>
      <c r="Y157" s="251">
        <f t="shared" ca="1" si="54"/>
        <v>0.34629377843275483</v>
      </c>
      <c r="Z157" s="251">
        <f t="shared" ca="1" si="54"/>
        <v>0.35979923579163225</v>
      </c>
      <c r="AA157" s="251">
        <f t="shared" ca="1" si="54"/>
        <v>0.37563040216646409</v>
      </c>
      <c r="AB157" s="251">
        <f t="shared" ca="1" si="54"/>
        <v>0.42376209465816306</v>
      </c>
      <c r="AC157" s="251">
        <f t="shared" ca="1" si="54"/>
        <v>0.47189378714986258</v>
      </c>
      <c r="AD157" s="251">
        <f t="shared" ca="1" si="54"/>
        <v>0.52002547964156265</v>
      </c>
      <c r="AE157" s="251">
        <f t="shared" ca="1" si="54"/>
        <v>0.56815717213326333</v>
      </c>
      <c r="AF157" s="251">
        <f t="shared" ca="1" si="54"/>
        <v>0.61628886462496446</v>
      </c>
      <c r="AG157" s="251">
        <f t="shared" ca="1" si="54"/>
        <v>0.6644205571166657</v>
      </c>
      <c r="AH157" s="263">
        <f t="shared" ca="1" si="47"/>
        <v>0.71255224960836694</v>
      </c>
      <c r="AI157" s="251">
        <f t="shared" ca="1" si="48"/>
        <v>0.73749157834465973</v>
      </c>
      <c r="AK157" s="250">
        <f t="shared" ca="1" si="49"/>
        <v>0.71255224960836694</v>
      </c>
    </row>
    <row r="158" spans="2:37" hidden="1" outlineLevel="1">
      <c r="B158" s="71" t="s">
        <v>330</v>
      </c>
      <c r="H158" s="69">
        <f t="shared" si="52"/>
        <v>0.65055925326206676</v>
      </c>
      <c r="I158" s="69">
        <f t="shared" si="52"/>
        <v>0.64804992058148225</v>
      </c>
      <c r="J158" s="69">
        <f t="shared" si="52"/>
        <v>0.63263391436540817</v>
      </c>
      <c r="K158" s="69">
        <f t="shared" si="52"/>
        <v>0.62427856807976279</v>
      </c>
      <c r="L158" s="69">
        <f t="shared" si="52"/>
        <v>0.6360744537869647</v>
      </c>
      <c r="M158" s="69">
        <f t="shared" si="52"/>
        <v>0.61375297670193707</v>
      </c>
      <c r="N158" s="69">
        <f t="shared" si="52"/>
        <v>0.61734073072152928</v>
      </c>
      <c r="O158" s="69">
        <f t="shared" si="52"/>
        <v>0.57680871350314966</v>
      </c>
      <c r="P158" s="69">
        <f t="shared" si="52"/>
        <v>0.56485335559608685</v>
      </c>
      <c r="Q158" s="69">
        <f t="shared" si="52"/>
        <v>0.54130246032794271</v>
      </c>
      <c r="R158" s="69">
        <f t="shared" si="52"/>
        <v>0.5280480650470728</v>
      </c>
      <c r="S158" s="69">
        <f t="shared" si="52"/>
        <v>0.55949502217278779</v>
      </c>
      <c r="T158" s="69">
        <f t="shared" si="52"/>
        <v>0.55955826232538985</v>
      </c>
      <c r="U158" s="69">
        <f t="shared" si="52"/>
        <v>0.58719388848600862</v>
      </c>
      <c r="V158" s="69">
        <f t="shared" ca="1" si="53"/>
        <v>1.1162744632960067</v>
      </c>
      <c r="W158" s="69">
        <f t="shared" ca="1" si="53"/>
        <v>1.1140980860612595</v>
      </c>
      <c r="X158" s="69">
        <f t="shared" ca="1" si="53"/>
        <v>1.1058043815188214</v>
      </c>
      <c r="Y158" s="251">
        <f t="shared" ca="1" si="54"/>
        <v>1.1472720458257772</v>
      </c>
      <c r="Z158" s="251">
        <f t="shared" ca="1" si="54"/>
        <v>1.1920156556129824</v>
      </c>
      <c r="AA158" s="251">
        <f t="shared" ca="1" si="54"/>
        <v>1.2444643444599537</v>
      </c>
      <c r="AB158" s="251">
        <f t="shared" ca="1" si="54"/>
        <v>1.2878446001265869</v>
      </c>
      <c r="AC158" s="251">
        <f t="shared" ca="1" si="54"/>
        <v>1.331224855793218</v>
      </c>
      <c r="AD158" s="251">
        <f t="shared" ca="1" si="54"/>
        <v>1.374605111459847</v>
      </c>
      <c r="AE158" s="251">
        <f t="shared" ca="1" si="54"/>
        <v>1.4179853671264742</v>
      </c>
      <c r="AF158" s="251">
        <f t="shared" ca="1" si="54"/>
        <v>1.4613656227931</v>
      </c>
      <c r="AG158" s="251">
        <f t="shared" ca="1" si="54"/>
        <v>1.504745878459725</v>
      </c>
      <c r="AH158" s="263">
        <f t="shared" ca="1" si="47"/>
        <v>1.5481261341263499</v>
      </c>
      <c r="AI158" s="251">
        <f t="shared" ca="1" si="48"/>
        <v>1.6023105488207721</v>
      </c>
      <c r="AK158" s="250">
        <f t="shared" ca="1" si="49"/>
        <v>1.5481261341263499</v>
      </c>
    </row>
    <row r="159" spans="2:37" hidden="1" outlineLevel="1">
      <c r="B159" s="71" t="s">
        <v>331</v>
      </c>
      <c r="H159" s="69">
        <f t="shared" si="52"/>
        <v>0</v>
      </c>
      <c r="I159" s="69">
        <f t="shared" si="52"/>
        <v>0</v>
      </c>
      <c r="J159" s="69">
        <f t="shared" si="52"/>
        <v>0</v>
      </c>
      <c r="K159" s="69">
        <f t="shared" si="52"/>
        <v>0</v>
      </c>
      <c r="L159" s="69">
        <f t="shared" si="52"/>
        <v>0</v>
      </c>
      <c r="M159" s="69">
        <f t="shared" si="52"/>
        <v>0</v>
      </c>
      <c r="N159" s="69">
        <f t="shared" si="52"/>
        <v>0</v>
      </c>
      <c r="O159" s="69">
        <f t="shared" si="52"/>
        <v>0</v>
      </c>
      <c r="P159" s="69">
        <f t="shared" si="52"/>
        <v>0</v>
      </c>
      <c r="Q159" s="69">
        <f t="shared" si="52"/>
        <v>0</v>
      </c>
      <c r="R159" s="69">
        <f t="shared" si="52"/>
        <v>9.2348280087162005E-2</v>
      </c>
      <c r="S159" s="69">
        <f t="shared" si="52"/>
        <v>9.5242040979792969E-2</v>
      </c>
      <c r="T159" s="69">
        <f t="shared" si="52"/>
        <v>0.18217713702435145</v>
      </c>
      <c r="U159" s="69">
        <f t="shared" si="52"/>
        <v>0.18667204531053219</v>
      </c>
      <c r="V159" s="69">
        <f t="shared" ca="1" si="53"/>
        <v>0.26471763966300221</v>
      </c>
      <c r="W159" s="69">
        <f t="shared" ca="1" si="53"/>
        <v>0.26668920264331802</v>
      </c>
      <c r="X159" s="69">
        <f t="shared" ca="1" si="53"/>
        <v>0.26470360996663772</v>
      </c>
      <c r="Y159" s="251">
        <f t="shared" ca="1" si="54"/>
        <v>0.27462999534038668</v>
      </c>
      <c r="Z159" s="251">
        <f t="shared" ca="1" si="54"/>
        <v>0.28534056515866174</v>
      </c>
      <c r="AA159" s="251">
        <f t="shared" ca="1" si="54"/>
        <v>0.29789555002564289</v>
      </c>
      <c r="AB159" s="251">
        <f t="shared" ca="1" si="54"/>
        <v>0.35318516277333512</v>
      </c>
      <c r="AC159" s="251">
        <f t="shared" ca="1" si="54"/>
        <v>0.40847477552102807</v>
      </c>
      <c r="AD159" s="251">
        <f t="shared" ca="1" si="54"/>
        <v>0.46376438826872185</v>
      </c>
      <c r="AE159" s="251">
        <f t="shared" ca="1" si="54"/>
        <v>0.51905400101641641</v>
      </c>
      <c r="AF159" s="251">
        <f t="shared" ca="1" si="54"/>
        <v>0.57434361376411147</v>
      </c>
      <c r="AG159" s="251">
        <f t="shared" ca="1" si="54"/>
        <v>0.62963322651180675</v>
      </c>
      <c r="AH159" s="263">
        <f t="shared" ca="1" si="47"/>
        <v>0.68492283925950215</v>
      </c>
      <c r="AI159" s="251">
        <f t="shared" ca="1" si="48"/>
        <v>0.70889513863358466</v>
      </c>
      <c r="AK159" s="250">
        <f t="shared" ca="1" si="49"/>
        <v>0.68492283925950215</v>
      </c>
    </row>
    <row r="160" spans="2:37" hidden="1" outlineLevel="1">
      <c r="B160" s="71" t="s">
        <v>332</v>
      </c>
      <c r="H160" s="69">
        <f t="shared" ref="H160:U175" si="55">+H37/(H107/1000)</f>
        <v>0.97015009838938926</v>
      </c>
      <c r="I160" s="69">
        <f t="shared" si="55"/>
        <v>0.97758431746203467</v>
      </c>
      <c r="J160" s="69">
        <f t="shared" si="55"/>
        <v>0.95319237630382814</v>
      </c>
      <c r="K160" s="69">
        <f t="shared" si="55"/>
        <v>1.1087379968186259</v>
      </c>
      <c r="L160" s="69">
        <f t="shared" si="55"/>
        <v>1.2801450709824038</v>
      </c>
      <c r="M160" s="69">
        <f t="shared" si="55"/>
        <v>1.3217921055636048</v>
      </c>
      <c r="N160" s="69">
        <f t="shared" si="55"/>
        <v>1.3893331860640155</v>
      </c>
      <c r="O160" s="69">
        <f t="shared" si="55"/>
        <v>1.3060616771301254</v>
      </c>
      <c r="P160" s="69">
        <f t="shared" si="55"/>
        <v>1.0413190179736869</v>
      </c>
      <c r="Q160" s="69">
        <f t="shared" si="55"/>
        <v>1.0364209999104792</v>
      </c>
      <c r="R160" s="69">
        <f t="shared" si="55"/>
        <v>1.1643787056352306</v>
      </c>
      <c r="S160" s="69">
        <f t="shared" si="55"/>
        <v>1.1566248709560056</v>
      </c>
      <c r="T160" s="69">
        <f t="shared" si="55"/>
        <v>1.1084531499344228</v>
      </c>
      <c r="U160" s="69">
        <f t="shared" si="55"/>
        <v>1.1365969831685141</v>
      </c>
      <c r="V160" s="69">
        <f t="shared" ref="V160:X175" ca="1" si="56">+V37/(V107/1000)+0.000001*RAND()</f>
        <v>1.3653335949769392</v>
      </c>
      <c r="W160" s="69">
        <f t="shared" ca="1" si="56"/>
        <v>1.3126738277555445</v>
      </c>
      <c r="X160" s="69">
        <f t="shared" ca="1" si="56"/>
        <v>1.3029024211129567</v>
      </c>
      <c r="Y160" s="251">
        <f t="shared" ca="1" si="54"/>
        <v>1.3517612619046928</v>
      </c>
      <c r="Z160" s="251">
        <f t="shared" ca="1" si="54"/>
        <v>1.4044799511189758</v>
      </c>
      <c r="AA160" s="251">
        <f t="shared" ca="1" si="54"/>
        <v>1.4662770689682108</v>
      </c>
      <c r="AB160" s="251">
        <f t="shared" ca="1" si="54"/>
        <v>1.5173894004810626</v>
      </c>
      <c r="AC160" s="251">
        <f t="shared" ca="1" si="54"/>
        <v>1.5685017319939125</v>
      </c>
      <c r="AD160" s="251">
        <f t="shared" ca="1" si="54"/>
        <v>1.6196140635067604</v>
      </c>
      <c r="AE160" s="251">
        <f t="shared" ca="1" si="54"/>
        <v>1.6707263950196065</v>
      </c>
      <c r="AF160" s="251">
        <f t="shared" ca="1" si="54"/>
        <v>1.7218387265324511</v>
      </c>
      <c r="AG160" s="251">
        <f t="shared" ca="1" si="54"/>
        <v>1.7729510580452952</v>
      </c>
      <c r="AH160" s="263">
        <f t="shared" ca="1" si="47"/>
        <v>1.8240633895581393</v>
      </c>
      <c r="AI160" s="251">
        <f t="shared" ca="1" si="48"/>
        <v>1.8879056081926739</v>
      </c>
      <c r="AK160" s="250">
        <f t="shared" ca="1" si="49"/>
        <v>1.8240633895581393</v>
      </c>
    </row>
    <row r="161" spans="2:37" hidden="1" outlineLevel="1">
      <c r="B161" s="71" t="s">
        <v>333</v>
      </c>
      <c r="H161" s="69">
        <f t="shared" si="55"/>
        <v>0</v>
      </c>
      <c r="I161" s="69">
        <f t="shared" si="55"/>
        <v>0</v>
      </c>
      <c r="J161" s="69">
        <f t="shared" si="55"/>
        <v>0</v>
      </c>
      <c r="K161" s="69">
        <f t="shared" si="55"/>
        <v>0</v>
      </c>
      <c r="L161" s="69">
        <f t="shared" si="55"/>
        <v>0</v>
      </c>
      <c r="M161" s="69">
        <f t="shared" si="55"/>
        <v>0</v>
      </c>
      <c r="N161" s="69">
        <f t="shared" si="55"/>
        <v>0</v>
      </c>
      <c r="O161" s="69">
        <f t="shared" si="55"/>
        <v>0</v>
      </c>
      <c r="P161" s="69">
        <f t="shared" si="55"/>
        <v>0</v>
      </c>
      <c r="Q161" s="69">
        <f t="shared" si="55"/>
        <v>0</v>
      </c>
      <c r="R161" s="69">
        <f t="shared" si="55"/>
        <v>0</v>
      </c>
      <c r="S161" s="69">
        <f t="shared" si="55"/>
        <v>0</v>
      </c>
      <c r="T161" s="69">
        <f t="shared" si="55"/>
        <v>0</v>
      </c>
      <c r="U161" s="69">
        <f t="shared" si="55"/>
        <v>0</v>
      </c>
      <c r="V161" s="69">
        <f t="shared" ca="1" si="56"/>
        <v>6.4256887845127255E-7</v>
      </c>
      <c r="W161" s="69">
        <f t="shared" ca="1" si="56"/>
        <v>9.4285316039019751E-7</v>
      </c>
      <c r="X161" s="69">
        <f t="shared" ca="1" si="56"/>
        <v>7.592244679294358E-7</v>
      </c>
      <c r="Y161" s="181">
        <v>0</v>
      </c>
      <c r="Z161" s="181">
        <v>0</v>
      </c>
      <c r="AA161" s="181">
        <v>0</v>
      </c>
      <c r="AB161" s="181">
        <v>0</v>
      </c>
      <c r="AC161" s="181">
        <v>0</v>
      </c>
      <c r="AD161" s="181">
        <v>0</v>
      </c>
      <c r="AE161" s="251">
        <f t="shared" ca="1" si="54"/>
        <v>7.6485673993323594E-2</v>
      </c>
      <c r="AF161" s="251">
        <f t="shared" ca="1" si="54"/>
        <v>0.15297134798664719</v>
      </c>
      <c r="AG161" s="251">
        <f t="shared" ca="1" si="54"/>
        <v>0.22945702197997081</v>
      </c>
      <c r="AH161" s="263">
        <f t="shared" ca="1" si="47"/>
        <v>0.30594269597329443</v>
      </c>
      <c r="AI161" s="251">
        <f t="shared" ca="1" si="48"/>
        <v>0.31665069033235971</v>
      </c>
      <c r="AK161" s="250">
        <f t="shared" ca="1" si="49"/>
        <v>0.30594269597329443</v>
      </c>
    </row>
    <row r="162" spans="2:37" hidden="1" outlineLevel="1">
      <c r="B162" s="71" t="s">
        <v>334</v>
      </c>
      <c r="H162" s="69">
        <f t="shared" si="55"/>
        <v>0</v>
      </c>
      <c r="I162" s="69">
        <f t="shared" si="55"/>
        <v>0</v>
      </c>
      <c r="J162" s="69">
        <f t="shared" si="55"/>
        <v>0.18235039631579258</v>
      </c>
      <c r="K162" s="69">
        <f t="shared" si="55"/>
        <v>0.18189429631326634</v>
      </c>
      <c r="L162" s="69">
        <f t="shared" si="55"/>
        <v>0.18023118073321467</v>
      </c>
      <c r="M162" s="69">
        <f t="shared" si="55"/>
        <v>0.17864167302928757</v>
      </c>
      <c r="N162" s="69">
        <f t="shared" si="55"/>
        <v>0.40129501915631943</v>
      </c>
      <c r="O162" s="69">
        <f t="shared" si="55"/>
        <v>0.39727201254426109</v>
      </c>
      <c r="P162" s="69">
        <f t="shared" si="55"/>
        <v>0.39954495824705244</v>
      </c>
      <c r="Q162" s="69">
        <f t="shared" si="55"/>
        <v>0.39208817043523847</v>
      </c>
      <c r="R162" s="69">
        <f t="shared" si="55"/>
        <v>0.48545338919283665</v>
      </c>
      <c r="S162" s="69">
        <f t="shared" si="55"/>
        <v>0.48038326129505948</v>
      </c>
      <c r="T162" s="69">
        <f t="shared" si="55"/>
        <v>0.47458655443137598</v>
      </c>
      <c r="U162" s="69">
        <f t="shared" si="55"/>
        <v>0.46915287036639997</v>
      </c>
      <c r="V162" s="69">
        <f t="shared" ca="1" si="56"/>
        <v>0.46472492291813033</v>
      </c>
      <c r="W162" s="69">
        <f t="shared" ca="1" si="56"/>
        <v>0.46517186109328873</v>
      </c>
      <c r="X162" s="69">
        <f t="shared" ca="1" si="56"/>
        <v>0.46170928001322731</v>
      </c>
      <c r="Y162" s="251">
        <f t="shared" ref="Y162:AG177" ca="1" si="57">IF(ISBLANK(Y$181),AVERAGE(Z162,X162),X162*(1+Y$181))</f>
        <v>0.47902337801372336</v>
      </c>
      <c r="Z162" s="251">
        <f t="shared" ca="1" si="57"/>
        <v>0.49770528975625855</v>
      </c>
      <c r="AA162" s="251">
        <f t="shared" ca="1" si="57"/>
        <v>0.5196043225055339</v>
      </c>
      <c r="AB162" s="251">
        <f t="shared" ca="1" si="57"/>
        <v>0.55447872033019063</v>
      </c>
      <c r="AC162" s="251">
        <f t="shared" ca="1" si="57"/>
        <v>0.58935311815484781</v>
      </c>
      <c r="AD162" s="251">
        <f t="shared" ca="1" si="57"/>
        <v>0.62422751597950543</v>
      </c>
      <c r="AE162" s="251">
        <f t="shared" ca="1" si="54"/>
        <v>0.65910191380416328</v>
      </c>
      <c r="AF162" s="251">
        <f t="shared" ca="1" si="54"/>
        <v>0.69397631162882134</v>
      </c>
      <c r="AG162" s="251">
        <f t="shared" ca="1" si="54"/>
        <v>0.72885070945347963</v>
      </c>
      <c r="AH162" s="263">
        <f t="shared" ca="1" si="47"/>
        <v>0.76372510727813792</v>
      </c>
      <c r="AI162" s="251">
        <f t="shared" ca="1" si="48"/>
        <v>0.79045548603287263</v>
      </c>
      <c r="AK162" s="250">
        <f t="shared" ca="1" si="49"/>
        <v>0.76372510727813792</v>
      </c>
    </row>
    <row r="163" spans="2:37" hidden="1" outlineLevel="1">
      <c r="B163" s="71" t="s">
        <v>335</v>
      </c>
      <c r="H163" s="69">
        <f t="shared" si="55"/>
        <v>0</v>
      </c>
      <c r="I163" s="69">
        <f t="shared" si="55"/>
        <v>0</v>
      </c>
      <c r="J163" s="69">
        <f t="shared" si="55"/>
        <v>0.31140104624523518</v>
      </c>
      <c r="K163" s="69">
        <f t="shared" si="55"/>
        <v>0.30867350954680867</v>
      </c>
      <c r="L163" s="69">
        <f t="shared" si="55"/>
        <v>0.60243921614223828</v>
      </c>
      <c r="M163" s="69">
        <f t="shared" si="55"/>
        <v>0.58294353842064273</v>
      </c>
      <c r="N163" s="69">
        <f t="shared" si="55"/>
        <v>0.58979286769383021</v>
      </c>
      <c r="O163" s="69">
        <f t="shared" si="55"/>
        <v>0.59257538595916326</v>
      </c>
      <c r="P163" s="69">
        <f t="shared" si="55"/>
        <v>0.58753526313207405</v>
      </c>
      <c r="Q163" s="69">
        <f t="shared" si="55"/>
        <v>0.58384904232701207</v>
      </c>
      <c r="R163" s="69">
        <f t="shared" si="55"/>
        <v>0.57225146904105251</v>
      </c>
      <c r="S163" s="69">
        <f t="shared" si="55"/>
        <v>0.67503165898480644</v>
      </c>
      <c r="T163" s="69">
        <f t="shared" si="55"/>
        <v>0.53918732607838815</v>
      </c>
      <c r="U163" s="69">
        <f t="shared" si="55"/>
        <v>0.53818547001486206</v>
      </c>
      <c r="V163" s="69">
        <f t="shared" ca="1" si="56"/>
        <v>0.81622646977148605</v>
      </c>
      <c r="W163" s="69">
        <f t="shared" ca="1" si="56"/>
        <v>0.81452322564118629</v>
      </c>
      <c r="X163" s="69">
        <f t="shared" ca="1" si="56"/>
        <v>0.80845976572082201</v>
      </c>
      <c r="Y163" s="251">
        <f t="shared" ca="1" si="57"/>
        <v>0.83877700693535295</v>
      </c>
      <c r="Z163" s="251">
        <f t="shared" ca="1" si="57"/>
        <v>0.87148931020583165</v>
      </c>
      <c r="AA163" s="251">
        <f t="shared" ca="1" si="57"/>
        <v>0.90983483985488822</v>
      </c>
      <c r="AB163" s="251">
        <f t="shared" ca="1" si="57"/>
        <v>0.94155038730549245</v>
      </c>
      <c r="AC163" s="251">
        <f t="shared" ca="1" si="57"/>
        <v>0.97326593475609835</v>
      </c>
      <c r="AD163" s="251">
        <f t="shared" ca="1" si="57"/>
        <v>1.0049814822067062</v>
      </c>
      <c r="AE163" s="251">
        <f t="shared" ca="1" si="54"/>
        <v>1.0366970296573159</v>
      </c>
      <c r="AF163" s="251">
        <f t="shared" ca="1" si="54"/>
        <v>1.0684125771079271</v>
      </c>
      <c r="AG163" s="251">
        <f t="shared" ca="1" si="54"/>
        <v>1.1001281245585388</v>
      </c>
      <c r="AH163" s="263">
        <f t="shared" ca="1" si="47"/>
        <v>1.1318436720091507</v>
      </c>
      <c r="AI163" s="251">
        <f t="shared" ca="1" si="48"/>
        <v>1.1714582005294709</v>
      </c>
      <c r="AK163" s="250">
        <f t="shared" ca="1" si="49"/>
        <v>1.1318436720091507</v>
      </c>
    </row>
    <row r="164" spans="2:37" hidden="1" outlineLevel="1">
      <c r="B164" s="71" t="s">
        <v>336</v>
      </c>
      <c r="H164" s="69">
        <f t="shared" si="55"/>
        <v>0</v>
      </c>
      <c r="I164" s="69">
        <f t="shared" si="55"/>
        <v>0</v>
      </c>
      <c r="J164" s="69">
        <f t="shared" si="55"/>
        <v>0</v>
      </c>
      <c r="K164" s="69">
        <f t="shared" si="55"/>
        <v>0</v>
      </c>
      <c r="L164" s="69">
        <f t="shared" si="55"/>
        <v>0</v>
      </c>
      <c r="M164" s="69">
        <f t="shared" si="55"/>
        <v>0</v>
      </c>
      <c r="N164" s="69">
        <f t="shared" si="55"/>
        <v>0</v>
      </c>
      <c r="O164" s="69">
        <f t="shared" si="55"/>
        <v>0</v>
      </c>
      <c r="P164" s="69">
        <f t="shared" si="55"/>
        <v>0</v>
      </c>
      <c r="Q164" s="69">
        <f t="shared" si="55"/>
        <v>0</v>
      </c>
      <c r="R164" s="69">
        <f t="shared" si="55"/>
        <v>0.59317469469298456</v>
      </c>
      <c r="S164" s="69">
        <f t="shared" si="55"/>
        <v>0.56756539701341413</v>
      </c>
      <c r="T164" s="69">
        <f t="shared" si="55"/>
        <v>0.53705519745908448</v>
      </c>
      <c r="U164" s="69">
        <f t="shared" si="55"/>
        <v>0.49828068250501645</v>
      </c>
      <c r="V164" s="69">
        <f t="shared" ca="1" si="56"/>
        <v>0.51955815024839791</v>
      </c>
      <c r="W164" s="69">
        <f t="shared" ca="1" si="56"/>
        <v>0.7834351371831233</v>
      </c>
      <c r="X164" s="69">
        <f t="shared" ca="1" si="56"/>
        <v>0.77760304033436356</v>
      </c>
      <c r="Y164" s="251">
        <f t="shared" ca="1" si="57"/>
        <v>0.80676315434690227</v>
      </c>
      <c r="Z164" s="251">
        <f t="shared" ca="1" si="57"/>
        <v>0.8382269173664314</v>
      </c>
      <c r="AA164" s="251">
        <f t="shared" ca="1" si="57"/>
        <v>0.87510890173055444</v>
      </c>
      <c r="AB164" s="251">
        <f t="shared" ca="1" si="57"/>
        <v>0.90561395240734854</v>
      </c>
      <c r="AC164" s="251">
        <f t="shared" ca="1" si="57"/>
        <v>0.93611900308414242</v>
      </c>
      <c r="AD164" s="251">
        <f t="shared" ca="1" si="57"/>
        <v>0.96662405376093608</v>
      </c>
      <c r="AE164" s="251">
        <f t="shared" ca="1" si="54"/>
        <v>0.9971291044377294</v>
      </c>
      <c r="AF164" s="251">
        <f t="shared" ca="1" si="54"/>
        <v>1.0276341551145225</v>
      </c>
      <c r="AG164" s="251">
        <f t="shared" ca="1" si="54"/>
        <v>1.0581392057913157</v>
      </c>
      <c r="AH164" s="263">
        <f t="shared" ca="1" si="47"/>
        <v>1.0886442564681089</v>
      </c>
      <c r="AI164" s="251">
        <f t="shared" ca="1" si="48"/>
        <v>1.1267468054444927</v>
      </c>
      <c r="AK164" s="250">
        <f t="shared" ca="1" si="49"/>
        <v>1.0886442564681089</v>
      </c>
    </row>
    <row r="165" spans="2:37" hidden="1" outlineLevel="1">
      <c r="B165" s="71" t="s">
        <v>337</v>
      </c>
      <c r="H165" s="69">
        <f t="shared" si="55"/>
        <v>0</v>
      </c>
      <c r="I165" s="69">
        <f t="shared" si="55"/>
        <v>0</v>
      </c>
      <c r="J165" s="69">
        <f t="shared" si="55"/>
        <v>0</v>
      </c>
      <c r="K165" s="69">
        <f t="shared" si="55"/>
        <v>0</v>
      </c>
      <c r="L165" s="69">
        <f t="shared" si="55"/>
        <v>0</v>
      </c>
      <c r="M165" s="69">
        <f t="shared" si="55"/>
        <v>0</v>
      </c>
      <c r="N165" s="69">
        <f t="shared" si="55"/>
        <v>0</v>
      </c>
      <c r="O165" s="69">
        <f t="shared" si="55"/>
        <v>0</v>
      </c>
      <c r="P165" s="69">
        <f t="shared" si="55"/>
        <v>9.6929130072689079E-2</v>
      </c>
      <c r="Q165" s="69">
        <f t="shared" si="55"/>
        <v>0.1943963313524347</v>
      </c>
      <c r="R165" s="69">
        <f t="shared" si="55"/>
        <v>0.29040586155190956</v>
      </c>
      <c r="S165" s="69">
        <f t="shared" si="55"/>
        <v>0.28781042272827395</v>
      </c>
      <c r="T165" s="69">
        <f t="shared" si="55"/>
        <v>0.28381722435647516</v>
      </c>
      <c r="U165" s="69">
        <f t="shared" si="55"/>
        <v>0.38056152614305461</v>
      </c>
      <c r="V165" s="69">
        <f t="shared" ca="1" si="56"/>
        <v>0.37929075495987247</v>
      </c>
      <c r="W165" s="69">
        <f t="shared" ca="1" si="56"/>
        <v>0.37652765407510008</v>
      </c>
      <c r="X165" s="69">
        <f t="shared" ca="1" si="56"/>
        <v>0.46715549897652303</v>
      </c>
      <c r="Y165" s="251">
        <f t="shared" ca="1" si="57"/>
        <v>0.4846738301881427</v>
      </c>
      <c r="Z165" s="251">
        <f t="shared" ca="1" si="57"/>
        <v>0.50357610956548027</v>
      </c>
      <c r="AA165" s="251">
        <f t="shared" ca="1" si="57"/>
        <v>0.52573345838636143</v>
      </c>
      <c r="AB165" s="251">
        <f t="shared" ca="1" si="57"/>
        <v>0.56004347788308906</v>
      </c>
      <c r="AC165" s="251">
        <f t="shared" ca="1" si="57"/>
        <v>0.5943534973798168</v>
      </c>
      <c r="AD165" s="251">
        <f t="shared" ca="1" si="57"/>
        <v>0.62866351687654454</v>
      </c>
      <c r="AE165" s="251">
        <f t="shared" ca="1" si="54"/>
        <v>0.66297353637327239</v>
      </c>
      <c r="AF165" s="251">
        <f t="shared" ca="1" si="54"/>
        <v>0.69728355587000035</v>
      </c>
      <c r="AG165" s="251">
        <f t="shared" ca="1" si="54"/>
        <v>0.73159357536672831</v>
      </c>
      <c r="AH165" s="263">
        <f t="shared" ca="1" si="47"/>
        <v>0.76590359486345627</v>
      </c>
      <c r="AI165" s="251">
        <f t="shared" ca="1" si="48"/>
        <v>0.79271022068367714</v>
      </c>
      <c r="AK165" s="250">
        <f t="shared" ca="1" si="49"/>
        <v>0.76590359486345627</v>
      </c>
    </row>
    <row r="166" spans="2:37" hidden="1" outlineLevel="1">
      <c r="B166" s="71" t="s">
        <v>338</v>
      </c>
      <c r="H166" s="69">
        <f t="shared" si="55"/>
        <v>0</v>
      </c>
      <c r="I166" s="69">
        <f t="shared" si="55"/>
        <v>0</v>
      </c>
      <c r="J166" s="69">
        <f t="shared" si="55"/>
        <v>0</v>
      </c>
      <c r="K166" s="69">
        <f t="shared" si="55"/>
        <v>0</v>
      </c>
      <c r="L166" s="69">
        <f t="shared" si="55"/>
        <v>0</v>
      </c>
      <c r="M166" s="69">
        <f t="shared" si="55"/>
        <v>0</v>
      </c>
      <c r="N166" s="69">
        <f t="shared" si="55"/>
        <v>0</v>
      </c>
      <c r="O166" s="69">
        <f t="shared" si="55"/>
        <v>0</v>
      </c>
      <c r="P166" s="69">
        <f t="shared" si="55"/>
        <v>0</v>
      </c>
      <c r="Q166" s="69">
        <f t="shared" si="55"/>
        <v>0</v>
      </c>
      <c r="R166" s="69">
        <f t="shared" si="55"/>
        <v>0</v>
      </c>
      <c r="S166" s="69">
        <f t="shared" si="55"/>
        <v>1.1661222819147261</v>
      </c>
      <c r="T166" s="69">
        <f t="shared" si="55"/>
        <v>1.1651535206278778</v>
      </c>
      <c r="U166" s="69">
        <f t="shared" si="55"/>
        <v>1.1698848248389946</v>
      </c>
      <c r="V166" s="69">
        <f t="shared" ca="1" si="56"/>
        <v>1.1715509145016616</v>
      </c>
      <c r="W166" s="69">
        <f t="shared" ca="1" si="56"/>
        <v>1.1760379064960986</v>
      </c>
      <c r="X166" s="69">
        <f t="shared" ca="1" si="56"/>
        <v>1.1672832883703212</v>
      </c>
      <c r="Y166" s="251">
        <f t="shared" ca="1" si="57"/>
        <v>1.2110564116842084</v>
      </c>
      <c r="Z166" s="251">
        <f t="shared" ca="1" si="57"/>
        <v>1.2582876117398925</v>
      </c>
      <c r="AA166" s="251">
        <f t="shared" ca="1" si="57"/>
        <v>1.3136522666564479</v>
      </c>
      <c r="AB166" s="251">
        <f t="shared" ca="1" si="57"/>
        <v>1.3594443148081627</v>
      </c>
      <c r="AC166" s="251">
        <f t="shared" ca="1" si="57"/>
        <v>1.4052363629598776</v>
      </c>
      <c r="AD166" s="251">
        <f t="shared" ca="1" si="57"/>
        <v>1.4510284111115923</v>
      </c>
      <c r="AE166" s="251">
        <f t="shared" ca="1" si="54"/>
        <v>1.4968204592633068</v>
      </c>
      <c r="AF166" s="251">
        <f t="shared" ca="1" si="54"/>
        <v>1.5426125074150212</v>
      </c>
      <c r="AG166" s="251">
        <f t="shared" ca="1" si="54"/>
        <v>1.5884045555667354</v>
      </c>
      <c r="AH166" s="263">
        <f t="shared" ca="1" si="47"/>
        <v>1.6341966037184497</v>
      </c>
      <c r="AI166" s="251">
        <f t="shared" ca="1" si="48"/>
        <v>1.6913934848485952</v>
      </c>
      <c r="AK166" s="250">
        <f t="shared" ca="1" si="49"/>
        <v>1.6341966037184497</v>
      </c>
    </row>
    <row r="167" spans="2:37" hidden="1" outlineLevel="1">
      <c r="B167" s="71" t="s">
        <v>339</v>
      </c>
      <c r="H167" s="69">
        <f t="shared" si="55"/>
        <v>0.61324693092907823</v>
      </c>
      <c r="I167" s="69">
        <f t="shared" si="55"/>
        <v>0.59784548444316366</v>
      </c>
      <c r="J167" s="69">
        <f t="shared" si="55"/>
        <v>0.57415449291679954</v>
      </c>
      <c r="K167" s="69">
        <f t="shared" si="55"/>
        <v>0.5623771908809414</v>
      </c>
      <c r="L167" s="69">
        <f t="shared" si="55"/>
        <v>0.8226832417229839</v>
      </c>
      <c r="M167" s="69">
        <f t="shared" si="55"/>
        <v>0.81966160543840005</v>
      </c>
      <c r="N167" s="69">
        <f t="shared" si="55"/>
        <v>0.80925922029492636</v>
      </c>
      <c r="O167" s="69">
        <f t="shared" si="55"/>
        <v>0.79644784262190627</v>
      </c>
      <c r="P167" s="69">
        <f t="shared" si="55"/>
        <v>0.78111228827625967</v>
      </c>
      <c r="Q167" s="69">
        <f t="shared" si="55"/>
        <v>0.77227432213621372</v>
      </c>
      <c r="R167" s="69">
        <f t="shared" si="55"/>
        <v>0.76627647868372084</v>
      </c>
      <c r="S167" s="69">
        <f t="shared" si="55"/>
        <v>0.74792767938235127</v>
      </c>
      <c r="T167" s="69">
        <f t="shared" si="55"/>
        <v>0.73046783786633263</v>
      </c>
      <c r="U167" s="69">
        <f t="shared" si="55"/>
        <v>0.95576321635349093</v>
      </c>
      <c r="V167" s="69">
        <f t="shared" ca="1" si="56"/>
        <v>0.94048505567637564</v>
      </c>
      <c r="W167" s="69">
        <f t="shared" ca="1" si="56"/>
        <v>0.92878394701233491</v>
      </c>
      <c r="X167" s="69">
        <f t="shared" ca="1" si="56"/>
        <v>0.92186942328022214</v>
      </c>
      <c r="Y167" s="251">
        <f t="shared" ca="1" si="57"/>
        <v>0.95643952665323051</v>
      </c>
      <c r="Z167" s="251">
        <f t="shared" ca="1" si="57"/>
        <v>0.99374066819270646</v>
      </c>
      <c r="AA167" s="251">
        <f t="shared" ca="1" si="57"/>
        <v>1.0374652575931855</v>
      </c>
      <c r="AB167" s="251">
        <f t="shared" ca="1" si="57"/>
        <v>1.0736298197359169</v>
      </c>
      <c r="AC167" s="251">
        <f t="shared" ca="1" si="57"/>
        <v>1.1097943818786484</v>
      </c>
      <c r="AD167" s="251">
        <f t="shared" ca="1" si="57"/>
        <v>1.1459589440213804</v>
      </c>
      <c r="AE167" s="251">
        <f t="shared" ca="1" si="54"/>
        <v>1.1821235061641129</v>
      </c>
      <c r="AF167" s="251">
        <f t="shared" ca="1" si="54"/>
        <v>1.2182880683068453</v>
      </c>
      <c r="AG167" s="251">
        <f t="shared" ca="1" si="54"/>
        <v>1.254452630449578</v>
      </c>
      <c r="AH167" s="263">
        <f t="shared" ca="1" si="47"/>
        <v>1.2906171925923109</v>
      </c>
      <c r="AI167" s="251">
        <f t="shared" ca="1" si="48"/>
        <v>1.3357887943330418</v>
      </c>
      <c r="AK167" s="250">
        <f t="shared" ca="1" si="49"/>
        <v>1.2906171925923109</v>
      </c>
    </row>
    <row r="168" spans="2:37" hidden="1" outlineLevel="1">
      <c r="B168" s="71" t="s">
        <v>340</v>
      </c>
      <c r="H168" s="69">
        <f t="shared" si="55"/>
        <v>0</v>
      </c>
      <c r="I168" s="69">
        <f t="shared" si="55"/>
        <v>0</v>
      </c>
      <c r="J168" s="69">
        <f t="shared" si="55"/>
        <v>0</v>
      </c>
      <c r="K168" s="69">
        <f t="shared" si="55"/>
        <v>0</v>
      </c>
      <c r="L168" s="69">
        <f t="shared" si="55"/>
        <v>0</v>
      </c>
      <c r="M168" s="69">
        <f t="shared" si="55"/>
        <v>0</v>
      </c>
      <c r="N168" s="69">
        <f t="shared" si="55"/>
        <v>0</v>
      </c>
      <c r="O168" s="69">
        <f t="shared" si="55"/>
        <v>0</v>
      </c>
      <c r="P168" s="69">
        <f t="shared" si="55"/>
        <v>0</v>
      </c>
      <c r="Q168" s="69">
        <f t="shared" si="55"/>
        <v>0</v>
      </c>
      <c r="R168" s="69">
        <f t="shared" si="55"/>
        <v>0</v>
      </c>
      <c r="S168" s="69">
        <f t="shared" si="55"/>
        <v>0</v>
      </c>
      <c r="T168" s="69">
        <f t="shared" si="55"/>
        <v>0</v>
      </c>
      <c r="U168" s="69">
        <f t="shared" si="55"/>
        <v>0</v>
      </c>
      <c r="V168" s="69">
        <f t="shared" ca="1" si="56"/>
        <v>1.4595424368044051E-7</v>
      </c>
      <c r="W168" s="69">
        <f t="shared" ca="1" si="56"/>
        <v>4.2291588036500456E-7</v>
      </c>
      <c r="X168" s="69">
        <f t="shared" ca="1" si="56"/>
        <v>4.6754506057663324E-7</v>
      </c>
      <c r="Y168" s="181">
        <v>0</v>
      </c>
      <c r="Z168" s="181">
        <v>0</v>
      </c>
      <c r="AA168" s="181">
        <v>0</v>
      </c>
      <c r="AB168" s="181">
        <v>0</v>
      </c>
      <c r="AC168" s="181">
        <v>0</v>
      </c>
      <c r="AD168" s="251">
        <f t="shared" ca="1" si="57"/>
        <v>5.5834988977772559E-2</v>
      </c>
      <c r="AE168" s="251">
        <f t="shared" ca="1" si="54"/>
        <v>0.11166997795554512</v>
      </c>
      <c r="AF168" s="251">
        <f t="shared" ca="1" si="54"/>
        <v>0.16750496693331768</v>
      </c>
      <c r="AG168" s="251">
        <f t="shared" ca="1" si="54"/>
        <v>0.22333995591109021</v>
      </c>
      <c r="AH168" s="263">
        <f t="shared" ca="1" si="47"/>
        <v>0.27917494488886274</v>
      </c>
      <c r="AI168" s="251">
        <f t="shared" ca="1" si="48"/>
        <v>0.28894606795997291</v>
      </c>
      <c r="AK168" s="250">
        <f t="shared" ca="1" si="49"/>
        <v>0.27917494488886274</v>
      </c>
    </row>
    <row r="169" spans="2:37" hidden="1" outlineLevel="1">
      <c r="B169" s="71" t="s">
        <v>341</v>
      </c>
      <c r="H169" s="69">
        <f t="shared" si="55"/>
        <v>0.59465064175688331</v>
      </c>
      <c r="I169" s="69">
        <f t="shared" si="55"/>
        <v>0.80012625992381603</v>
      </c>
      <c r="J169" s="69">
        <f t="shared" si="55"/>
        <v>0.78151742549403636</v>
      </c>
      <c r="K169" s="69">
        <f t="shared" si="55"/>
        <v>0.74385418375206758</v>
      </c>
      <c r="L169" s="69">
        <f t="shared" si="55"/>
        <v>0.77769901414984477</v>
      </c>
      <c r="M169" s="69">
        <f t="shared" si="55"/>
        <v>0.77022168905765298</v>
      </c>
      <c r="N169" s="69">
        <f t="shared" si="55"/>
        <v>0.77439958863893854</v>
      </c>
      <c r="O169" s="69">
        <f t="shared" si="55"/>
        <v>0.9571325228462747</v>
      </c>
      <c r="P169" s="69">
        <f t="shared" si="55"/>
        <v>1.1261800255079775</v>
      </c>
      <c r="Q169" s="69">
        <f t="shared" si="55"/>
        <v>1.3190513985336672</v>
      </c>
      <c r="R169" s="69">
        <f t="shared" si="55"/>
        <v>1.3098402874313526</v>
      </c>
      <c r="S169" s="69">
        <f t="shared" si="55"/>
        <v>1.2820625529308682</v>
      </c>
      <c r="T169" s="69">
        <f t="shared" si="55"/>
        <v>1.4413188644136932</v>
      </c>
      <c r="U169" s="69">
        <f t="shared" si="55"/>
        <v>1.4186555330580433</v>
      </c>
      <c r="V169" s="69">
        <f t="shared" ca="1" si="56"/>
        <v>1.4267822320078984</v>
      </c>
      <c r="W169" s="69">
        <f t="shared" ca="1" si="56"/>
        <v>1.7677468965775025</v>
      </c>
      <c r="X169" s="69">
        <f t="shared" ca="1" si="56"/>
        <v>1.7545871068162227</v>
      </c>
      <c r="Y169" s="251">
        <f t="shared" ref="Y169:AC177" ca="1" si="58">IF(ISBLANK(Y$181),AVERAGE(Z169,X169),X169*(1+Y$181))</f>
        <v>1.8203841233218312</v>
      </c>
      <c r="Z169" s="251">
        <f t="shared" ca="1" si="58"/>
        <v>1.8913791041313825</v>
      </c>
      <c r="AA169" s="251">
        <f t="shared" ca="1" si="58"/>
        <v>1.9745997847131636</v>
      </c>
      <c r="AB169" s="251">
        <f t="shared" ca="1" si="58"/>
        <v>1.9710855297541396</v>
      </c>
      <c r="AC169" s="251">
        <f t="shared" ca="1" si="58"/>
        <v>1.967571274795116</v>
      </c>
      <c r="AD169" s="251">
        <f t="shared" ca="1" si="57"/>
        <v>1.9640570198360923</v>
      </c>
      <c r="AE169" s="251">
        <f t="shared" ca="1" si="54"/>
        <v>1.960542764877069</v>
      </c>
      <c r="AF169" s="251">
        <f t="shared" ca="1" si="54"/>
        <v>1.957028509918046</v>
      </c>
      <c r="AG169" s="251">
        <f t="shared" ca="1" si="54"/>
        <v>1.953514254959023</v>
      </c>
      <c r="AH169" s="263">
        <f t="shared" ca="1" si="47"/>
        <v>1.95</v>
      </c>
      <c r="AI169" s="251">
        <f t="shared" ca="1" si="48"/>
        <v>2.0182499999999997</v>
      </c>
      <c r="AK169" s="250">
        <f t="shared" ca="1" si="49"/>
        <v>1.95</v>
      </c>
    </row>
    <row r="170" spans="2:37" hidden="1" outlineLevel="1">
      <c r="B170" s="71" t="s">
        <v>342</v>
      </c>
      <c r="H170" s="69">
        <f t="shared" si="55"/>
        <v>0.59684552814084879</v>
      </c>
      <c r="I170" s="69">
        <f t="shared" si="55"/>
        <v>0.57644811693134757</v>
      </c>
      <c r="J170" s="69">
        <f t="shared" si="55"/>
        <v>0.63071412664326831</v>
      </c>
      <c r="K170" s="69">
        <f t="shared" si="55"/>
        <v>0.61135680861964181</v>
      </c>
      <c r="L170" s="69">
        <f t="shared" si="55"/>
        <v>0.66006676905402373</v>
      </c>
      <c r="M170" s="69">
        <f t="shared" si="55"/>
        <v>0.66006676905402373</v>
      </c>
      <c r="N170" s="69">
        <f t="shared" si="55"/>
        <v>0.70062449580579889</v>
      </c>
      <c r="O170" s="69">
        <f t="shared" si="55"/>
        <v>0.62225081810426308</v>
      </c>
      <c r="P170" s="69">
        <f t="shared" si="55"/>
        <v>0.60848177964694361</v>
      </c>
      <c r="Q170" s="69">
        <f t="shared" si="55"/>
        <v>0.66181158295505293</v>
      </c>
      <c r="R170" s="69">
        <f t="shared" si="55"/>
        <v>0.68850035720873892</v>
      </c>
      <c r="S170" s="69">
        <f t="shared" si="55"/>
        <v>0.69669007653697834</v>
      </c>
      <c r="T170" s="69">
        <f t="shared" si="55"/>
        <v>0.74663626363801128</v>
      </c>
      <c r="U170" s="69">
        <f t="shared" si="55"/>
        <v>0.78019003868962411</v>
      </c>
      <c r="V170" s="69">
        <f t="shared" ca="1" si="56"/>
        <v>0.86989340197139498</v>
      </c>
      <c r="W170" s="69">
        <f t="shared" ca="1" si="56"/>
        <v>1.0147194753566664</v>
      </c>
      <c r="X170" s="69">
        <f t="shared" ca="1" si="56"/>
        <v>1.0071656174313419</v>
      </c>
      <c r="Y170" s="251">
        <f t="shared" ca="1" si="58"/>
        <v>1.0449343280850174</v>
      </c>
      <c r="Z170" s="251">
        <f t="shared" ca="1" si="58"/>
        <v>1.0856867668803329</v>
      </c>
      <c r="AA170" s="251">
        <f t="shared" ca="1" si="58"/>
        <v>1.1334569846230675</v>
      </c>
      <c r="AB170" s="251">
        <f t="shared" ca="1" si="58"/>
        <v>1.17296768173461</v>
      </c>
      <c r="AC170" s="251">
        <f t="shared" ca="1" si="58"/>
        <v>1.2124783788461531</v>
      </c>
      <c r="AD170" s="251">
        <f t="shared" ca="1" si="57"/>
        <v>1.251989075957697</v>
      </c>
      <c r="AE170" s="251">
        <f t="shared" ca="1" si="57"/>
        <v>1.2914997730692419</v>
      </c>
      <c r="AF170" s="251">
        <f t="shared" ca="1" si="57"/>
        <v>1.3310104701807872</v>
      </c>
      <c r="AG170" s="251">
        <f t="shared" ca="1" si="57"/>
        <v>1.370521167292333</v>
      </c>
      <c r="AH170" s="263">
        <f t="shared" ca="1" si="47"/>
        <v>1.4100318644038785</v>
      </c>
      <c r="AI170" s="251">
        <f t="shared" ca="1" si="48"/>
        <v>1.4593829796580142</v>
      </c>
      <c r="AK170" s="250">
        <f t="shared" ca="1" si="49"/>
        <v>1.4100318644038785</v>
      </c>
    </row>
    <row r="171" spans="2:37" hidden="1" outlineLevel="1">
      <c r="B171" s="71" t="s">
        <v>343</v>
      </c>
      <c r="H171" s="69">
        <f t="shared" si="55"/>
        <v>0</v>
      </c>
      <c r="I171" s="69">
        <f t="shared" si="55"/>
        <v>0.44863006323889376</v>
      </c>
      <c r="J171" s="69">
        <f t="shared" si="55"/>
        <v>0.443016160343497</v>
      </c>
      <c r="K171" s="69">
        <f t="shared" si="55"/>
        <v>0.4265447317460182</v>
      </c>
      <c r="L171" s="69">
        <f t="shared" si="55"/>
        <v>0.40551204411322223</v>
      </c>
      <c r="M171" s="69">
        <f t="shared" si="55"/>
        <v>0.40284424148256348</v>
      </c>
      <c r="N171" s="69">
        <f t="shared" si="55"/>
        <v>0.37287262186502684</v>
      </c>
      <c r="O171" s="69">
        <f t="shared" si="55"/>
        <v>0.54343573111669519</v>
      </c>
      <c r="P171" s="69">
        <f t="shared" si="55"/>
        <v>0.51282577257202633</v>
      </c>
      <c r="Q171" s="69">
        <f t="shared" si="55"/>
        <v>0.49054908139779019</v>
      </c>
      <c r="R171" s="69">
        <f t="shared" si="55"/>
        <v>0.47142748714535099</v>
      </c>
      <c r="S171" s="69">
        <f t="shared" si="55"/>
        <v>0.45678995427532559</v>
      </c>
      <c r="T171" s="69">
        <f t="shared" si="55"/>
        <v>0.43862169273760904</v>
      </c>
      <c r="U171" s="69">
        <f t="shared" si="55"/>
        <v>0.43146427324805015</v>
      </c>
      <c r="V171" s="69">
        <f t="shared" ca="1" si="56"/>
        <v>0.42867380424727425</v>
      </c>
      <c r="W171" s="69">
        <f t="shared" ca="1" si="56"/>
        <v>0.41812583686770188</v>
      </c>
      <c r="X171" s="69">
        <f t="shared" ca="1" si="56"/>
        <v>0.4150131487931038</v>
      </c>
      <c r="Y171" s="251">
        <f t="shared" ca="1" si="58"/>
        <v>0.43057614187284521</v>
      </c>
      <c r="Z171" s="251">
        <f t="shared" ca="1" si="58"/>
        <v>0.44736861140588613</v>
      </c>
      <c r="AA171" s="251">
        <f t="shared" ca="1" si="58"/>
        <v>0.46705283030774514</v>
      </c>
      <c r="AB171" s="251">
        <f t="shared" ca="1" si="58"/>
        <v>0.50676623380522134</v>
      </c>
      <c r="AC171" s="251">
        <f t="shared" ca="1" si="58"/>
        <v>0.54647963730269811</v>
      </c>
      <c r="AD171" s="251">
        <f t="shared" ca="1" si="57"/>
        <v>0.58619304080017542</v>
      </c>
      <c r="AE171" s="251">
        <f t="shared" ca="1" si="57"/>
        <v>0.6259064442976533</v>
      </c>
      <c r="AF171" s="251">
        <f t="shared" ca="1" si="57"/>
        <v>0.66561984779513161</v>
      </c>
      <c r="AG171" s="251">
        <f t="shared" ca="1" si="57"/>
        <v>0.70533325129261004</v>
      </c>
      <c r="AH171" s="263">
        <f t="shared" ca="1" si="47"/>
        <v>0.74504665479008847</v>
      </c>
      <c r="AI171" s="251">
        <f t="shared" ca="1" si="48"/>
        <v>0.77112328770774152</v>
      </c>
      <c r="AK171" s="250">
        <f t="shared" ca="1" si="49"/>
        <v>0.74504665479008847</v>
      </c>
    </row>
    <row r="172" spans="2:37" hidden="1" outlineLevel="1">
      <c r="B172" s="71" t="s">
        <v>344</v>
      </c>
      <c r="H172" s="69">
        <f t="shared" si="55"/>
        <v>0</v>
      </c>
      <c r="I172" s="69">
        <f t="shared" si="55"/>
        <v>0</v>
      </c>
      <c r="J172" s="69">
        <f t="shared" si="55"/>
        <v>0</v>
      </c>
      <c r="K172" s="69">
        <f t="shared" si="55"/>
        <v>0</v>
      </c>
      <c r="L172" s="69">
        <f t="shared" si="55"/>
        <v>0</v>
      </c>
      <c r="M172" s="69">
        <f t="shared" si="55"/>
        <v>0</v>
      </c>
      <c r="N172" s="69">
        <f t="shared" si="55"/>
        <v>0</v>
      </c>
      <c r="O172" s="69">
        <f t="shared" si="55"/>
        <v>0</v>
      </c>
      <c r="P172" s="69">
        <f t="shared" si="55"/>
        <v>0</v>
      </c>
      <c r="Q172" s="69">
        <f t="shared" si="55"/>
        <v>0</v>
      </c>
      <c r="R172" s="69">
        <f t="shared" si="55"/>
        <v>0</v>
      </c>
      <c r="S172" s="69">
        <f t="shared" si="55"/>
        <v>0</v>
      </c>
      <c r="T172" s="69">
        <f t="shared" si="55"/>
        <v>0</v>
      </c>
      <c r="U172" s="69">
        <f t="shared" si="55"/>
        <v>0</v>
      </c>
      <c r="V172" s="69">
        <f t="shared" ca="1" si="56"/>
        <v>2.2757268741032499E-7</v>
      </c>
      <c r="W172" s="69">
        <f t="shared" ca="1" si="56"/>
        <v>4.0185064239090937E-7</v>
      </c>
      <c r="X172" s="69">
        <f t="shared" ca="1" si="56"/>
        <v>2.5199788110257079E-7</v>
      </c>
      <c r="Y172" s="251">
        <f t="shared" ca="1" si="58"/>
        <v>2.6144780164391722E-7</v>
      </c>
      <c r="Z172" s="251">
        <f t="shared" ca="1" si="58"/>
        <v>2.7164426590802999E-7</v>
      </c>
      <c r="AA172" s="251">
        <f t="shared" ca="1" si="58"/>
        <v>2.8359661360798333E-7</v>
      </c>
      <c r="AB172" s="251">
        <f t="shared" ca="1" si="58"/>
        <v>0.1285230739701507</v>
      </c>
      <c r="AC172" s="251">
        <f t="shared" ca="1" si="58"/>
        <v>0.25704586554485892</v>
      </c>
      <c r="AD172" s="251">
        <f t="shared" ca="1" si="57"/>
        <v>0.38556865846907062</v>
      </c>
      <c r="AE172" s="251">
        <f t="shared" ca="1" si="57"/>
        <v>0.51409145260914291</v>
      </c>
      <c r="AF172" s="251">
        <f t="shared" ca="1" si="57"/>
        <v>0.64261424762770003</v>
      </c>
      <c r="AG172" s="251">
        <f t="shared" ca="1" si="57"/>
        <v>0.77113704308549957</v>
      </c>
      <c r="AH172" s="263">
        <f t="shared" ca="1" si="47"/>
        <v>0.89965983854329901</v>
      </c>
      <c r="AI172" s="251">
        <f t="shared" ca="1" si="48"/>
        <v>0.93114793289231435</v>
      </c>
      <c r="AK172" s="250">
        <f t="shared" ca="1" si="49"/>
        <v>0.89965983854329901</v>
      </c>
    </row>
    <row r="173" spans="2:37" hidden="1" outlineLevel="1">
      <c r="B173" s="71" t="s">
        <v>345</v>
      </c>
      <c r="H173" s="69">
        <f t="shared" si="55"/>
        <v>0.30850995399653819</v>
      </c>
      <c r="I173" s="69">
        <f t="shared" si="55"/>
        <v>0.4560120861443312</v>
      </c>
      <c r="J173" s="69">
        <f t="shared" si="55"/>
        <v>0.90547217582096517</v>
      </c>
      <c r="K173" s="69">
        <f t="shared" si="55"/>
        <v>1.0600873486230287</v>
      </c>
      <c r="L173" s="69">
        <f t="shared" si="55"/>
        <v>1.2265975160051044</v>
      </c>
      <c r="M173" s="69">
        <f t="shared" si="55"/>
        <v>1.270335692558437</v>
      </c>
      <c r="N173" s="69">
        <f t="shared" si="55"/>
        <v>1.3022632847540294</v>
      </c>
      <c r="O173" s="69">
        <f t="shared" si="55"/>
        <v>1.1643266611594016</v>
      </c>
      <c r="P173" s="69">
        <f t="shared" si="55"/>
        <v>1.1483572820852102</v>
      </c>
      <c r="Q173" s="69">
        <f t="shared" si="55"/>
        <v>1.3024406000257014</v>
      </c>
      <c r="R173" s="69">
        <f t="shared" si="55"/>
        <v>1.4255949898889675</v>
      </c>
      <c r="S173" s="69">
        <f t="shared" si="55"/>
        <v>1.410125774758354</v>
      </c>
      <c r="T173" s="69">
        <f t="shared" si="55"/>
        <v>1.398266792380173</v>
      </c>
      <c r="U173" s="69">
        <f t="shared" si="55"/>
        <v>1.3579956201925258</v>
      </c>
      <c r="V173" s="69">
        <f t="shared" ca="1" si="56"/>
        <v>1.3416416568798883</v>
      </c>
      <c r="W173" s="69">
        <f t="shared" ca="1" si="56"/>
        <v>1.332809073438262</v>
      </c>
      <c r="X173" s="69">
        <f t="shared" ca="1" si="56"/>
        <v>1.3228877751046442</v>
      </c>
      <c r="Y173" s="251">
        <f t="shared" ca="1" si="58"/>
        <v>1.3724960666710684</v>
      </c>
      <c r="Z173" s="251">
        <f t="shared" ca="1" si="58"/>
        <v>1.4260234132712399</v>
      </c>
      <c r="AA173" s="251">
        <f t="shared" ca="1" si="58"/>
        <v>1.4887684434551745</v>
      </c>
      <c r="AB173" s="251">
        <f t="shared" ca="1" si="58"/>
        <v>1.5406647922682208</v>
      </c>
      <c r="AC173" s="251">
        <f t="shared" ca="1" si="58"/>
        <v>1.5925611410812675</v>
      </c>
      <c r="AD173" s="251">
        <f t="shared" ca="1" si="57"/>
        <v>1.6444574898943141</v>
      </c>
      <c r="AE173" s="251">
        <f t="shared" ca="1" si="57"/>
        <v>1.6963538387073609</v>
      </c>
      <c r="AF173" s="251">
        <f t="shared" ca="1" si="57"/>
        <v>1.7482501875204077</v>
      </c>
      <c r="AG173" s="251">
        <f t="shared" ca="1" si="57"/>
        <v>1.8001465363334548</v>
      </c>
      <c r="AH173" s="263">
        <f t="shared" ca="1" si="47"/>
        <v>1.8520428851465016</v>
      </c>
      <c r="AI173" s="251">
        <f t="shared" ca="1" si="48"/>
        <v>1.916864386126629</v>
      </c>
      <c r="AK173" s="250">
        <f t="shared" ca="1" si="49"/>
        <v>1.8520428851465016</v>
      </c>
    </row>
    <row r="174" spans="2:37" hidden="1" outlineLevel="1">
      <c r="B174" s="71" t="s">
        <v>346</v>
      </c>
      <c r="H174" s="69">
        <f t="shared" si="55"/>
        <v>0</v>
      </c>
      <c r="I174" s="69">
        <f t="shared" si="55"/>
        <v>0</v>
      </c>
      <c r="J174" s="69">
        <f t="shared" si="55"/>
        <v>0</v>
      </c>
      <c r="K174" s="69">
        <f t="shared" si="55"/>
        <v>0</v>
      </c>
      <c r="L174" s="69">
        <f t="shared" si="55"/>
        <v>0</v>
      </c>
      <c r="M174" s="69">
        <f t="shared" si="55"/>
        <v>0</v>
      </c>
      <c r="N174" s="69">
        <f t="shared" si="55"/>
        <v>0</v>
      </c>
      <c r="O174" s="69">
        <f t="shared" si="55"/>
        <v>0</v>
      </c>
      <c r="P174" s="69">
        <f t="shared" si="55"/>
        <v>0</v>
      </c>
      <c r="Q174" s="69">
        <f t="shared" si="55"/>
        <v>0</v>
      </c>
      <c r="R174" s="69">
        <f t="shared" si="55"/>
        <v>0.15823052700417553</v>
      </c>
      <c r="S174" s="69">
        <f t="shared" si="55"/>
        <v>0.15300308331813503</v>
      </c>
      <c r="T174" s="69">
        <f t="shared" si="55"/>
        <v>0.14609015983432208</v>
      </c>
      <c r="U174" s="69">
        <f t="shared" si="55"/>
        <v>0.56743085890448675</v>
      </c>
      <c r="V174" s="69">
        <f t="shared" ca="1" si="56"/>
        <v>0.71835685403715499</v>
      </c>
      <c r="W174" s="69">
        <f t="shared" ca="1" si="56"/>
        <v>0.69621140311489438</v>
      </c>
      <c r="X174" s="69">
        <f t="shared" ca="1" si="56"/>
        <v>0.6910281086163248</v>
      </c>
      <c r="Y174" s="251">
        <f t="shared" ca="1" si="58"/>
        <v>0.71694166268943704</v>
      </c>
      <c r="Z174" s="251">
        <f t="shared" ca="1" si="58"/>
        <v>0.74490238753432503</v>
      </c>
      <c r="AA174" s="251">
        <f t="shared" ca="1" si="58"/>
        <v>0.77767809258583531</v>
      </c>
      <c r="AB174" s="251">
        <f t="shared" ca="1" si="58"/>
        <v>0.80478684393969302</v>
      </c>
      <c r="AC174" s="251">
        <f t="shared" ca="1" si="58"/>
        <v>0.83189559529355162</v>
      </c>
      <c r="AD174" s="251">
        <f t="shared" ca="1" si="57"/>
        <v>0.8590043466474111</v>
      </c>
      <c r="AE174" s="251">
        <f t="shared" ca="1" si="57"/>
        <v>0.88611309800127147</v>
      </c>
      <c r="AF174" s="251">
        <f t="shared" ca="1" si="57"/>
        <v>0.91322184935513229</v>
      </c>
      <c r="AG174" s="251">
        <f t="shared" ca="1" si="57"/>
        <v>0.94033060070899355</v>
      </c>
      <c r="AH174" s="263">
        <f t="shared" ca="1" si="47"/>
        <v>0.9674393520628547</v>
      </c>
      <c r="AI174" s="251">
        <f t="shared" ca="1" si="48"/>
        <v>1.0012997293850545</v>
      </c>
      <c r="AK174" s="250">
        <f t="shared" ca="1" si="49"/>
        <v>0.9674393520628547</v>
      </c>
    </row>
    <row r="175" spans="2:37" hidden="1" outlineLevel="1">
      <c r="B175" s="71" t="s">
        <v>347</v>
      </c>
      <c r="H175" s="69">
        <f t="shared" si="55"/>
        <v>0</v>
      </c>
      <c r="I175" s="69">
        <f t="shared" si="55"/>
        <v>0</v>
      </c>
      <c r="J175" s="69">
        <f t="shared" si="55"/>
        <v>0</v>
      </c>
      <c r="K175" s="69">
        <f t="shared" si="55"/>
        <v>0</v>
      </c>
      <c r="L175" s="69">
        <f t="shared" si="55"/>
        <v>0</v>
      </c>
      <c r="M175" s="69">
        <f t="shared" si="55"/>
        <v>0</v>
      </c>
      <c r="N175" s="69">
        <f t="shared" si="55"/>
        <v>0</v>
      </c>
      <c r="O175" s="69">
        <f t="shared" si="55"/>
        <v>0</v>
      </c>
      <c r="P175" s="69">
        <f t="shared" si="55"/>
        <v>0</v>
      </c>
      <c r="Q175" s="69">
        <f t="shared" si="55"/>
        <v>0</v>
      </c>
      <c r="R175" s="69">
        <f t="shared" si="55"/>
        <v>0</v>
      </c>
      <c r="S175" s="69">
        <f t="shared" si="55"/>
        <v>0</v>
      </c>
      <c r="T175" s="69">
        <f t="shared" si="55"/>
        <v>0</v>
      </c>
      <c r="U175" s="69">
        <f t="shared" si="55"/>
        <v>0</v>
      </c>
      <c r="V175" s="69">
        <f t="shared" ca="1" si="56"/>
        <v>4.220196699438562E-7</v>
      </c>
      <c r="W175" s="69">
        <f t="shared" ca="1" si="56"/>
        <v>5.231803204772047E-7</v>
      </c>
      <c r="X175" s="69">
        <f t="shared" ca="1" si="56"/>
        <v>2.7900337235395665E-7</v>
      </c>
      <c r="Y175" s="181">
        <v>0</v>
      </c>
      <c r="Z175" s="181">
        <v>0</v>
      </c>
      <c r="AA175" s="251">
        <f t="shared" si="58"/>
        <v>0</v>
      </c>
      <c r="AB175" s="251">
        <f t="shared" ca="1" si="58"/>
        <v>7.5047511259869623E-2</v>
      </c>
      <c r="AC175" s="251">
        <f t="shared" ca="1" si="58"/>
        <v>0.15009502292483909</v>
      </c>
      <c r="AD175" s="251">
        <f t="shared" ca="1" si="57"/>
        <v>0.22514253504493409</v>
      </c>
      <c r="AE175" s="251">
        <f t="shared" ca="1" si="57"/>
        <v>0.30019004757508305</v>
      </c>
      <c r="AF175" s="251">
        <f t="shared" ca="1" si="57"/>
        <v>0.37523756040150452</v>
      </c>
      <c r="AG175" s="251">
        <f t="shared" ca="1" si="57"/>
        <v>0.45028507337606227</v>
      </c>
      <c r="AH175" s="263">
        <f t="shared" ca="1" si="47"/>
        <v>0.52533258635062008</v>
      </c>
      <c r="AI175" s="251">
        <f t="shared" ca="1" si="48"/>
        <v>0.54371922687289176</v>
      </c>
      <c r="AK175" s="250">
        <f t="shared" ca="1" si="49"/>
        <v>0.52533258635062008</v>
      </c>
    </row>
    <row r="176" spans="2:37" hidden="1" outlineLevel="1">
      <c r="B176" s="71" t="s">
        <v>348</v>
      </c>
      <c r="H176" s="69">
        <f t="shared" ref="H176:W178" si="59">+H53/(H123/1000)</f>
        <v>0.20581709076307303</v>
      </c>
      <c r="I176" s="69">
        <f t="shared" si="59"/>
        <v>0.20207090344688505</v>
      </c>
      <c r="J176" s="69">
        <f t="shared" si="59"/>
        <v>0.19376056116158683</v>
      </c>
      <c r="K176" s="69">
        <f t="shared" si="59"/>
        <v>0.57034480765691697</v>
      </c>
      <c r="L176" s="69">
        <f t="shared" si="59"/>
        <v>0.5733310476535568</v>
      </c>
      <c r="M176" s="69">
        <f t="shared" si="59"/>
        <v>0.58152506499027201</v>
      </c>
      <c r="N176" s="69">
        <f t="shared" si="59"/>
        <v>0.57616962433740493</v>
      </c>
      <c r="O176" s="69">
        <f t="shared" si="59"/>
        <v>0.58041494251183456</v>
      </c>
      <c r="P176" s="69">
        <f t="shared" si="59"/>
        <v>0.58501393210679309</v>
      </c>
      <c r="Q176" s="69">
        <f t="shared" si="59"/>
        <v>0.57228339931760919</v>
      </c>
      <c r="R176" s="69">
        <f t="shared" si="59"/>
        <v>0.76284604126768241</v>
      </c>
      <c r="S176" s="69">
        <f t="shared" si="59"/>
        <v>0.7453886530976116</v>
      </c>
      <c r="T176" s="69">
        <f t="shared" si="59"/>
        <v>0.7325396876267638</v>
      </c>
      <c r="U176" s="69">
        <f t="shared" si="59"/>
        <v>0.72844565722552523</v>
      </c>
      <c r="V176" s="69">
        <f t="shared" ref="V176:X177" ca="1" si="60">+V53/(V123/1000)+0.000001*RAND()</f>
        <v>0.71652735847123128</v>
      </c>
      <c r="W176" s="69">
        <f t="shared" ca="1" si="60"/>
        <v>0.71863190538175248</v>
      </c>
      <c r="X176" s="69">
        <f t="shared" ca="1" si="60"/>
        <v>0.71328296776784772</v>
      </c>
      <c r="Y176" s="251">
        <f ca="1">IF(ISBLANK(Y$181),AVERAGE(Z176,X176),X176*(1+Y$181))</f>
        <v>0.74003107905914212</v>
      </c>
      <c r="Z176" s="251">
        <f ca="1">IF(ISBLANK(Z$181),AVERAGE(AA176,Y176),Y176*(1+Z$181))</f>
        <v>0.76889229114244861</v>
      </c>
      <c r="AA176" s="251">
        <f t="shared" ca="1" si="58"/>
        <v>0.80272355195271639</v>
      </c>
      <c r="AB176" s="251">
        <f t="shared" ca="1" si="58"/>
        <v>0.83070535237017951</v>
      </c>
      <c r="AC176" s="251">
        <f t="shared" ca="1" si="58"/>
        <v>0.85868715278764429</v>
      </c>
      <c r="AD176" s="251">
        <f t="shared" ca="1" si="57"/>
        <v>0.88666895320511063</v>
      </c>
      <c r="AE176" s="251">
        <f t="shared" ca="1" si="57"/>
        <v>0.91465075362257853</v>
      </c>
      <c r="AF176" s="251">
        <f t="shared" ca="1" si="57"/>
        <v>0.94263255404004753</v>
      </c>
      <c r="AG176" s="251">
        <f t="shared" ca="1" si="57"/>
        <v>0.9706143544575172</v>
      </c>
      <c r="AH176" s="263">
        <f t="shared" ca="1" si="47"/>
        <v>0.99859615487498676</v>
      </c>
      <c r="AI176" s="251">
        <f t="shared" ca="1" si="48"/>
        <v>1.0335470202956112</v>
      </c>
      <c r="AK176" s="250">
        <f t="shared" ca="1" si="49"/>
        <v>0.99859615487498676</v>
      </c>
    </row>
    <row r="177" spans="2:37" hidden="1" outlineLevel="1">
      <c r="B177" s="71" t="s">
        <v>349</v>
      </c>
      <c r="H177" s="69">
        <f t="shared" si="59"/>
        <v>0</v>
      </c>
      <c r="I177" s="69">
        <f t="shared" si="59"/>
        <v>0</v>
      </c>
      <c r="J177" s="69">
        <f t="shared" si="59"/>
        <v>0</v>
      </c>
      <c r="K177" s="69">
        <f t="shared" si="59"/>
        <v>0</v>
      </c>
      <c r="L177" s="69">
        <f t="shared" si="59"/>
        <v>0</v>
      </c>
      <c r="M177" s="69">
        <f t="shared" si="59"/>
        <v>0</v>
      </c>
      <c r="N177" s="69">
        <f t="shared" si="59"/>
        <v>0</v>
      </c>
      <c r="O177" s="69">
        <f t="shared" si="59"/>
        <v>0</v>
      </c>
      <c r="P177" s="69">
        <f t="shared" si="59"/>
        <v>0</v>
      </c>
      <c r="Q177" s="69">
        <f t="shared" si="59"/>
        <v>0</v>
      </c>
      <c r="R177" s="69">
        <f t="shared" si="59"/>
        <v>0</v>
      </c>
      <c r="S177" s="69">
        <f t="shared" si="59"/>
        <v>0</v>
      </c>
      <c r="T177" s="69">
        <f t="shared" si="59"/>
        <v>0</v>
      </c>
      <c r="U177" s="69">
        <f t="shared" si="59"/>
        <v>0</v>
      </c>
      <c r="V177" s="69">
        <f t="shared" ca="1" si="60"/>
        <v>2.4491116508682255E-7</v>
      </c>
      <c r="W177" s="69">
        <f t="shared" ca="1" si="60"/>
        <v>4.2849255959317809E-7</v>
      </c>
      <c r="X177" s="69">
        <f t="shared" ca="1" si="60"/>
        <v>7.6031181588810148E-7</v>
      </c>
      <c r="Y177" s="251">
        <f ca="1">IF(ISBLANK(Y$181),AVERAGE(Z177,X177),X177*(1+Y$181))</f>
        <v>7.8882350898390533E-7</v>
      </c>
      <c r="Z177" s="251">
        <f ca="1">IF(ISBLANK(Z$181),AVERAGE(AA177,Y177),Y177*(1+Z$181))</f>
        <v>8.1958762583427754E-7</v>
      </c>
      <c r="AA177" s="251">
        <f t="shared" ca="1" si="58"/>
        <v>8.5564948137098575E-7</v>
      </c>
      <c r="AB177" s="251">
        <f t="shared" ca="1" si="58"/>
        <v>9.1189101098197695E-2</v>
      </c>
      <c r="AC177" s="251">
        <f t="shared" ca="1" si="58"/>
        <v>0.1823773469484527</v>
      </c>
      <c r="AD177" s="251">
        <f t="shared" ca="1" si="57"/>
        <v>0.27356559324983243</v>
      </c>
      <c r="AE177" s="251">
        <f t="shared" ca="1" si="57"/>
        <v>0.36475383995766136</v>
      </c>
      <c r="AF177" s="251">
        <f t="shared" ca="1" si="57"/>
        <v>0.45594208695915839</v>
      </c>
      <c r="AG177" s="251">
        <f t="shared" ca="1" si="57"/>
        <v>0.54713033410748946</v>
      </c>
      <c r="AH177" s="263">
        <f t="shared" ca="1" si="47"/>
        <v>0.63831858125582053</v>
      </c>
      <c r="AI177" s="251">
        <f t="shared" ca="1" si="48"/>
        <v>0.6606597315997742</v>
      </c>
      <c r="AK177" s="250">
        <f t="shared" ca="1" si="49"/>
        <v>0.63831858125582053</v>
      </c>
    </row>
    <row r="178" spans="2:37" collapsed="1">
      <c r="B178" s="286" t="s">
        <v>352</v>
      </c>
      <c r="C178" s="280"/>
      <c r="D178" s="280"/>
      <c r="E178" s="280"/>
      <c r="F178" s="280"/>
      <c r="G178" s="280"/>
      <c r="H178" s="290">
        <f t="shared" si="59"/>
        <v>0.24323918060486932</v>
      </c>
      <c r="I178" s="290">
        <f t="shared" si="59"/>
        <v>0.27598376203813363</v>
      </c>
      <c r="J178" s="290">
        <f t="shared" si="59"/>
        <v>0.31281839428059421</v>
      </c>
      <c r="K178" s="290">
        <f>+K55/(K125/1000)</f>
        <v>0.35651547747854767</v>
      </c>
      <c r="L178" s="290">
        <f>+L55/(L125/1000)</f>
        <v>0.39824987294505854</v>
      </c>
      <c r="M178" s="290">
        <f t="shared" si="59"/>
        <v>0.40098473832036724</v>
      </c>
      <c r="N178" s="290">
        <f t="shared" si="59"/>
        <v>0.42006353799509988</v>
      </c>
      <c r="O178" s="290">
        <f t="shared" si="59"/>
        <v>0.43395507349111534</v>
      </c>
      <c r="P178" s="290">
        <f t="shared" si="59"/>
        <v>0.47335512673708452</v>
      </c>
      <c r="Q178" s="290">
        <f t="shared" si="59"/>
        <v>0.52151172362932874</v>
      </c>
      <c r="R178" s="290">
        <f t="shared" si="59"/>
        <v>0.56370124718232928</v>
      </c>
      <c r="S178" s="290">
        <f t="shared" si="59"/>
        <v>0.61054317092991883</v>
      </c>
      <c r="T178" s="290">
        <f t="shared" si="59"/>
        <v>0.65591713520540107</v>
      </c>
      <c r="U178" s="290">
        <f t="shared" si="59"/>
        <v>0.70312839701244334</v>
      </c>
      <c r="V178" s="290">
        <f t="shared" si="59"/>
        <v>0.75595110591662229</v>
      </c>
      <c r="W178" s="290">
        <f t="shared" si="59"/>
        <v>0.79552391691462798</v>
      </c>
      <c r="X178" s="290">
        <f t="shared" ref="X178:AH178" si="61">+X55/(X125/1000)</f>
        <v>0.80422416010117648</v>
      </c>
      <c r="Y178" s="290">
        <f t="shared" ca="1" si="61"/>
        <v>0.83438301659287584</v>
      </c>
      <c r="Z178" s="290">
        <f t="shared" ca="1" si="61"/>
        <v>0.86692395423999813</v>
      </c>
      <c r="AA178" s="290">
        <f t="shared" ca="1" si="61"/>
        <v>0.90506860822655766</v>
      </c>
      <c r="AB178" s="290">
        <f t="shared" ca="1" si="61"/>
        <v>0.94387098266369862</v>
      </c>
      <c r="AC178" s="290">
        <f t="shared" ca="1" si="61"/>
        <v>0.9826733571161832</v>
      </c>
      <c r="AD178" s="290">
        <f t="shared" ca="1" si="61"/>
        <v>1.0219016411562707</v>
      </c>
      <c r="AE178" s="290">
        <f t="shared" ca="1" si="61"/>
        <v>1.0613788196219478</v>
      </c>
      <c r="AF178" s="290">
        <f t="shared" ca="1" si="61"/>
        <v>1.10111934483598</v>
      </c>
      <c r="AG178" s="290">
        <f t="shared" ca="1" si="61"/>
        <v>1.1408598700556243</v>
      </c>
      <c r="AH178" s="290">
        <f t="shared" ca="1" si="61"/>
        <v>1.1806003952752679</v>
      </c>
      <c r="AI178" s="251">
        <f t="shared" ca="1" si="48"/>
        <v>1.2219214091099022</v>
      </c>
    </row>
    <row r="179" spans="2:37">
      <c r="B179" s="3" t="s">
        <v>474</v>
      </c>
      <c r="H179" s="69">
        <f t="shared" ref="H179" si="62">SUM(H5:H54)/(SUMIFS(H75:H124,H5:H54,"&gt;0")/1000)</f>
        <v>0.46327239919454183</v>
      </c>
      <c r="I179" s="69">
        <f t="shared" ref="I179" si="63">SUM(I5:I54)/(SUMIFS(I75:I124,I5:I54,"&gt;0")/1000)</f>
        <v>0.48164911827227652</v>
      </c>
      <c r="J179" s="69">
        <f t="shared" ref="J179" si="64">SUM(J5:J54)/(SUMIFS(J75:J124,J5:J54,"&gt;0")/1000)</f>
        <v>0.48088842900688766</v>
      </c>
      <c r="K179" s="69">
        <f>SUM(K5:K54)/(SUMIFS(K75:K124,K5:K54,"&gt;0")/1000)</f>
        <v>0.52152516150219985</v>
      </c>
      <c r="L179" s="69">
        <f>SUM(L5:L54)/(SUMIFS(L75:L124,L5:L54,"&gt;0")/1000)</f>
        <v>0.5768770321446588</v>
      </c>
      <c r="M179" s="69">
        <f t="shared" ref="M179:AH179" si="65">SUM(M5:M54)/(SUMIFS(M75:M124,M5:M54,"&gt;0")/1000)</f>
        <v>0.57914187748796819</v>
      </c>
      <c r="N179" s="69">
        <f t="shared" si="65"/>
        <v>0.61299018690195806</v>
      </c>
      <c r="O179" s="69">
        <f t="shared" si="65"/>
        <v>0.60458992918320587</v>
      </c>
      <c r="P179" s="69">
        <f t="shared" si="65"/>
        <v>0.6116294244300694</v>
      </c>
      <c r="Q179" s="69">
        <f t="shared" si="65"/>
        <v>0.67218319374944746</v>
      </c>
      <c r="R179" s="69">
        <f t="shared" si="65"/>
        <v>0.65695986359328984</v>
      </c>
      <c r="S179" s="69">
        <f t="shared" si="65"/>
        <v>0.67216310032524351</v>
      </c>
      <c r="T179" s="69">
        <f t="shared" si="65"/>
        <v>0.69297368346316057</v>
      </c>
      <c r="U179" s="69">
        <f t="shared" si="65"/>
        <v>0.73592741588607991</v>
      </c>
      <c r="V179" s="69">
        <f t="shared" si="65"/>
        <v>0.79074392093505008</v>
      </c>
      <c r="W179" s="69">
        <f t="shared" si="65"/>
        <v>0.8321762647957136</v>
      </c>
      <c r="X179" s="69">
        <f t="shared" si="65"/>
        <v>0.84127735619454536</v>
      </c>
      <c r="Y179" s="69">
        <f t="shared" ca="1" si="65"/>
        <v>0.86803345251984465</v>
      </c>
      <c r="Z179" s="69">
        <f t="shared" ca="1" si="65"/>
        <v>0.90188675716811884</v>
      </c>
      <c r="AA179" s="69">
        <f t="shared" ca="1" si="65"/>
        <v>0.94156977448351575</v>
      </c>
      <c r="AB179" s="69">
        <f t="shared" ca="1" si="65"/>
        <v>0.96607515516224585</v>
      </c>
      <c r="AC179" s="69">
        <f t="shared" ca="1" si="65"/>
        <v>1.0057903393435179</v>
      </c>
      <c r="AD179" s="69">
        <f t="shared" ca="1" si="65"/>
        <v>1.0299904325461511</v>
      </c>
      <c r="AE179" s="69">
        <f t="shared" ca="1" si="65"/>
        <v>1.0662828007046805</v>
      </c>
      <c r="AF179" s="69">
        <f t="shared" ca="1" si="65"/>
        <v>1.10111934483598</v>
      </c>
      <c r="AG179" s="69">
        <f t="shared" ca="1" si="65"/>
        <v>1.1408598700556243</v>
      </c>
      <c r="AH179" s="69">
        <f t="shared" ca="1" si="65"/>
        <v>1.1806003952752679</v>
      </c>
      <c r="AI179" s="251">
        <f t="shared" ca="1" si="48"/>
        <v>1.2219214091099022</v>
      </c>
    </row>
    <row r="180" spans="2:37">
      <c r="B180" s="71" t="s">
        <v>354</v>
      </c>
      <c r="H180" s="66"/>
      <c r="I180" s="14">
        <f t="shared" ref="I180:X180" si="66">+I178/H178-1</f>
        <v>0.13461886095750475</v>
      </c>
      <c r="J180" s="14">
        <f t="shared" si="66"/>
        <v>0.13346666474301849</v>
      </c>
      <c r="K180" s="14">
        <f t="shared" si="66"/>
        <v>0.13968834313099165</v>
      </c>
      <c r="L180" s="14">
        <f t="shared" si="66"/>
        <v>0.11706194570198458</v>
      </c>
      <c r="M180" s="14">
        <f t="shared" si="66"/>
        <v>6.8672096618245249E-3</v>
      </c>
      <c r="N180" s="14">
        <f t="shared" si="66"/>
        <v>4.7579864896228674E-2</v>
      </c>
      <c r="O180" s="14">
        <f t="shared" si="66"/>
        <v>3.307008164126235E-2</v>
      </c>
      <c r="P180" s="14">
        <f t="shared" si="66"/>
        <v>9.0792931464081184E-2</v>
      </c>
      <c r="Q180" s="14">
        <f t="shared" si="66"/>
        <v>0.10173460510335164</v>
      </c>
      <c r="R180" s="14">
        <f t="shared" si="66"/>
        <v>8.0898514149199352E-2</v>
      </c>
      <c r="S180" s="14">
        <f t="shared" si="66"/>
        <v>8.3097073106951136E-2</v>
      </c>
      <c r="T180" s="14">
        <f t="shared" si="66"/>
        <v>7.4317372523179825E-2</v>
      </c>
      <c r="U180" s="14">
        <f t="shared" si="66"/>
        <v>7.1977478972641951E-2</v>
      </c>
      <c r="V180" s="14">
        <f t="shared" si="66"/>
        <v>7.5125267488299396E-2</v>
      </c>
      <c r="W180" s="14">
        <f t="shared" si="66"/>
        <v>5.2348373708670071E-2</v>
      </c>
      <c r="X180" s="14">
        <f t="shared" si="66"/>
        <v>1.0936494807461727E-2</v>
      </c>
      <c r="Y180" s="14">
        <f ca="1">+Y178/X178-1</f>
        <v>3.7500560152166074E-2</v>
      </c>
      <c r="Z180" s="14">
        <f t="shared" ref="Z180:AH180" ca="1" si="67">+Z178/Y178-1</f>
        <v>3.9000000000000146E-2</v>
      </c>
      <c r="AA180" s="14">
        <f t="shared" ca="1" si="67"/>
        <v>4.3999999999999595E-2</v>
      </c>
      <c r="AB180" s="14">
        <f t="shared" ca="1" si="67"/>
        <v>4.2872301706687654E-2</v>
      </c>
      <c r="AC180" s="14">
        <f t="shared" ca="1" si="67"/>
        <v>4.1109828742674548E-2</v>
      </c>
      <c r="AD180" s="14">
        <f t="shared" ca="1" si="67"/>
        <v>3.991996298262257E-2</v>
      </c>
      <c r="AE180" s="14">
        <f t="shared" ca="1" si="67"/>
        <v>3.8631094105112895E-2</v>
      </c>
      <c r="AF180" s="14">
        <f t="shared" ca="1" si="67"/>
        <v>3.7442357506424884E-2</v>
      </c>
      <c r="AG180" s="14">
        <f t="shared" ca="1" si="67"/>
        <v>3.6091024470707112E-2</v>
      </c>
      <c r="AH180" s="14">
        <f t="shared" ca="1" si="67"/>
        <v>3.4833835655649903E-2</v>
      </c>
      <c r="AI180" s="221">
        <f t="shared" ca="1" si="48"/>
        <v>3.6053019903597647E-2</v>
      </c>
    </row>
    <row r="181" spans="2:37">
      <c r="B181" s="71" t="s">
        <v>394</v>
      </c>
      <c r="W181" s="265"/>
      <c r="X181" s="264"/>
      <c r="Y181" s="264">
        <v>3.7499999999999999E-2</v>
      </c>
      <c r="Z181" s="264">
        <v>3.9E-2</v>
      </c>
      <c r="AA181" s="264">
        <v>4.3999999999999997E-2</v>
      </c>
      <c r="AB181" s="264"/>
      <c r="AC181" s="264"/>
      <c r="AD181" s="264"/>
      <c r="AE181" s="264"/>
      <c r="AF181" s="264"/>
      <c r="AG181" s="264"/>
      <c r="AH181" s="264"/>
      <c r="AI181" s="266"/>
    </row>
    <row r="182" spans="2:37">
      <c r="W182" s="7"/>
      <c r="X182" s="7"/>
      <c r="Y182" s="7"/>
      <c r="Z182" s="7"/>
      <c r="AA182" s="7"/>
      <c r="AB182" s="7"/>
    </row>
    <row r="183" spans="2:37">
      <c r="B183" s="120" t="s">
        <v>386</v>
      </c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</row>
    <row r="185" spans="2:37">
      <c r="B185" t="s">
        <v>387</v>
      </c>
      <c r="C185" s="291">
        <v>40.738999999999997</v>
      </c>
      <c r="D185" s="291">
        <v>41.620429000000001</v>
      </c>
      <c r="E185" s="291">
        <v>42.623517999999997</v>
      </c>
      <c r="F185" s="291">
        <v>43.025084999999997</v>
      </c>
      <c r="G185" s="291">
        <v>43.571652</v>
      </c>
      <c r="H185" s="291">
        <v>42.545059999999999</v>
      </c>
      <c r="I185" s="291">
        <v>44.138263000000009</v>
      </c>
      <c r="J185" s="291">
        <v>42.565544000000003</v>
      </c>
      <c r="K185" s="291">
        <v>41.418561000000004</v>
      </c>
      <c r="L185" s="291">
        <v>36.530404000000004</v>
      </c>
      <c r="M185" s="291">
        <v>35.491762000000001</v>
      </c>
      <c r="N185" s="291">
        <v>36.911180000000002</v>
      </c>
      <c r="O185" s="291">
        <v>36.920833999999999</v>
      </c>
      <c r="P185" s="291">
        <v>37.582715999999998</v>
      </c>
      <c r="Q185" s="291">
        <v>35.775754999999997</v>
      </c>
      <c r="R185" s="291">
        <v>36.241800000000005</v>
      </c>
      <c r="S185" s="291">
        <v>37.254854000000002</v>
      </c>
      <c r="T185" s="291">
        <v>38.602466</v>
      </c>
      <c r="U185" s="291">
        <v>39.203694000000006</v>
      </c>
      <c r="V185" s="291">
        <v>40.232959000000001</v>
      </c>
      <c r="W185" s="291">
        <v>40.806578999999999</v>
      </c>
      <c r="X185" s="295">
        <v>37.5</v>
      </c>
      <c r="Y185" s="295">
        <v>41</v>
      </c>
      <c r="Z185" s="259">
        <f t="shared" ref="Z185:AI185" si="68">(Y185*(1+Z186))</f>
        <v>41.410000000000004</v>
      </c>
      <c r="AA185" s="259">
        <f t="shared" si="68"/>
        <v>41.824100000000001</v>
      </c>
      <c r="AB185" s="259">
        <f t="shared" si="68"/>
        <v>42.242341000000003</v>
      </c>
      <c r="AC185" s="259">
        <f t="shared" si="68"/>
        <v>42.664764410000004</v>
      </c>
      <c r="AD185" s="259">
        <f t="shared" si="68"/>
        <v>43.091412054100005</v>
      </c>
      <c r="AE185" s="259">
        <f t="shared" si="68"/>
        <v>43.522326174641002</v>
      </c>
      <c r="AF185" s="259">
        <f t="shared" si="68"/>
        <v>43.95754943638741</v>
      </c>
      <c r="AG185" s="259">
        <f t="shared" si="68"/>
        <v>44.397124930751282</v>
      </c>
      <c r="AH185" s="259">
        <f t="shared" si="68"/>
        <v>44.841096180058798</v>
      </c>
      <c r="AI185" s="259">
        <f t="shared" si="68"/>
        <v>45.289507141859389</v>
      </c>
    </row>
    <row r="186" spans="2:37" s="64" customFormat="1">
      <c r="B186" s="86" t="s">
        <v>367</v>
      </c>
      <c r="D186" s="258">
        <f t="shared" ref="D186:E186" si="69">+D185/C185-1</f>
        <v>2.1635999901814085E-2</v>
      </c>
      <c r="E186" s="258">
        <f t="shared" si="69"/>
        <v>2.4100880843875849E-2</v>
      </c>
      <c r="F186" s="258">
        <f t="shared" ref="F186" si="70">+F185/E185-1</f>
        <v>9.4212542474789718E-3</v>
      </c>
      <c r="G186" s="258">
        <f t="shared" ref="G186" si="71">+G185/F185-1</f>
        <v>1.2703449627118779E-2</v>
      </c>
      <c r="H186" s="258">
        <f t="shared" ref="H186" si="72">+H185/G185-1</f>
        <v>-2.3561007051098315E-2</v>
      </c>
      <c r="I186" s="258">
        <f t="shared" ref="I186:M186" si="73">+I185/H185-1</f>
        <v>3.7447426328697464E-2</v>
      </c>
      <c r="J186" s="258">
        <f t="shared" si="73"/>
        <v>-3.5631646854793697E-2</v>
      </c>
      <c r="K186" s="258">
        <f t="shared" si="73"/>
        <v>-2.6946278426513204E-2</v>
      </c>
      <c r="L186" s="258">
        <f t="shared" si="73"/>
        <v>-0.11801851348722614</v>
      </c>
      <c r="M186" s="258">
        <f t="shared" si="73"/>
        <v>-2.8432261521115443E-2</v>
      </c>
      <c r="N186" s="258">
        <f>+N185/M185-1</f>
        <v>3.9992886236529968E-2</v>
      </c>
      <c r="O186" s="258">
        <f>+O185/N185-1</f>
        <v>2.6154677254952574E-4</v>
      </c>
      <c r="P186" s="258">
        <f t="shared" ref="P186:W186" si="74">+P185/O185-1</f>
        <v>1.792705982752163E-2</v>
      </c>
      <c r="Q186" s="258">
        <f t="shared" si="74"/>
        <v>-4.8079574664055658E-2</v>
      </c>
      <c r="R186" s="258">
        <f t="shared" si="74"/>
        <v>1.3026838986347267E-2</v>
      </c>
      <c r="S186" s="258">
        <f t="shared" si="74"/>
        <v>2.7952640321396771E-2</v>
      </c>
      <c r="T186" s="258">
        <f t="shared" si="74"/>
        <v>3.6172789725601895E-2</v>
      </c>
      <c r="U186" s="258">
        <f t="shared" si="74"/>
        <v>1.5574859906618554E-2</v>
      </c>
      <c r="V186" s="258">
        <f t="shared" si="74"/>
        <v>2.6254286139464122E-2</v>
      </c>
      <c r="W186" s="258">
        <f t="shared" si="74"/>
        <v>1.4257464880969906E-2</v>
      </c>
      <c r="X186" s="258">
        <f t="shared" ref="X186" si="75">+X185/W185-1</f>
        <v>-8.1030536767122796E-2</v>
      </c>
      <c r="Y186" s="258">
        <f t="shared" ref="Y186" si="76">+Y185/X185-1</f>
        <v>9.3333333333333268E-2</v>
      </c>
      <c r="Z186" s="249">
        <v>0.01</v>
      </c>
      <c r="AA186" s="249">
        <v>0.01</v>
      </c>
      <c r="AB186" s="249">
        <v>0.01</v>
      </c>
      <c r="AC186" s="249">
        <v>0.01</v>
      </c>
      <c r="AD186" s="249">
        <v>0.01</v>
      </c>
      <c r="AE186" s="249">
        <v>0.01</v>
      </c>
      <c r="AF186" s="249">
        <v>0.01</v>
      </c>
      <c r="AG186" s="249">
        <v>0.01</v>
      </c>
      <c r="AH186" s="249">
        <v>0.01</v>
      </c>
      <c r="AI186" s="249">
        <v>0.01</v>
      </c>
      <c r="AK186" s="253"/>
    </row>
    <row r="187" spans="2:37">
      <c r="B187" t="s">
        <v>388</v>
      </c>
      <c r="C187" s="189">
        <v>217.58766533107601</v>
      </c>
      <c r="D187" s="189">
        <v>226.75106097975788</v>
      </c>
      <c r="E187" s="189">
        <v>226.06960062261459</v>
      </c>
      <c r="F187" s="189">
        <v>228.12762252147269</v>
      </c>
      <c r="G187" s="189">
        <v>234.15024102065337</v>
      </c>
      <c r="H187" s="98">
        <f t="shared" ref="H187" si="77">+H125/1000</f>
        <v>238.44842700000001</v>
      </c>
      <c r="I187" s="98">
        <f t="shared" ref="I187:AI187" si="78">+I125/1000</f>
        <v>242.76790600000001</v>
      </c>
      <c r="J187" s="98">
        <f t="shared" si="78"/>
        <v>246.14920800000002</v>
      </c>
      <c r="K187" s="98">
        <f t="shared" si="78"/>
        <v>249.63853078540001</v>
      </c>
      <c r="L187" s="98">
        <f t="shared" si="78"/>
        <v>251.09863629208422</v>
      </c>
      <c r="M187" s="98">
        <f t="shared" si="78"/>
        <v>249.38604999999995</v>
      </c>
      <c r="N187" s="98">
        <f t="shared" si="78"/>
        <v>245.20100099999993</v>
      </c>
      <c r="O187" s="98">
        <f t="shared" si="78"/>
        <v>248.87368900000004</v>
      </c>
      <c r="P187" s="98">
        <f t="shared" si="78"/>
        <v>249.28429699999995</v>
      </c>
      <c r="Q187" s="98">
        <f t="shared" si="78"/>
        <v>251.19281900000001</v>
      </c>
      <c r="R187" s="98">
        <f t="shared" si="78"/>
        <v>255.45446407966378</v>
      </c>
      <c r="S187" s="98">
        <f t="shared" si="78"/>
        <v>258.78595900000005</v>
      </c>
      <c r="T187" s="98">
        <f t="shared" si="78"/>
        <v>263.75282899999996</v>
      </c>
      <c r="U187" s="98">
        <f t="shared" si="78"/>
        <v>267.376486</v>
      </c>
      <c r="V187" s="98">
        <f t="shared" si="78"/>
        <v>268.535886</v>
      </c>
      <c r="W187" s="98">
        <f t="shared" si="78"/>
        <v>271.5191779999999</v>
      </c>
      <c r="X187" s="98">
        <f t="shared" si="78"/>
        <v>273.55557183500008</v>
      </c>
      <c r="Y187" s="98">
        <f t="shared" si="78"/>
        <v>275.60723862376256</v>
      </c>
      <c r="Z187" s="98">
        <f t="shared" si="78"/>
        <v>277.67429291344069</v>
      </c>
      <c r="AA187" s="98">
        <f t="shared" si="78"/>
        <v>279.75685011029168</v>
      </c>
      <c r="AB187" s="98">
        <f t="shared" si="78"/>
        <v>281.85502648611879</v>
      </c>
      <c r="AC187" s="98">
        <f t="shared" si="78"/>
        <v>283.96893918476468</v>
      </c>
      <c r="AD187" s="98">
        <f t="shared" si="78"/>
        <v>286.09870622865049</v>
      </c>
      <c r="AE187" s="98">
        <f t="shared" si="78"/>
        <v>288.24444652536528</v>
      </c>
      <c r="AF187" s="98">
        <f t="shared" si="78"/>
        <v>290.40627987430565</v>
      </c>
      <c r="AG187" s="98">
        <f t="shared" si="78"/>
        <v>292.58432697336286</v>
      </c>
      <c r="AH187" s="98">
        <f t="shared" si="78"/>
        <v>294.77870942566307</v>
      </c>
      <c r="AI187" s="98">
        <f t="shared" si="78"/>
        <v>296.98954974635575</v>
      </c>
    </row>
    <row r="188" spans="2:37">
      <c r="B188" t="s">
        <v>390</v>
      </c>
      <c r="C188" s="203">
        <f t="shared" ref="C188:H188" si="79">AVERAGE($Q$188:$X$188)</f>
        <v>0.55312602881122386</v>
      </c>
      <c r="D188" s="203">
        <f t="shared" si="79"/>
        <v>0.55312602881122386</v>
      </c>
      <c r="E188" s="203">
        <f t="shared" si="79"/>
        <v>0.55312602881122386</v>
      </c>
      <c r="F188" s="203">
        <f t="shared" si="79"/>
        <v>0.55312602881122386</v>
      </c>
      <c r="G188" s="203">
        <f t="shared" si="79"/>
        <v>0.55312602881122386</v>
      </c>
      <c r="H188" s="203">
        <f t="shared" si="79"/>
        <v>0.55312602881122386</v>
      </c>
      <c r="I188" s="203">
        <f t="shared" ref="I188:O188" si="80">AVERAGE($Q$188:$X$188)</f>
        <v>0.55312602881122386</v>
      </c>
      <c r="J188" s="203">
        <f t="shared" si="80"/>
        <v>0.55312602881122386</v>
      </c>
      <c r="K188" s="203">
        <f t="shared" si="80"/>
        <v>0.55312602881122386</v>
      </c>
      <c r="L188" s="203">
        <f t="shared" si="80"/>
        <v>0.55312602881122386</v>
      </c>
      <c r="M188" s="203">
        <f t="shared" si="80"/>
        <v>0.55312602881122386</v>
      </c>
      <c r="N188" s="203">
        <f t="shared" si="80"/>
        <v>0.55312602881122386</v>
      </c>
      <c r="O188" s="203">
        <f t="shared" si="80"/>
        <v>0.55312602881122386</v>
      </c>
      <c r="P188" s="203">
        <f>AVERAGE($Q$188:$X$188)</f>
        <v>0.55312602881122386</v>
      </c>
      <c r="Q188" s="17">
        <f>22/39</f>
        <v>0.5641025641025641</v>
      </c>
      <c r="R188" s="17">
        <f>21/39</f>
        <v>0.53846153846153844</v>
      </c>
      <c r="S188" s="17">
        <f>22/40</f>
        <v>0.55000000000000004</v>
      </c>
      <c r="T188" s="17">
        <f>23/40</f>
        <v>0.57499999999999996</v>
      </c>
      <c r="U188" s="17">
        <f>22/40</f>
        <v>0.55000000000000004</v>
      </c>
      <c r="V188" s="17">
        <f>22/42</f>
        <v>0.52380952380952384</v>
      </c>
      <c r="W188" s="17">
        <f>23/W185</f>
        <v>0.56363460411616473</v>
      </c>
      <c r="X188" s="17">
        <f>21/X185</f>
        <v>0.56000000000000005</v>
      </c>
      <c r="Y188" s="203">
        <f t="shared" ref="Y188:AI188" si="81">+X188</f>
        <v>0.56000000000000005</v>
      </c>
      <c r="Z188" s="203">
        <f t="shared" si="81"/>
        <v>0.56000000000000005</v>
      </c>
      <c r="AA188" s="203">
        <f t="shared" si="81"/>
        <v>0.56000000000000005</v>
      </c>
      <c r="AB188" s="203">
        <f t="shared" si="81"/>
        <v>0.56000000000000005</v>
      </c>
      <c r="AC188" s="203">
        <f t="shared" si="81"/>
        <v>0.56000000000000005</v>
      </c>
      <c r="AD188" s="203">
        <f t="shared" si="81"/>
        <v>0.56000000000000005</v>
      </c>
      <c r="AE188" s="203">
        <f t="shared" si="81"/>
        <v>0.56000000000000005</v>
      </c>
      <c r="AF188" s="203">
        <f t="shared" si="81"/>
        <v>0.56000000000000005</v>
      </c>
      <c r="AG188" s="203">
        <f t="shared" si="81"/>
        <v>0.56000000000000005</v>
      </c>
      <c r="AH188" s="203">
        <f t="shared" si="81"/>
        <v>0.56000000000000005</v>
      </c>
      <c r="AI188" s="203">
        <f t="shared" si="81"/>
        <v>0.56000000000000005</v>
      </c>
    </row>
    <row r="189" spans="2:37">
      <c r="B189" t="s">
        <v>391</v>
      </c>
      <c r="D189" s="1">
        <f t="shared" ref="D189:E189" si="82">+D185/D187*D188</f>
        <v>0.10152694550013425</v>
      </c>
      <c r="E189" s="1">
        <f t="shared" si="82"/>
        <v>0.10428725127293964</v>
      </c>
      <c r="F189" s="1">
        <f t="shared" ref="F189" si="83">+F185/F187*F188</f>
        <v>0.10432009128169176</v>
      </c>
      <c r="G189" s="1">
        <f t="shared" ref="G189" si="84">+G185/G187*G188</f>
        <v>0.1029279950106001</v>
      </c>
      <c r="H189" s="1">
        <f t="shared" ref="H189" si="85">+H185/H187*H188</f>
        <v>9.8691278359052656E-2</v>
      </c>
      <c r="I189" s="1">
        <f t="shared" ref="I189:L189" si="86">+I185/I187*I188</f>
        <v>0.10056527872269648</v>
      </c>
      <c r="J189" s="1">
        <f t="shared" si="86"/>
        <v>9.5649750442867221E-2</v>
      </c>
      <c r="K189" s="1">
        <f t="shared" si="86"/>
        <v>9.1771426842355452E-2</v>
      </c>
      <c r="L189" s="1">
        <f t="shared" si="86"/>
        <v>8.0470039956272887E-2</v>
      </c>
      <c r="M189" s="1">
        <f>+M185/M187*M188</f>
        <v>7.8718987571971655E-2</v>
      </c>
      <c r="N189" s="1">
        <f>+N185/N187*N188</f>
        <v>8.3264482318064742E-2</v>
      </c>
      <c r="O189" s="1">
        <f t="shared" ref="O189:AI189" si="87">+O185/O187*O188</f>
        <v>8.2057184802763181E-2</v>
      </c>
      <c r="P189" s="1">
        <f t="shared" si="87"/>
        <v>8.3390645552856649E-2</v>
      </c>
      <c r="Q189" s="1">
        <f t="shared" si="87"/>
        <v>8.034144928404631E-2</v>
      </c>
      <c r="R189" s="1">
        <f t="shared" si="87"/>
        <v>7.6392540075281942E-2</v>
      </c>
      <c r="S189" s="1">
        <f t="shared" si="87"/>
        <v>7.9178058110950286E-2</v>
      </c>
      <c r="T189" s="1">
        <f t="shared" si="87"/>
        <v>8.4156132217258608E-2</v>
      </c>
      <c r="U189" s="1">
        <f t="shared" si="87"/>
        <v>8.0642961625279203E-2</v>
      </c>
      <c r="V189" s="1">
        <f t="shared" si="87"/>
        <v>7.8478922907302226E-2</v>
      </c>
      <c r="W189" s="1">
        <f t="shared" si="87"/>
        <v>8.4708565227020569E-2</v>
      </c>
      <c r="X189" s="1">
        <f t="shared" si="87"/>
        <v>7.67668516460214E-2</v>
      </c>
      <c r="Y189" s="1">
        <f t="shared" si="87"/>
        <v>8.3306955632407018E-2</v>
      </c>
      <c r="Z189" s="1">
        <f t="shared" si="87"/>
        <v>8.351367264390186E-2</v>
      </c>
      <c r="AA189" s="1">
        <f t="shared" si="87"/>
        <v>8.3720902600834562E-2</v>
      </c>
      <c r="AB189" s="1">
        <f t="shared" si="87"/>
        <v>8.3928646776022769E-2</v>
      </c>
      <c r="AC189" s="1">
        <f t="shared" si="87"/>
        <v>8.4136906445442167E-2</v>
      </c>
      <c r="AD189" s="1">
        <f t="shared" si="87"/>
        <v>8.434568288823481E-2</v>
      </c>
      <c r="AE189" s="1">
        <f t="shared" si="87"/>
        <v>8.4554977386716815E-2</v>
      </c>
      <c r="AF189" s="1">
        <f t="shared" si="87"/>
        <v>8.4764791226386041E-2</v>
      </c>
      <c r="AG189" s="1">
        <f t="shared" si="87"/>
        <v>8.4975125695930437E-2</v>
      </c>
      <c r="AH189" s="1">
        <f t="shared" si="87"/>
        <v>8.518598208723549E-2</v>
      </c>
      <c r="AI189" s="1">
        <f t="shared" si="87"/>
        <v>8.5397361695392346E-2</v>
      </c>
    </row>
    <row r="190" spans="2:37">
      <c r="B190" t="s">
        <v>389</v>
      </c>
      <c r="D190" s="7">
        <f>+Model!H79</f>
        <v>0</v>
      </c>
      <c r="E190" s="7">
        <f>+Model!I79</f>
        <v>0</v>
      </c>
      <c r="F190" s="7">
        <f>+Model!J79</f>
        <v>0</v>
      </c>
      <c r="G190" s="7">
        <f>+Model!K79</f>
        <v>0</v>
      </c>
      <c r="H190" s="7">
        <f>+Model!L79</f>
        <v>4364.9655172413795</v>
      </c>
      <c r="I190" s="7">
        <f>+Model!M79</f>
        <v>4326.6865671641781</v>
      </c>
      <c r="J190" s="7">
        <f>+Model!N79</f>
        <v>4376.8961038961043</v>
      </c>
      <c r="K190" s="7">
        <f>+Model!O79</f>
        <v>4238.696629213483</v>
      </c>
      <c r="L190" s="7">
        <f>+Model!P79</f>
        <v>3454.6499999999996</v>
      </c>
      <c r="M190" s="7">
        <f>+Model!Q79</f>
        <v>3571.2900000000004</v>
      </c>
      <c r="N190" s="7">
        <f>+Model!R79</f>
        <v>3846.4174757281553</v>
      </c>
      <c r="O190" s="7">
        <f>+Model!S79</f>
        <v>3778.5185185185182</v>
      </c>
      <c r="P190" s="7">
        <f>+Model!T79</f>
        <v>3794.305084745763</v>
      </c>
      <c r="Q190" s="7">
        <f>+Model!U79</f>
        <v>4022.3587786259536</v>
      </c>
      <c r="R190" s="7">
        <f>+Model!V79</f>
        <v>4043.6250000000005</v>
      </c>
      <c r="S190" s="7">
        <f>+Model!W79</f>
        <v>3923.6455696202534</v>
      </c>
      <c r="T190" s="7">
        <f>+Model!X79</f>
        <v>3880.3121387283236</v>
      </c>
      <c r="U190" s="7">
        <f>+Model!Y79</f>
        <v>3837.8297872340422</v>
      </c>
      <c r="V190" s="7">
        <f>+Model!Z79</f>
        <v>3689.463054187192</v>
      </c>
      <c r="W190" s="7">
        <f>+Model!AA79</f>
        <v>3854.8148148148148</v>
      </c>
      <c r="X190" s="7">
        <f>+Model!AB79</f>
        <v>3417.5545454545454</v>
      </c>
      <c r="Y190" s="7">
        <f ca="1">+Model!AC79</f>
        <v>4076.9053977272724</v>
      </c>
      <c r="Z190" s="7">
        <f ca="1">+Model!AD79</f>
        <v>4145.0986022727266</v>
      </c>
      <c r="AA190" s="7">
        <f ca="1">+Model!AE79</f>
        <v>4214.3887728409081</v>
      </c>
      <c r="AB190" s="7">
        <f ca="1">+Model!AF79</f>
        <v>4284.7925107909077</v>
      </c>
      <c r="AC190" s="7">
        <f ca="1">+Model!AG79</f>
        <v>4356.326642749772</v>
      </c>
      <c r="AD190" s="7">
        <f ca="1">+Model!AH79</f>
        <v>4429.0082229826739</v>
      </c>
      <c r="AE190" s="7">
        <f ca="1">+Model!AI79</f>
        <v>4502.8545357677922</v>
      </c>
      <c r="AF190" s="7">
        <f ca="1">+Model!AJ79</f>
        <v>4577.8830977751204</v>
      </c>
      <c r="AG190" s="7">
        <f ca="1">+Model!AK79</f>
        <v>4654.1116604484378</v>
      </c>
      <c r="AH190" s="7">
        <f ca="1">+Model!AL79</f>
        <v>4731.5582123895774</v>
      </c>
      <c r="AI190" s="7">
        <f ca="1">+Model!AM79</f>
        <v>4826.1893766373678</v>
      </c>
    </row>
    <row r="192" spans="2:37" hidden="1" outlineLevel="1">
      <c r="B192" s="71" t="s">
        <v>301</v>
      </c>
      <c r="H192" s="1">
        <f t="shared" ref="H192:AI201" ca="1" si="88">(H$190*H5/1000000)/(H$189*H75/1000)+0.0000000000000001*RAND()</f>
        <v>9.7509063714610912E-3</v>
      </c>
      <c r="I192" s="1">
        <f t="shared" ca="1" si="88"/>
        <v>9.3847701034500321E-3</v>
      </c>
      <c r="J192" s="1">
        <f t="shared" ca="1" si="88"/>
        <v>9.776624623513577E-3</v>
      </c>
      <c r="K192" s="1">
        <f t="shared" ca="1" si="88"/>
        <v>9.7562068901434276E-3</v>
      </c>
      <c r="L192" s="1">
        <f t="shared" ca="1" si="88"/>
        <v>1.7878437711996136E-2</v>
      </c>
      <c r="M192" s="1">
        <f t="shared" ca="1" si="88"/>
        <v>1.9393863666946846E-2</v>
      </c>
      <c r="N192" s="1">
        <f t="shared" ca="1" si="88"/>
        <v>1.9565626012528675E-2</v>
      </c>
      <c r="O192" s="1">
        <f t="shared" ca="1" si="88"/>
        <v>1.9425492380179377E-2</v>
      </c>
      <c r="P192" s="1">
        <f t="shared" ca="1" si="88"/>
        <v>1.8964733297278998E-2</v>
      </c>
      <c r="Q192" s="1">
        <f t="shared" ca="1" si="88"/>
        <v>2.112306243719269E-2</v>
      </c>
      <c r="R192" s="1">
        <f t="shared" ca="1" si="88"/>
        <v>2.9850952903479621E-2</v>
      </c>
      <c r="S192" s="1">
        <f t="shared" ca="1" si="88"/>
        <v>2.7774002333606666E-2</v>
      </c>
      <c r="T192" s="1">
        <f t="shared" ca="1" si="88"/>
        <v>3.4464598910106864E-2</v>
      </c>
      <c r="U192" s="1">
        <f t="shared" ca="1" si="88"/>
        <v>3.8540453119800748E-2</v>
      </c>
      <c r="V192" s="1">
        <f t="shared" ca="1" si="88"/>
        <v>4.536422400169559E-2</v>
      </c>
      <c r="W192" s="1">
        <f t="shared" ca="1" si="88"/>
        <v>4.4015729865740205E-2</v>
      </c>
      <c r="X192" s="1">
        <f t="shared" ca="1" si="88"/>
        <v>4.2739396396386194E-2</v>
      </c>
      <c r="Y192" s="1">
        <f t="shared" ca="1" si="88"/>
        <v>4.8744352574371132E-2</v>
      </c>
      <c r="Z192" s="1">
        <f t="shared" ca="1" si="88"/>
        <v>5.1365056111847135E-2</v>
      </c>
      <c r="AA192" s="1">
        <f t="shared" ca="1" si="88"/>
        <v>5.4386570878866683E-2</v>
      </c>
      <c r="AB192" s="1">
        <f t="shared" ca="1" si="88"/>
        <v>5.7080998476106884E-2</v>
      </c>
      <c r="AC192" s="1">
        <f t="shared" ca="1" si="88"/>
        <v>5.9840310576966364E-2</v>
      </c>
      <c r="AD192" s="1">
        <f t="shared" ca="1" si="88"/>
        <v>6.2665730535218997E-2</v>
      </c>
      <c r="AE192" s="1">
        <f t="shared" ca="1" si="88"/>
        <v>6.5558500775007036E-2</v>
      </c>
      <c r="AF192" s="1">
        <f t="shared" ca="1" si="88"/>
        <v>6.8519883016106661E-2</v>
      </c>
      <c r="AG192" s="1">
        <f t="shared" ca="1" si="88"/>
        <v>7.1551158500061648E-2</v>
      </c>
      <c r="AH192" s="1">
        <f t="shared" ca="1" si="88"/>
        <v>7.4653628217124235E-2</v>
      </c>
      <c r="AI192" s="1">
        <f t="shared" ca="1" si="88"/>
        <v>7.8616756508548796E-2</v>
      </c>
    </row>
    <row r="193" spans="2:35" hidden="1" outlineLevel="1">
      <c r="B193" s="71" t="s">
        <v>302</v>
      </c>
      <c r="H193" s="1">
        <f t="shared" ca="1" si="88"/>
        <v>2.3605379823911575E-17</v>
      </c>
      <c r="I193" s="1">
        <f t="shared" ca="1" si="88"/>
        <v>6.7251019846455149E-17</v>
      </c>
      <c r="J193" s="1">
        <f t="shared" ca="1" si="88"/>
        <v>5.7935869573117587E-17</v>
      </c>
      <c r="K193" s="1">
        <f t="shared" ca="1" si="88"/>
        <v>4.1800402976520931E-17</v>
      </c>
      <c r="L193" s="1">
        <f t="shared" ca="1" si="88"/>
        <v>8.5614182841267475E-17</v>
      </c>
      <c r="M193" s="1">
        <f t="shared" ca="1" si="88"/>
        <v>2.0493906178179854E-17</v>
      </c>
      <c r="N193" s="1">
        <f t="shared" ca="1" si="88"/>
        <v>1.5638204802060573E-18</v>
      </c>
      <c r="O193" s="1">
        <f t="shared" ca="1" si="88"/>
        <v>5.2515769017498769E-17</v>
      </c>
      <c r="P193" s="1">
        <f t="shared" ca="1" si="88"/>
        <v>9.7538729863886893E-17</v>
      </c>
      <c r="Q193" s="1">
        <f t="shared" ca="1" si="88"/>
        <v>8.679783712820349E-17</v>
      </c>
      <c r="R193" s="1">
        <f t="shared" ca="1" si="88"/>
        <v>8.2271584120575683E-17</v>
      </c>
      <c r="S193" s="1">
        <f t="shared" ca="1" si="88"/>
        <v>2.1992667147798992E-17</v>
      </c>
      <c r="T193" s="1">
        <f t="shared" ca="1" si="88"/>
        <v>4.6458483104907568E-17</v>
      </c>
      <c r="U193" s="1">
        <f t="shared" ca="1" si="88"/>
        <v>9.6916150486896471E-17</v>
      </c>
      <c r="V193" s="1">
        <f t="shared" ca="1" si="88"/>
        <v>9.8876798467355268E-17</v>
      </c>
      <c r="W193" s="1">
        <f t="shared" ca="1" si="88"/>
        <v>8.967540529079772E-17</v>
      </c>
      <c r="X193" s="1">
        <f t="shared" ca="1" si="88"/>
        <v>5.3006606764513588E-17</v>
      </c>
      <c r="Y193" s="1">
        <f t="shared" ca="1" si="88"/>
        <v>5.3892489741615699E-17</v>
      </c>
      <c r="Z193" s="1">
        <f t="shared" ca="1" si="88"/>
        <v>4.4431616561273821E-17</v>
      </c>
      <c r="AA193" s="1">
        <f t="shared" ca="1" si="88"/>
        <v>9.6947165543787908E-18</v>
      </c>
      <c r="AB193" s="1">
        <f t="shared" ca="1" si="88"/>
        <v>3.1017314337239998E-3</v>
      </c>
      <c r="AC193" s="1">
        <f t="shared" ca="1" si="88"/>
        <v>6.2914175366925694E-3</v>
      </c>
      <c r="AD193" s="1">
        <f t="shared" ca="1" si="88"/>
        <v>9.5708277386581005E-3</v>
      </c>
      <c r="AE193" s="1">
        <f t="shared" ca="1" si="88"/>
        <v>1.2941760204083431E-2</v>
      </c>
      <c r="AF193" s="1">
        <f t="shared" ca="1" si="88"/>
        <v>1.6406042187408394E-2</v>
      </c>
      <c r="AG193" s="1">
        <f t="shared" ca="1" si="88"/>
        <v>1.9965530390244859E-2</v>
      </c>
      <c r="AH193" s="1">
        <f t="shared" ca="1" si="88"/>
        <v>2.3622111320267255E-2</v>
      </c>
      <c r="AI193" s="1">
        <f t="shared" ca="1" si="88"/>
        <v>2.4876135537338858E-2</v>
      </c>
    </row>
    <row r="194" spans="2:35" hidden="1" outlineLevel="1">
      <c r="B194" s="71" t="s">
        <v>303</v>
      </c>
      <c r="H194" s="1">
        <f t="shared" ca="1" si="88"/>
        <v>8.9318070819514479E-17</v>
      </c>
      <c r="I194" s="1">
        <f t="shared" ca="1" si="88"/>
        <v>8.1021540412104698E-17</v>
      </c>
      <c r="J194" s="1">
        <f t="shared" ca="1" si="88"/>
        <v>1.6614406785554524E-17</v>
      </c>
      <c r="K194" s="1">
        <f t="shared" ca="1" si="88"/>
        <v>1.0370129826186151E-2</v>
      </c>
      <c r="L194" s="1">
        <f t="shared" ca="1" si="88"/>
        <v>2.8849571999087442E-2</v>
      </c>
      <c r="M194" s="1">
        <f t="shared" ca="1" si="88"/>
        <v>3.0569278177184887E-2</v>
      </c>
      <c r="N194" s="1">
        <f t="shared" ca="1" si="88"/>
        <v>3.1407613714835941E-2</v>
      </c>
      <c r="O194" s="1">
        <f t="shared" ca="1" si="88"/>
        <v>2.74772711195721E-2</v>
      </c>
      <c r="P194" s="1">
        <f t="shared" ca="1" si="88"/>
        <v>2.6830963521663049E-2</v>
      </c>
      <c r="Q194" s="1">
        <f t="shared" ca="1" si="88"/>
        <v>2.8353318356497018E-2</v>
      </c>
      <c r="R194" s="1">
        <f t="shared" ca="1" si="88"/>
        <v>2.8849846002837517E-2</v>
      </c>
      <c r="S194" s="1">
        <f t="shared" ca="1" si="88"/>
        <v>2.6802062319636846E-2</v>
      </c>
      <c r="T194" s="1">
        <f t="shared" ca="1" si="88"/>
        <v>2.4207353988281628E-2</v>
      </c>
      <c r="U194" s="1">
        <f t="shared" ca="1" si="88"/>
        <v>2.4232941610987654E-2</v>
      </c>
      <c r="V194" s="1">
        <f t="shared" ca="1" si="88"/>
        <v>2.4574493053653831E-2</v>
      </c>
      <c r="W194" s="1">
        <f t="shared" ca="1" si="88"/>
        <v>3.0752401792415129E-2</v>
      </c>
      <c r="X194" s="1">
        <f t="shared" ca="1" si="88"/>
        <v>2.9860667864785036E-2</v>
      </c>
      <c r="Y194" s="1">
        <f t="shared" ca="1" si="88"/>
        <v>3.4056141139056154E-2</v>
      </c>
      <c r="Z194" s="1">
        <f t="shared" ca="1" si="88"/>
        <v>3.5887144011024358E-2</v>
      </c>
      <c r="AA194" s="1">
        <f t="shared" ca="1" si="88"/>
        <v>3.7998181042490912E-2</v>
      </c>
      <c r="AB194" s="1">
        <f t="shared" ca="1" si="88"/>
        <v>3.9880692588840194E-2</v>
      </c>
      <c r="AC194" s="1">
        <f t="shared" ca="1" si="88"/>
        <v>4.1808536890602037E-2</v>
      </c>
      <c r="AD194" s="1">
        <f t="shared" ca="1" si="88"/>
        <v>4.3782568666458473E-2</v>
      </c>
      <c r="AE194" s="1">
        <f t="shared" ca="1" si="88"/>
        <v>4.5803655958955997E-2</v>
      </c>
      <c r="AF194" s="1">
        <f t="shared" ca="1" si="88"/>
        <v>4.7872680291891956E-2</v>
      </c>
      <c r="AG194" s="1">
        <f t="shared" ca="1" si="88"/>
        <v>4.9990536828306779E-2</v>
      </c>
      <c r="AH194" s="1">
        <f t="shared" ca="1" si="88"/>
        <v>5.2158134529039973E-2</v>
      </c>
      <c r="AI194" s="1">
        <f t="shared" ca="1" si="88"/>
        <v>5.4927047219777037E-2</v>
      </c>
    </row>
    <row r="195" spans="2:35" hidden="1" outlineLevel="1">
      <c r="B195" s="71" t="s">
        <v>304</v>
      </c>
      <c r="H195" s="1">
        <f t="shared" ca="1" si="88"/>
        <v>9.9400763939599152E-17</v>
      </c>
      <c r="I195" s="1">
        <f t="shared" ca="1" si="88"/>
        <v>1.3329447551835526E-17</v>
      </c>
      <c r="J195" s="1">
        <f t="shared" ca="1" si="88"/>
        <v>2.8178161803002256E-17</v>
      </c>
      <c r="K195" s="1">
        <f t="shared" ca="1" si="88"/>
        <v>7.2774140172564374E-17</v>
      </c>
      <c r="L195" s="1">
        <f t="shared" ca="1" si="88"/>
        <v>2.2658991766467683E-19</v>
      </c>
      <c r="M195" s="1">
        <f t="shared" ca="1" si="88"/>
        <v>9.4417392190548673E-18</v>
      </c>
      <c r="N195" s="1">
        <f t="shared" ca="1" si="88"/>
        <v>2.7714976749266106E-17</v>
      </c>
      <c r="O195" s="1">
        <f t="shared" ca="1" si="88"/>
        <v>7.000703729114588E-18</v>
      </c>
      <c r="P195" s="1">
        <f t="shared" ca="1" si="88"/>
        <v>3.3439152814286843E-17</v>
      </c>
      <c r="Q195" s="1">
        <f t="shared" ca="1" si="88"/>
        <v>3.3023972964129701E-17</v>
      </c>
      <c r="R195" s="1">
        <f t="shared" ca="1" si="88"/>
        <v>4.2806438678196302E-17</v>
      </c>
      <c r="S195" s="1">
        <f t="shared" ca="1" si="88"/>
        <v>8.9906185517922325E-17</v>
      </c>
      <c r="T195" s="1">
        <f t="shared" ca="1" si="88"/>
        <v>9.3310086822500962E-18</v>
      </c>
      <c r="U195" s="1">
        <f t="shared" ca="1" si="88"/>
        <v>5.4816428804003512E-17</v>
      </c>
      <c r="V195" s="1">
        <f t="shared" ca="1" si="88"/>
        <v>6.2811790184775471E-17</v>
      </c>
      <c r="W195" s="1">
        <f t="shared" ca="1" si="88"/>
        <v>5.7555840862750501E-17</v>
      </c>
      <c r="X195" s="1">
        <f t="shared" ca="1" si="88"/>
        <v>8.97140910787973E-17</v>
      </c>
      <c r="Y195" s="1">
        <f t="shared" ca="1" si="88"/>
        <v>4.6078596076168489E-18</v>
      </c>
      <c r="Z195" s="1">
        <f t="shared" ca="1" si="88"/>
        <v>3.0646281120542441E-17</v>
      </c>
      <c r="AA195" s="1">
        <f t="shared" ca="1" si="88"/>
        <v>5.073467934200396E-17</v>
      </c>
      <c r="AB195" s="1">
        <f t="shared" ca="1" si="88"/>
        <v>9.4889674256870233E-17</v>
      </c>
      <c r="AC195" s="1">
        <f t="shared" ca="1" si="88"/>
        <v>1.8337555222767897E-17</v>
      </c>
      <c r="AD195" s="1">
        <f t="shared" ca="1" si="88"/>
        <v>8.369184158424903E-4</v>
      </c>
      <c r="AE195" s="1">
        <f t="shared" ca="1" si="88"/>
        <v>1.6975330237001896E-3</v>
      </c>
      <c r="AF195" s="1">
        <f t="shared" ca="1" si="88"/>
        <v>2.5823193688622099E-3</v>
      </c>
      <c r="AG195" s="1">
        <f t="shared" ca="1" si="88"/>
        <v>3.4917606844527961E-3</v>
      </c>
      <c r="AH195" s="1">
        <f t="shared" ca="1" si="88"/>
        <v>4.4263479852590928E-3</v>
      </c>
      <c r="AI195" s="1">
        <f t="shared" ca="1" si="88"/>
        <v>4.6613289948498017E-3</v>
      </c>
    </row>
    <row r="196" spans="2:35" hidden="1" outlineLevel="1">
      <c r="B196" s="71" t="s">
        <v>305</v>
      </c>
      <c r="H196" s="1">
        <f t="shared" ca="1" si="88"/>
        <v>8.4339454588536825E-3</v>
      </c>
      <c r="I196" s="1">
        <f t="shared" ca="1" si="88"/>
        <v>7.9204090692688075E-3</v>
      </c>
      <c r="J196" s="1">
        <f t="shared" ca="1" si="88"/>
        <v>1.0983705053251577E-2</v>
      </c>
      <c r="K196" s="1">
        <f t="shared" ca="1" si="88"/>
        <v>1.4895210279476637E-2</v>
      </c>
      <c r="L196" s="1">
        <f t="shared" ca="1" si="88"/>
        <v>1.6593247958922849E-2</v>
      </c>
      <c r="M196" s="1">
        <f t="shared" ca="1" si="88"/>
        <v>1.7047250569345244E-2</v>
      </c>
      <c r="N196" s="1">
        <f t="shared" ca="1" si="88"/>
        <v>1.9268257792610956E-2</v>
      </c>
      <c r="O196" s="1">
        <f t="shared" ca="1" si="88"/>
        <v>2.2392198904905358E-2</v>
      </c>
      <c r="P196" s="1">
        <f t="shared" ca="1" si="88"/>
        <v>2.6914967531449722E-2</v>
      </c>
      <c r="Q196" s="1">
        <f t="shared" ca="1" si="88"/>
        <v>3.2864855115147404E-2</v>
      </c>
      <c r="R196" s="1">
        <f t="shared" ca="1" si="88"/>
        <v>3.4138266190755391E-2</v>
      </c>
      <c r="S196" s="1">
        <f t="shared" ca="1" si="88"/>
        <v>3.0959061790057273E-2</v>
      </c>
      <c r="T196" s="1">
        <f t="shared" ca="1" si="88"/>
        <v>3.5855309789663121E-2</v>
      </c>
      <c r="U196" s="1">
        <f t="shared" ca="1" si="88"/>
        <v>3.9477755954469992E-2</v>
      </c>
      <c r="V196" s="1">
        <f t="shared" ca="1" si="88"/>
        <v>3.8700462893738435E-2</v>
      </c>
      <c r="W196" s="1">
        <f t="shared" ca="1" si="88"/>
        <v>4.015247449589654E-2</v>
      </c>
      <c r="X196" s="1">
        <f t="shared" ca="1" si="88"/>
        <v>4.0432170761825169E-2</v>
      </c>
      <c r="Y196" s="1">
        <f t="shared" ca="1" si="88"/>
        <v>4.6112959820792034E-2</v>
      </c>
      <c r="Z196" s="1">
        <f t="shared" ca="1" si="88"/>
        <v>4.8592188501518814E-2</v>
      </c>
      <c r="AA196" s="1">
        <f t="shared" ca="1" si="88"/>
        <v>5.1450591202363401E-2</v>
      </c>
      <c r="AB196" s="1">
        <f t="shared" ca="1" si="88"/>
        <v>5.3999564057054611E-2</v>
      </c>
      <c r="AC196" s="1">
        <f t="shared" ca="1" si="88"/>
        <v>5.6609918720106629E-2</v>
      </c>
      <c r="AD196" s="1">
        <f t="shared" ca="1" si="88"/>
        <v>5.9282812504324656E-2</v>
      </c>
      <c r="AE196" s="1">
        <f t="shared" ca="1" si="88"/>
        <v>6.2019420763396282E-2</v>
      </c>
      <c r="AF196" s="1">
        <f t="shared" ca="1" si="88"/>
        <v>6.4820937104996729E-2</v>
      </c>
      <c r="AG196" s="1">
        <f t="shared" ca="1" si="88"/>
        <v>6.7688573604714322E-2</v>
      </c>
      <c r="AH196" s="1">
        <f t="shared" ca="1" si="88"/>
        <v>7.0623561020740619E-2</v>
      </c>
      <c r="AI196" s="1">
        <f t="shared" ca="1" si="88"/>
        <v>7.4372745613730529E-2</v>
      </c>
    </row>
    <row r="197" spans="2:35" hidden="1" outlineLevel="1">
      <c r="B197" s="71" t="s">
        <v>306</v>
      </c>
      <c r="H197" s="1">
        <f t="shared" ca="1" si="88"/>
        <v>2.00030106384677E-17</v>
      </c>
      <c r="I197" s="1">
        <f t="shared" ca="1" si="88"/>
        <v>7.8523929972068814E-17</v>
      </c>
      <c r="J197" s="1">
        <f t="shared" ca="1" si="88"/>
        <v>2.8759371563095017E-17</v>
      </c>
      <c r="K197" s="1">
        <f t="shared" ca="1" si="88"/>
        <v>7.706197300589739E-17</v>
      </c>
      <c r="L197" s="1">
        <f t="shared" ca="1" si="88"/>
        <v>2.5363734099803376E-2</v>
      </c>
      <c r="M197" s="1">
        <f t="shared" ca="1" si="88"/>
        <v>3.0657582043643973E-2</v>
      </c>
      <c r="N197" s="1">
        <f t="shared" ca="1" si="88"/>
        <v>1.0888478722246426E-2</v>
      </c>
      <c r="O197" s="1">
        <f t="shared" ca="1" si="88"/>
        <v>1.0809518599475878E-2</v>
      </c>
      <c r="P197" s="1">
        <f t="shared" ca="1" si="88"/>
        <v>3.0304856591562516E-2</v>
      </c>
      <c r="Q197" s="1">
        <f t="shared" ca="1" si="88"/>
        <v>3.249991058889104E-2</v>
      </c>
      <c r="R197" s="1">
        <f t="shared" ca="1" si="88"/>
        <v>3.3380467458925214E-2</v>
      </c>
      <c r="S197" s="1">
        <f t="shared" ca="1" si="88"/>
        <v>5.0103664036296382E-2</v>
      </c>
      <c r="T197" s="1">
        <f t="shared" ca="1" si="88"/>
        <v>4.5678535715064077E-2</v>
      </c>
      <c r="U197" s="1">
        <f t="shared" ca="1" si="88"/>
        <v>5.5025496746622944E-2</v>
      </c>
      <c r="V197" s="1">
        <f t="shared" ca="1" si="88"/>
        <v>5.3341150669824415E-2</v>
      </c>
      <c r="W197" s="1">
        <f t="shared" ca="1" si="88"/>
        <v>5.1097694461589363E-2</v>
      </c>
      <c r="X197" s="1">
        <f t="shared" ca="1" si="88"/>
        <v>4.9616003760399395E-2</v>
      </c>
      <c r="Y197" s="1">
        <f t="shared" ca="1" si="88"/>
        <v>5.6587122942636854E-2</v>
      </c>
      <c r="Z197" s="1">
        <f t="shared" ca="1" si="88"/>
        <v>5.9629487143599329E-2</v>
      </c>
      <c r="AA197" s="1">
        <f t="shared" ca="1" si="88"/>
        <v>6.3137151489606497E-2</v>
      </c>
      <c r="AB197" s="1">
        <f t="shared" ca="1" si="88"/>
        <v>6.6265101655165706E-2</v>
      </c>
      <c r="AC197" s="1">
        <f t="shared" ca="1" si="88"/>
        <v>6.9468375980129171E-2</v>
      </c>
      <c r="AD197" s="1">
        <f t="shared" ca="1" si="88"/>
        <v>7.2748394650974935E-2</v>
      </c>
      <c r="AE197" s="1">
        <f t="shared" ca="1" si="88"/>
        <v>7.6106599992894861E-2</v>
      </c>
      <c r="AF197" s="1">
        <f t="shared" ca="1" si="88"/>
        <v>7.9544456731304974E-2</v>
      </c>
      <c r="AG197" s="1">
        <f t="shared" ca="1" si="88"/>
        <v>8.3063452254362583E-2</v>
      </c>
      <c r="AH197" s="1">
        <f t="shared" ca="1" si="88"/>
        <v>8.6665096876421349E-2</v>
      </c>
      <c r="AI197" s="1">
        <f t="shared" ca="1" si="88"/>
        <v>9.1265876577456787E-2</v>
      </c>
    </row>
    <row r="198" spans="2:35" hidden="1" outlineLevel="1">
      <c r="B198" s="71" t="s">
        <v>307</v>
      </c>
      <c r="H198" s="1">
        <f t="shared" ca="1" si="88"/>
        <v>9.1607073782978091E-17</v>
      </c>
      <c r="I198" s="1">
        <f t="shared" ca="1" si="88"/>
        <v>7.2624592033782708E-17</v>
      </c>
      <c r="J198" s="1">
        <f t="shared" ca="1" si="88"/>
        <v>2.9856242979695573E-2</v>
      </c>
      <c r="K198" s="1">
        <f t="shared" ca="1" si="88"/>
        <v>3.0188074045508776E-2</v>
      </c>
      <c r="L198" s="1">
        <f t="shared" ca="1" si="88"/>
        <v>2.7636046376446351E-2</v>
      </c>
      <c r="M198" s="1">
        <f t="shared" ca="1" si="88"/>
        <v>2.942475996948864E-2</v>
      </c>
      <c r="N198" s="1">
        <f t="shared" ca="1" si="88"/>
        <v>2.9864176040259795E-2</v>
      </c>
      <c r="O198" s="1">
        <f t="shared" ca="1" si="88"/>
        <v>3.3058961951141413E-2</v>
      </c>
      <c r="P198" s="1">
        <f t="shared" ca="1" si="88"/>
        <v>3.4188465049376032E-2</v>
      </c>
      <c r="Q198" s="1">
        <f t="shared" ca="1" si="88"/>
        <v>3.5734126418482171E-2</v>
      </c>
      <c r="R198" s="1">
        <f t="shared" ca="1" si="88"/>
        <v>3.7637368205540089E-2</v>
      </c>
      <c r="S198" s="1">
        <f t="shared" ca="1" si="88"/>
        <v>3.5109115388658567E-2</v>
      </c>
      <c r="T198" s="1">
        <f t="shared" ca="1" si="88"/>
        <v>3.2667496901470812E-2</v>
      </c>
      <c r="U198" s="1">
        <f t="shared" ca="1" si="88"/>
        <v>5.0832935674952111E-2</v>
      </c>
      <c r="V198" s="1">
        <f t="shared" ca="1" si="88"/>
        <v>4.9282722017688456E-2</v>
      </c>
      <c r="W198" s="1">
        <f t="shared" ca="1" si="88"/>
        <v>4.7714057320722474E-2</v>
      </c>
      <c r="X198" s="1">
        <f t="shared" ca="1" si="88"/>
        <v>4.6330482664505783E-2</v>
      </c>
      <c r="Y198" s="1">
        <f t="shared" ca="1" si="88"/>
        <v>5.283998830286931E-2</v>
      </c>
      <c r="Z198" s="1">
        <f t="shared" ca="1" si="88"/>
        <v>5.5680890621845426E-2</v>
      </c>
      <c r="AA198" s="1">
        <f t="shared" ca="1" si="88"/>
        <v>5.8956281441790388E-2</v>
      </c>
      <c r="AB198" s="1">
        <f t="shared" ca="1" si="88"/>
        <v>6.1877102320555204E-2</v>
      </c>
      <c r="AC198" s="1">
        <f t="shared" ca="1" si="88"/>
        <v>6.4868259478934223E-2</v>
      </c>
      <c r="AD198" s="1">
        <f t="shared" ca="1" si="88"/>
        <v>6.7931079060279273E-2</v>
      </c>
      <c r="AE198" s="1">
        <f t="shared" ca="1" si="88"/>
        <v>7.1066907880655242E-2</v>
      </c>
      <c r="AF198" s="1">
        <f t="shared" ca="1" si="88"/>
        <v>7.4277113673034675E-2</v>
      </c>
      <c r="AG198" s="1">
        <f t="shared" ca="1" si="88"/>
        <v>7.7563085332429976E-2</v>
      </c>
      <c r="AH198" s="1">
        <f t="shared" ca="1" si="88"/>
        <v>8.0926233161903574E-2</v>
      </c>
      <c r="AI198" s="1">
        <f t="shared" ca="1" si="88"/>
        <v>8.5222354486771568E-2</v>
      </c>
    </row>
    <row r="199" spans="2:35" hidden="1" outlineLevel="1">
      <c r="B199" s="71" t="s">
        <v>308</v>
      </c>
      <c r="H199" s="1">
        <f t="shared" ca="1" si="88"/>
        <v>6.6053024741591927E-17</v>
      </c>
      <c r="I199" s="1">
        <f t="shared" ca="1" si="88"/>
        <v>9.0207029302449888E-17</v>
      </c>
      <c r="J199" s="1">
        <f t="shared" ca="1" si="88"/>
        <v>7.193545630978843E-17</v>
      </c>
      <c r="K199" s="1">
        <f t="shared" ca="1" si="88"/>
        <v>9.1035562885599235E-17</v>
      </c>
      <c r="L199" s="1">
        <f t="shared" ca="1" si="88"/>
        <v>1.746296161422598E-17</v>
      </c>
      <c r="M199" s="1">
        <f t="shared" ca="1" si="88"/>
        <v>6.5928626398571654E-17</v>
      </c>
      <c r="N199" s="1">
        <f t="shared" ca="1" si="88"/>
        <v>1.3357572239025206E-17</v>
      </c>
      <c r="O199" s="1">
        <f t="shared" ca="1" si="88"/>
        <v>3.7799736474620356E-17</v>
      </c>
      <c r="P199" s="1">
        <f t="shared" ca="1" si="88"/>
        <v>5.1210417039820995E-17</v>
      </c>
      <c r="Q199" s="1">
        <f t="shared" ca="1" si="88"/>
        <v>5.3324682758486404E-2</v>
      </c>
      <c r="R199" s="1">
        <f t="shared" ca="1" si="88"/>
        <v>5.5752551461259965E-2</v>
      </c>
      <c r="S199" s="1">
        <f t="shared" ca="1" si="88"/>
        <v>5.1993952541165275E-2</v>
      </c>
      <c r="T199" s="1">
        <f t="shared" ca="1" si="88"/>
        <v>4.6341354808247123E-2</v>
      </c>
      <c r="U199" s="1">
        <f t="shared" ca="1" si="88"/>
        <v>4.9447589441645172E-2</v>
      </c>
      <c r="V199" s="1">
        <f t="shared" ca="1" si="88"/>
        <v>4.7005289249085223E-2</v>
      </c>
      <c r="W199" s="1">
        <f t="shared" ca="1" si="88"/>
        <v>4.5112997766872991E-2</v>
      </c>
      <c r="X199" s="1">
        <f t="shared" ca="1" si="88"/>
        <v>4.3804846587092834E-2</v>
      </c>
      <c r="Y199" s="1">
        <f t="shared" ca="1" si="88"/>
        <v>4.9959489917856752E-2</v>
      </c>
      <c r="Z199" s="1">
        <f t="shared" ca="1" si="88"/>
        <v>5.2645524402743137E-2</v>
      </c>
      <c r="AA199" s="1">
        <f t="shared" ca="1" si="88"/>
        <v>5.5742361852974015E-2</v>
      </c>
      <c r="AB199" s="1">
        <f t="shared" ca="1" si="88"/>
        <v>5.8503958248645502E-2</v>
      </c>
      <c r="AC199" s="1">
        <f t="shared" ca="1" si="88"/>
        <v>6.1332056639588108E-2</v>
      </c>
      <c r="AD199" s="1">
        <f t="shared" ca="1" si="88"/>
        <v>6.4227910876295202E-2</v>
      </c>
      <c r="AE199" s="1">
        <f t="shared" ca="1" si="88"/>
        <v>6.7192794355029714E-2</v>
      </c>
      <c r="AF199" s="1">
        <f t="shared" ca="1" si="88"/>
        <v>7.0228000248705291E-2</v>
      </c>
      <c r="AG199" s="1">
        <f t="shared" ca="1" si="88"/>
        <v>7.3334841738657008E-2</v>
      </c>
      <c r="AH199" s="1">
        <f t="shared" ca="1" si="88"/>
        <v>7.6514652247239495E-2</v>
      </c>
      <c r="AI199" s="1">
        <f t="shared" ca="1" si="88"/>
        <v>8.0576576500238972E-2</v>
      </c>
    </row>
    <row r="200" spans="2:35" hidden="1" outlineLevel="1">
      <c r="B200" s="71" t="s">
        <v>309</v>
      </c>
      <c r="H200" s="1">
        <f t="shared" ca="1" si="88"/>
        <v>2.6188718674370694E-2</v>
      </c>
      <c r="I200" s="1">
        <f t="shared" ca="1" si="88"/>
        <v>2.7091029422665551E-2</v>
      </c>
      <c r="J200" s="1">
        <f t="shared" ca="1" si="88"/>
        <v>2.7515610486634756E-2</v>
      </c>
      <c r="K200" s="1">
        <f t="shared" ca="1" si="88"/>
        <v>2.7555670591272764E-2</v>
      </c>
      <c r="L200" s="1">
        <f t="shared" ca="1" si="88"/>
        <v>2.5567679290436227E-2</v>
      </c>
      <c r="M200" s="1">
        <f t="shared" ca="1" si="88"/>
        <v>2.9018928443704281E-2</v>
      </c>
      <c r="N200" s="1">
        <f t="shared" ca="1" si="88"/>
        <v>3.1604732068945193E-2</v>
      </c>
      <c r="O200" s="1">
        <f t="shared" ca="1" si="88"/>
        <v>3.0169839848833327E-2</v>
      </c>
      <c r="P200" s="1">
        <f t="shared" ca="1" si="88"/>
        <v>3.8156249952401834E-2</v>
      </c>
      <c r="Q200" s="1">
        <f t="shared" ca="1" si="88"/>
        <v>4.3863180037305834E-2</v>
      </c>
      <c r="R200" s="1">
        <f t="shared" ca="1" si="88"/>
        <v>4.5248238798925713E-2</v>
      </c>
      <c r="S200" s="1">
        <f t="shared" ca="1" si="88"/>
        <v>4.7034017298188457E-2</v>
      </c>
      <c r="T200" s="1">
        <f t="shared" ca="1" si="88"/>
        <v>4.5276583219827415E-2</v>
      </c>
      <c r="U200" s="1">
        <f t="shared" ca="1" si="88"/>
        <v>4.8587386306406063E-2</v>
      </c>
      <c r="V200" s="1">
        <f t="shared" ca="1" si="88"/>
        <v>5.2025298867492686E-2</v>
      </c>
      <c r="W200" s="1">
        <f t="shared" ca="1" si="88"/>
        <v>4.9366030524907352E-2</v>
      </c>
      <c r="X200" s="1">
        <f t="shared" ca="1" si="88"/>
        <v>5.0457424474477652E-2</v>
      </c>
      <c r="Y200" s="1">
        <f t="shared" ca="1" si="88"/>
        <v>5.7546790086474009E-2</v>
      </c>
      <c r="Z200" s="1">
        <f t="shared" ca="1" si="88"/>
        <v>6.0640750071272495E-2</v>
      </c>
      <c r="AA200" s="1">
        <f t="shared" ca="1" si="88"/>
        <v>6.4207901276646703E-2</v>
      </c>
      <c r="AB200" s="1">
        <f t="shared" ca="1" si="88"/>
        <v>6.7388898687680068E-2</v>
      </c>
      <c r="AC200" s="1">
        <f t="shared" ca="1" si="88"/>
        <v>7.0646497688691634E-2</v>
      </c>
      <c r="AD200" s="1">
        <f t="shared" ca="1" si="88"/>
        <v>7.3982142551255431E-2</v>
      </c>
      <c r="AE200" s="1">
        <f t="shared" ca="1" si="88"/>
        <v>7.7397300061112326E-2</v>
      </c>
      <c r="AF200" s="1">
        <f t="shared" ca="1" si="88"/>
        <v>8.0893459784115399E-2</v>
      </c>
      <c r="AG200" s="1">
        <f t="shared" ca="1" si="88"/>
        <v>8.447213433319857E-2</v>
      </c>
      <c r="AH200" s="1">
        <f t="shared" ca="1" si="88"/>
        <v>8.8134859636300036E-2</v>
      </c>
      <c r="AI200" s="1">
        <f t="shared" ca="1" si="88"/>
        <v>9.2813664458343936E-2</v>
      </c>
    </row>
    <row r="201" spans="2:35" hidden="1" outlineLevel="1">
      <c r="B201" s="71" t="s">
        <v>310</v>
      </c>
      <c r="H201" s="1">
        <f t="shared" ca="1" si="88"/>
        <v>2.2417616248277608E-2</v>
      </c>
      <c r="I201" s="1">
        <f t="shared" ca="1" si="88"/>
        <v>2.1295824819016432E-2</v>
      </c>
      <c r="J201" s="1">
        <f t="shared" ca="1" si="88"/>
        <v>2.2048187518350117E-2</v>
      </c>
      <c r="K201" s="1">
        <f t="shared" ref="K201:AI211" ca="1" si="89">(K$190*K14/1000000)/(K$189*K84/1000)+0.0000000000000001*RAND()</f>
        <v>2.6996999937171202E-2</v>
      </c>
      <c r="L201" s="1">
        <f t="shared" ca="1" si="89"/>
        <v>2.4891942674297458E-2</v>
      </c>
      <c r="M201" s="1">
        <f t="shared" ca="1" si="89"/>
        <v>2.6479984645515913E-2</v>
      </c>
      <c r="N201" s="1">
        <f t="shared" ca="1" si="89"/>
        <v>3.5728551235068906E-2</v>
      </c>
      <c r="O201" s="1">
        <f t="shared" ca="1" si="89"/>
        <v>3.7355053789948717E-2</v>
      </c>
      <c r="P201" s="1">
        <f t="shared" ca="1" si="89"/>
        <v>3.6225475319609332E-2</v>
      </c>
      <c r="Q201" s="1">
        <f t="shared" ca="1" si="89"/>
        <v>5.2216191398659594E-2</v>
      </c>
      <c r="R201" s="1">
        <f t="shared" ca="1" si="89"/>
        <v>5.3032083182688761E-2</v>
      </c>
      <c r="S201" s="1">
        <f t="shared" ca="1" si="89"/>
        <v>5.6005756167217195E-2</v>
      </c>
      <c r="T201" s="1">
        <f t="shared" ca="1" si="89"/>
        <v>5.1405704561805959E-2</v>
      </c>
      <c r="U201" s="1">
        <f t="shared" ca="1" si="89"/>
        <v>5.1799023561495579E-2</v>
      </c>
      <c r="V201" s="1">
        <f t="shared" ca="1" si="89"/>
        <v>5.6396048428223232E-2</v>
      </c>
      <c r="W201" s="1">
        <f t="shared" ca="1" si="89"/>
        <v>5.9462574204954391E-2</v>
      </c>
      <c r="X201" s="1">
        <f t="shared" ca="1" si="89"/>
        <v>5.7738325308861367E-2</v>
      </c>
      <c r="Y201" s="1">
        <f t="shared" ca="1" si="89"/>
        <v>6.5850646591203918E-2</v>
      </c>
      <c r="Z201" s="1">
        <f t="shared" ca="1" si="89"/>
        <v>6.9391057189607988E-2</v>
      </c>
      <c r="AA201" s="1">
        <f t="shared" ca="1" si="89"/>
        <v>7.3472939306916563E-2</v>
      </c>
      <c r="AB201" s="1">
        <f t="shared" ca="1" si="89"/>
        <v>7.7112946612393096E-2</v>
      </c>
      <c r="AC201" s="1">
        <f t="shared" ca="1" si="89"/>
        <v>8.0840608923863841E-2</v>
      </c>
      <c r="AD201" s="1">
        <f t="shared" ca="1" si="89"/>
        <v>8.465757891764436E-2</v>
      </c>
      <c r="AE201" s="1">
        <f t="shared" ca="1" si="89"/>
        <v>8.8565535032954071E-2</v>
      </c>
      <c r="AF201" s="1">
        <f t="shared" ca="1" si="89"/>
        <v>9.2566181776237627E-2</v>
      </c>
      <c r="AG201" s="1">
        <f t="shared" ca="1" si="89"/>
        <v>9.6661250026656098E-2</v>
      </c>
      <c r="AH201" s="1">
        <f t="shared" ca="1" si="89"/>
        <v>0.10085249734267072</v>
      </c>
      <c r="AI201" s="1">
        <f t="shared" ca="1" si="89"/>
        <v>0.10620644188662626</v>
      </c>
    </row>
    <row r="202" spans="2:35" hidden="1" outlineLevel="1">
      <c r="B202" s="71" t="s">
        <v>311</v>
      </c>
      <c r="H202" s="1">
        <f t="shared" ref="H202:W217" ca="1" si="90">(H$190*H15/1000000)/(H$189*H85/1000)+0.0000000000000001*RAND()</f>
        <v>8.93700964358537E-17</v>
      </c>
      <c r="I202" s="1">
        <f t="shared" ca="1" si="90"/>
        <v>1.9068139555153339E-17</v>
      </c>
      <c r="J202" s="1">
        <f t="shared" ca="1" si="90"/>
        <v>3.6080290074349317E-17</v>
      </c>
      <c r="K202" s="1">
        <f t="shared" ca="1" si="90"/>
        <v>7.3397552993291528E-17</v>
      </c>
      <c r="L202" s="1">
        <f t="shared" ca="1" si="90"/>
        <v>7.0449722647438095E-18</v>
      </c>
      <c r="M202" s="1">
        <f t="shared" ca="1" si="89"/>
        <v>7.6220208751607839E-18</v>
      </c>
      <c r="N202" s="1">
        <f t="shared" ca="1" si="89"/>
        <v>8.6360511285734567E-17</v>
      </c>
      <c r="O202" s="1">
        <f t="shared" ca="1" si="89"/>
        <v>2.7890239080130741E-17</v>
      </c>
      <c r="P202" s="1">
        <f t="shared" ca="1" si="89"/>
        <v>6.8523231846069677E-18</v>
      </c>
      <c r="Q202" s="1">
        <f t="shared" ca="1" si="89"/>
        <v>2.2498875510539029E-17</v>
      </c>
      <c r="R202" s="1">
        <f t="shared" ca="1" si="89"/>
        <v>2.6432568041468728E-17</v>
      </c>
      <c r="S202" s="1">
        <f t="shared" ca="1" si="89"/>
        <v>6.5773736446955777E-17</v>
      </c>
      <c r="T202" s="1">
        <f t="shared" ca="1" si="89"/>
        <v>7.8606136903755609E-17</v>
      </c>
      <c r="U202" s="1">
        <f t="shared" ca="1" si="89"/>
        <v>9.9641525029659333E-17</v>
      </c>
      <c r="V202" s="1">
        <f t="shared" ca="1" si="89"/>
        <v>5.0282518264509931E-17</v>
      </c>
      <c r="W202" s="1">
        <f t="shared" ca="1" si="89"/>
        <v>7.3632877337368091E-17</v>
      </c>
      <c r="X202" s="1">
        <f t="shared" ca="1" si="89"/>
        <v>8.8353852153289043E-17</v>
      </c>
      <c r="Y202" s="1">
        <f t="shared" ca="1" si="89"/>
        <v>3.4676154657554248E-17</v>
      </c>
      <c r="Z202" s="1">
        <f t="shared" ca="1" si="89"/>
        <v>7.8041814419252435E-17</v>
      </c>
      <c r="AA202" s="1">
        <f t="shared" ca="1" si="89"/>
        <v>3.0633169036889342E-17</v>
      </c>
      <c r="AB202" s="1">
        <f t="shared" ca="1" si="89"/>
        <v>4.6671810048747817E-17</v>
      </c>
      <c r="AC202" s="1">
        <f t="shared" ca="1" si="89"/>
        <v>9.6985973134336548E-17</v>
      </c>
      <c r="AD202" s="1">
        <f t="shared" ca="1" si="89"/>
        <v>9.982235633710169E-17</v>
      </c>
      <c r="AE202" s="1">
        <f t="shared" ca="1" si="89"/>
        <v>5.6407225771146597E-17</v>
      </c>
      <c r="AF202" s="1">
        <f t="shared" ca="1" si="89"/>
        <v>3.0924362902540704E-3</v>
      </c>
      <c r="AG202" s="1">
        <f t="shared" ca="1" si="89"/>
        <v>6.2722958986142253E-3</v>
      </c>
      <c r="AH202" s="1">
        <f t="shared" ca="1" si="89"/>
        <v>9.5413289131973996E-3</v>
      </c>
      <c r="AI202" s="1">
        <f t="shared" ca="1" si="89"/>
        <v>1.0047848307589096E-2</v>
      </c>
    </row>
    <row r="203" spans="2:35" hidden="1" outlineLevel="1">
      <c r="B203" s="71" t="s">
        <v>312</v>
      </c>
      <c r="H203" s="1">
        <f t="shared" ca="1" si="90"/>
        <v>3.5028637756501887E-17</v>
      </c>
      <c r="I203" s="1">
        <f t="shared" ca="1" si="90"/>
        <v>4.8817995371766679E-18</v>
      </c>
      <c r="J203" s="1">
        <f t="shared" ca="1" si="90"/>
        <v>9.6968144105895253E-17</v>
      </c>
      <c r="K203" s="1">
        <f t="shared" ca="1" si="90"/>
        <v>4.6171597025652651E-19</v>
      </c>
      <c r="L203" s="1">
        <f t="shared" ca="1" si="90"/>
        <v>6.6499883214896387E-17</v>
      </c>
      <c r="M203" s="1">
        <f t="shared" ca="1" si="89"/>
        <v>3.5750670961180129E-17</v>
      </c>
      <c r="N203" s="1">
        <f t="shared" ca="1" si="89"/>
        <v>2.4483202355386791E-17</v>
      </c>
      <c r="O203" s="1">
        <f t="shared" ca="1" si="89"/>
        <v>4.1599949828086967E-17</v>
      </c>
      <c r="P203" s="1">
        <f t="shared" ca="1" si="89"/>
        <v>2.3188848999655632E-17</v>
      </c>
      <c r="Q203" s="1">
        <f t="shared" ca="1" si="89"/>
        <v>6.6631039948579884E-17</v>
      </c>
      <c r="R203" s="1">
        <f t="shared" ca="1" si="89"/>
        <v>8.1613490167845401E-17</v>
      </c>
      <c r="S203" s="1">
        <f t="shared" ca="1" si="89"/>
        <v>3.9196444781124847E-17</v>
      </c>
      <c r="T203" s="1">
        <f t="shared" ca="1" si="89"/>
        <v>2.5244439717870396E-2</v>
      </c>
      <c r="U203" s="1">
        <f t="shared" ca="1" si="89"/>
        <v>2.6161199518782121E-2</v>
      </c>
      <c r="V203" s="1">
        <f t="shared" ca="1" si="89"/>
        <v>2.5234541140626104E-2</v>
      </c>
      <c r="W203" s="1">
        <f t="shared" ca="1" si="89"/>
        <v>2.3457349624418873E-2</v>
      </c>
      <c r="X203" s="1">
        <f t="shared" ca="1" si="89"/>
        <v>2.2777151874221212E-2</v>
      </c>
      <c r="Y203" s="1">
        <f t="shared" ca="1" si="89"/>
        <v>2.5977394154103713E-2</v>
      </c>
      <c r="Z203" s="1">
        <f t="shared" ca="1" si="89"/>
        <v>2.7374049256870689E-2</v>
      </c>
      <c r="AA203" s="1">
        <f t="shared" ca="1" si="89"/>
        <v>2.8984309233665975E-2</v>
      </c>
      <c r="AB203" s="1">
        <f t="shared" ca="1" si="89"/>
        <v>3.0911884751043259E-2</v>
      </c>
      <c r="AC203" s="1">
        <f t="shared" ca="1" si="89"/>
        <v>3.2887980242544169E-2</v>
      </c>
      <c r="AD203" s="1">
        <f t="shared" ca="1" si="89"/>
        <v>3.4913528129652073E-2</v>
      </c>
      <c r="AE203" s="1">
        <f t="shared" ca="1" si="89"/>
        <v>3.6989475551854278E-2</v>
      </c>
      <c r="AF203" s="1">
        <f t="shared" ca="1" si="89"/>
        <v>3.9116784542938023E-2</v>
      </c>
      <c r="AG203" s="1">
        <f t="shared" ca="1" si="89"/>
        <v>4.1296432208021809E-2</v>
      </c>
      <c r="AH203" s="1">
        <f t="shared" ca="1" si="89"/>
        <v>4.3529410901276405E-2</v>
      </c>
      <c r="AI203" s="1">
        <f t="shared" ca="1" si="89"/>
        <v>4.5840251565981351E-2</v>
      </c>
    </row>
    <row r="204" spans="2:35" hidden="1" outlineLevel="1">
      <c r="B204" s="71" t="s">
        <v>313</v>
      </c>
      <c r="H204" s="1">
        <f t="shared" ca="1" si="90"/>
        <v>3.762770005839039E-2</v>
      </c>
      <c r="I204" s="1">
        <f t="shared" ca="1" si="90"/>
        <v>3.5683591829441363E-2</v>
      </c>
      <c r="J204" s="1">
        <f t="shared" ca="1" si="90"/>
        <v>2.7282009342183697E-2</v>
      </c>
      <c r="K204" s="1">
        <f t="shared" ca="1" si="90"/>
        <v>2.7831843078327149E-2</v>
      </c>
      <c r="L204" s="1">
        <f t="shared" ca="1" si="90"/>
        <v>2.5715110801971346E-2</v>
      </c>
      <c r="M204" s="1">
        <f t="shared" ca="1" si="89"/>
        <v>2.686900759680547E-2</v>
      </c>
      <c r="N204" s="1">
        <f t="shared" ca="1" si="89"/>
        <v>2.6842049842652885E-2</v>
      </c>
      <c r="O204" s="1">
        <f t="shared" ca="1" si="89"/>
        <v>2.6861200667159288E-2</v>
      </c>
      <c r="P204" s="1">
        <f t="shared" ca="1" si="89"/>
        <v>2.729338943970204E-2</v>
      </c>
      <c r="Q204" s="1">
        <f t="shared" ca="1" si="89"/>
        <v>2.9856485472719695E-2</v>
      </c>
      <c r="R204" s="1">
        <f t="shared" ca="1" si="89"/>
        <v>3.094191947719558E-2</v>
      </c>
      <c r="S204" s="1">
        <f t="shared" ca="1" si="89"/>
        <v>3.7895778349991832E-2</v>
      </c>
      <c r="T204" s="1">
        <f t="shared" ca="1" si="89"/>
        <v>4.0915607845577177E-2</v>
      </c>
      <c r="U204" s="1">
        <f t="shared" ca="1" si="89"/>
        <v>3.9816684186967377E-2</v>
      </c>
      <c r="V204" s="1">
        <f t="shared" ca="1" si="89"/>
        <v>4.0475633958356683E-2</v>
      </c>
      <c r="W204" s="1">
        <f t="shared" ca="1" si="89"/>
        <v>3.87860647941667E-2</v>
      </c>
      <c r="X204" s="1">
        <f t="shared" ca="1" si="89"/>
        <v>3.7661377033851751E-2</v>
      </c>
      <c r="Y204" s="1">
        <f t="shared" ca="1" si="89"/>
        <v>4.2952888633151325E-2</v>
      </c>
      <c r="Z204" s="1">
        <f t="shared" ca="1" si="89"/>
        <v>4.5262218457851749E-2</v>
      </c>
      <c r="AA204" s="1">
        <f t="shared" ca="1" si="89"/>
        <v>4.7924737917787182E-2</v>
      </c>
      <c r="AB204" s="1">
        <f t="shared" ca="1" si="89"/>
        <v>5.0299032423755705E-2</v>
      </c>
      <c r="AC204" s="1">
        <f t="shared" ca="1" si="89"/>
        <v>5.2730502309246176E-2</v>
      </c>
      <c r="AD204" s="1">
        <f t="shared" ca="1" si="89"/>
        <v>5.5220225577670888E-2</v>
      </c>
      <c r="AE204" s="1">
        <f t="shared" ca="1" si="89"/>
        <v>5.7769297037002086E-2</v>
      </c>
      <c r="AF204" s="1">
        <f t="shared" ca="1" si="89"/>
        <v>6.0378828498274056E-2</v>
      </c>
      <c r="AG204" s="1">
        <f t="shared" ca="1" si="89"/>
        <v>6.3049948974847794E-2</v>
      </c>
      <c r="AH204" s="1">
        <f t="shared" ca="1" si="89"/>
        <v>6.5783804882389177E-2</v>
      </c>
      <c r="AI204" s="1">
        <f t="shared" ca="1" si="89"/>
        <v>6.9276061916282994E-2</v>
      </c>
    </row>
    <row r="205" spans="2:35" hidden="1" outlineLevel="1">
      <c r="B205" s="71" t="s">
        <v>314</v>
      </c>
      <c r="H205" s="1">
        <f t="shared" ca="1" si="90"/>
        <v>7.9303444967265529E-3</v>
      </c>
      <c r="I205" s="1">
        <f t="shared" ca="1" si="90"/>
        <v>8.605427731414244E-3</v>
      </c>
      <c r="J205" s="1">
        <f t="shared" ca="1" si="90"/>
        <v>1.830532652897356E-2</v>
      </c>
      <c r="K205" s="1">
        <f t="shared" ca="1" si="90"/>
        <v>1.8476509691227102E-2</v>
      </c>
      <c r="L205" s="1">
        <f t="shared" ca="1" si="90"/>
        <v>1.4439472800563983E-2</v>
      </c>
      <c r="M205" s="1">
        <f t="shared" ca="1" si="89"/>
        <v>1.5259036695281173E-2</v>
      </c>
      <c r="N205" s="1">
        <f t="shared" ca="1" si="89"/>
        <v>1.5938307729283951E-2</v>
      </c>
      <c r="O205" s="1">
        <f t="shared" ca="1" si="89"/>
        <v>1.5244320027675963E-2</v>
      </c>
      <c r="P205" s="1">
        <f t="shared" ca="1" si="89"/>
        <v>1.5301840928325934E-2</v>
      </c>
      <c r="Q205" s="1">
        <f t="shared" ca="1" si="89"/>
        <v>1.8044928360770374E-2</v>
      </c>
      <c r="R205" s="1">
        <f t="shared" ca="1" si="89"/>
        <v>1.7668044232034982E-2</v>
      </c>
      <c r="S205" s="1">
        <f t="shared" ca="1" si="89"/>
        <v>1.6486211617815501E-2</v>
      </c>
      <c r="T205" s="1">
        <f t="shared" ca="1" si="89"/>
        <v>1.5100600113883953E-2</v>
      </c>
      <c r="U205" s="1">
        <f t="shared" ca="1" si="89"/>
        <v>1.5510889615058809E-2</v>
      </c>
      <c r="V205" s="1">
        <f t="shared" ca="1" si="89"/>
        <v>1.5272928818387387E-2</v>
      </c>
      <c r="W205" s="1">
        <f t="shared" ca="1" si="89"/>
        <v>2.2054854821245886E-2</v>
      </c>
      <c r="X205" s="1">
        <f t="shared" ca="1" si="89"/>
        <v>2.1415325510793389E-2</v>
      </c>
      <c r="Y205" s="1">
        <f t="shared" ca="1" si="89"/>
        <v>2.4424206166020375E-2</v>
      </c>
      <c r="Z205" s="1">
        <f t="shared" ca="1" si="89"/>
        <v>2.5737355282149803E-2</v>
      </c>
      <c r="AA205" s="1">
        <f t="shared" ca="1" si="89"/>
        <v>2.7251337840247403E-2</v>
      </c>
      <c r="AB205" s="1">
        <f t="shared" ca="1" si="89"/>
        <v>2.9316162603802091E-2</v>
      </c>
      <c r="AC205" s="1">
        <f t="shared" ca="1" si="89"/>
        <v>3.1433766353321915E-2</v>
      </c>
      <c r="AD205" s="1">
        <f t="shared" ca="1" si="89"/>
        <v>3.3605169802574664E-2</v>
      </c>
      <c r="AE205" s="1">
        <f t="shared" ca="1" si="89"/>
        <v>3.5831409842668055E-2</v>
      </c>
      <c r="AF205" s="1">
        <f t="shared" ca="1" si="89"/>
        <v>3.8113539736692188E-2</v>
      </c>
      <c r="AG205" s="1">
        <f t="shared" ca="1" si="89"/>
        <v>4.0452629315193757E-2</v>
      </c>
      <c r="AH205" s="1">
        <f t="shared" ca="1" si="89"/>
        <v>4.2849765172431567E-2</v>
      </c>
      <c r="AI205" s="1">
        <f t="shared" ca="1" si="89"/>
        <v>4.5124525565079343E-2</v>
      </c>
    </row>
    <row r="206" spans="2:35" hidden="1" outlineLevel="1">
      <c r="B206" s="71" t="s">
        <v>315</v>
      </c>
      <c r="H206" s="1">
        <f t="shared" ca="1" si="90"/>
        <v>2.0303913491133241E-17</v>
      </c>
      <c r="I206" s="1">
        <f t="shared" ca="1" si="90"/>
        <v>7.9587748736832532E-17</v>
      </c>
      <c r="J206" s="1">
        <f t="shared" ca="1" si="90"/>
        <v>9.0205267229910954E-17</v>
      </c>
      <c r="K206" s="1">
        <f t="shared" ca="1" si="90"/>
        <v>7.2883421034773968E-19</v>
      </c>
      <c r="L206" s="1">
        <f t="shared" ca="1" si="90"/>
        <v>5.1267169879152842E-17</v>
      </c>
      <c r="M206" s="1">
        <f t="shared" ca="1" si="89"/>
        <v>4.6867583336508352E-17</v>
      </c>
      <c r="N206" s="1">
        <f t="shared" ca="1" si="89"/>
        <v>6.1631669088719146E-17</v>
      </c>
      <c r="O206" s="1">
        <f t="shared" ca="1" si="89"/>
        <v>2.8209321341609695E-17</v>
      </c>
      <c r="P206" s="1">
        <f t="shared" ca="1" si="89"/>
        <v>1.3125385152453161E-2</v>
      </c>
      <c r="Q206" s="1">
        <f t="shared" ca="1" si="89"/>
        <v>1.4319123338807785E-2</v>
      </c>
      <c r="R206" s="1">
        <f t="shared" ca="1" si="89"/>
        <v>1.4899792220569258E-2</v>
      </c>
      <c r="S206" s="1">
        <f t="shared" ca="1" si="89"/>
        <v>1.3794341113933833E-2</v>
      </c>
      <c r="T206" s="1">
        <f t="shared" ca="1" si="89"/>
        <v>1.2695921614870539E-2</v>
      </c>
      <c r="U206" s="1">
        <f t="shared" ca="1" si="89"/>
        <v>1.284453447235725E-2</v>
      </c>
      <c r="V206" s="1">
        <f t="shared" ca="1" si="89"/>
        <v>1.2892163815762058E-2</v>
      </c>
      <c r="W206" s="1">
        <f t="shared" ca="1" si="89"/>
        <v>1.2163902475661214E-2</v>
      </c>
      <c r="X206" s="1">
        <f t="shared" ca="1" si="89"/>
        <v>1.18111832115481E-2</v>
      </c>
      <c r="Y206" s="1">
        <f t="shared" ca="1" si="89"/>
        <v>1.34706695723214E-2</v>
      </c>
      <c r="Z206" s="1">
        <f t="shared" ca="1" si="89"/>
        <v>1.4194910013231764E-2</v>
      </c>
      <c r="AA206" s="1">
        <f t="shared" ca="1" si="89"/>
        <v>1.5029916016692643E-2</v>
      </c>
      <c r="AB206" s="1">
        <f t="shared" ca="1" si="89"/>
        <v>1.8062662662206453E-2</v>
      </c>
      <c r="AC206" s="1">
        <f t="shared" ca="1" si="89"/>
        <v>2.1178224092583253E-2</v>
      </c>
      <c r="AD206" s="1">
        <f t="shared" ca="1" si="89"/>
        <v>2.4378243684638163E-2</v>
      </c>
      <c r="AE206" s="1">
        <f t="shared" ca="1" si="89"/>
        <v>2.766439128419217E-2</v>
      </c>
      <c r="AF206" s="1">
        <f t="shared" ca="1" si="89"/>
        <v>3.1038363530099963E-2</v>
      </c>
      <c r="AG206" s="1">
        <f t="shared" ca="1" si="89"/>
        <v>3.4501884179785815E-2</v>
      </c>
      <c r="AH206" s="1">
        <f t="shared" ca="1" si="89"/>
        <v>3.8056704436209933E-2</v>
      </c>
      <c r="AI206" s="1">
        <f t="shared" ca="1" si="89"/>
        <v>4.0077016183026448E-2</v>
      </c>
    </row>
    <row r="207" spans="2:35" hidden="1" outlineLevel="1">
      <c r="B207" s="71" t="s">
        <v>316</v>
      </c>
      <c r="H207" s="1">
        <f t="shared" ca="1" si="90"/>
        <v>1.8608227996512784E-2</v>
      </c>
      <c r="I207" s="1">
        <f t="shared" ca="1" si="90"/>
        <v>3.5805668885065145E-2</v>
      </c>
      <c r="J207" s="1">
        <f t="shared" ca="1" si="90"/>
        <v>3.7676191714194569E-2</v>
      </c>
      <c r="K207" s="1">
        <f t="shared" ca="1" si="90"/>
        <v>3.7339303283074755E-2</v>
      </c>
      <c r="L207" s="1">
        <f t="shared" ca="1" si="90"/>
        <v>3.4336672907286946E-2</v>
      </c>
      <c r="M207" s="1">
        <f t="shared" ca="1" si="89"/>
        <v>3.660616853654021E-2</v>
      </c>
      <c r="N207" s="1">
        <f t="shared" ca="1" si="89"/>
        <v>3.7083396765585211E-2</v>
      </c>
      <c r="O207" s="1">
        <f t="shared" ca="1" si="89"/>
        <v>3.8335488989062361E-2</v>
      </c>
      <c r="P207" s="1">
        <f t="shared" ca="1" si="89"/>
        <v>3.7758388345447473E-2</v>
      </c>
      <c r="Q207" s="1">
        <f t="shared" ca="1" si="89"/>
        <v>3.8680845499958635E-2</v>
      </c>
      <c r="R207" s="1">
        <f t="shared" ca="1" si="89"/>
        <v>4.2263513006899942E-2</v>
      </c>
      <c r="S207" s="1">
        <f t="shared" ca="1" si="89"/>
        <v>3.8170418965582979E-2</v>
      </c>
      <c r="T207" s="1">
        <f t="shared" ca="1" si="89"/>
        <v>3.5059584236688202E-2</v>
      </c>
      <c r="U207" s="1">
        <f t="shared" ca="1" si="89"/>
        <v>3.5279970813868994E-2</v>
      </c>
      <c r="V207" s="1">
        <f t="shared" ca="1" si="89"/>
        <v>3.531043331700881E-2</v>
      </c>
      <c r="W207" s="1">
        <f t="shared" ca="1" si="89"/>
        <v>3.4190014116776461E-2</v>
      </c>
      <c r="X207" s="1">
        <f t="shared" ca="1" si="89"/>
        <v>3.3198599014311173E-2</v>
      </c>
      <c r="Y207" s="1">
        <f t="shared" ca="1" si="89"/>
        <v>3.7863088311030545E-2</v>
      </c>
      <c r="Z207" s="1">
        <f t="shared" ca="1" si="89"/>
        <v>3.9898768840894758E-2</v>
      </c>
      <c r="AA207" s="1">
        <f t="shared" ca="1" si="89"/>
        <v>4.2245786996119861E-2</v>
      </c>
      <c r="AB207" s="1">
        <f t="shared" ca="1" si="89"/>
        <v>4.4338734069451123E-2</v>
      </c>
      <c r="AC207" s="1">
        <f t="shared" ca="1" si="89"/>
        <v>4.6482081395546347E-2</v>
      </c>
      <c r="AD207" s="1">
        <f t="shared" ca="1" si="89"/>
        <v>4.8676779237349546E-2</v>
      </c>
      <c r="AE207" s="1">
        <f t="shared" ca="1" si="89"/>
        <v>5.0923792671069931E-2</v>
      </c>
      <c r="AF207" s="1">
        <f t="shared" ca="1" si="89"/>
        <v>5.3224101761162108E-2</v>
      </c>
      <c r="AG207" s="1">
        <f t="shared" ca="1" si="89"/>
        <v>5.5578701735978717E-2</v>
      </c>
      <c r="AH207" s="1">
        <f t="shared" ca="1" si="89"/>
        <v>5.7988603164051383E-2</v>
      </c>
      <c r="AI207" s="1">
        <f t="shared" ca="1" si="89"/>
        <v>6.1067037250486352E-2</v>
      </c>
    </row>
    <row r="208" spans="2:35" hidden="1" outlineLevel="1">
      <c r="B208" s="71" t="s">
        <v>317</v>
      </c>
      <c r="H208" s="1">
        <f t="shared" ca="1" si="90"/>
        <v>1.3306857975357656E-2</v>
      </c>
      <c r="I208" s="1">
        <f t="shared" ca="1" si="90"/>
        <v>1.2526224970213573E-2</v>
      </c>
      <c r="J208" s="1">
        <f t="shared" ca="1" si="90"/>
        <v>1.282568820830573E-2</v>
      </c>
      <c r="K208" s="1">
        <f t="shared" ca="1" si="90"/>
        <v>1.2977828465613215E-2</v>
      </c>
      <c r="L208" s="1">
        <f t="shared" ca="1" si="90"/>
        <v>1.1862078055510917E-2</v>
      </c>
      <c r="M208" s="1">
        <f t="shared" ca="1" si="89"/>
        <v>1.2594510485342597E-2</v>
      </c>
      <c r="N208" s="1">
        <f t="shared" ca="1" si="89"/>
        <v>1.2797319907826335E-2</v>
      </c>
      <c r="O208" s="1">
        <f t="shared" ca="1" si="89"/>
        <v>2.4894405930967794E-2</v>
      </c>
      <c r="P208" s="1">
        <f t="shared" ca="1" si="89"/>
        <v>2.5106414908453695E-2</v>
      </c>
      <c r="Q208" s="1">
        <f t="shared" ca="1" si="89"/>
        <v>2.5120431190676012E-2</v>
      </c>
      <c r="R208" s="1">
        <f t="shared" ca="1" si="89"/>
        <v>2.580141546256811E-2</v>
      </c>
      <c r="S208" s="1">
        <f t="shared" ca="1" si="89"/>
        <v>2.4414932760198994E-2</v>
      </c>
      <c r="T208" s="1">
        <f t="shared" ca="1" si="89"/>
        <v>2.231950343666057E-2</v>
      </c>
      <c r="U208" s="1">
        <f t="shared" ca="1" si="89"/>
        <v>2.2658890032815123E-2</v>
      </c>
      <c r="V208" s="1">
        <f t="shared" ca="1" si="89"/>
        <v>2.2001472323599978E-2</v>
      </c>
      <c r="W208" s="1">
        <f t="shared" ca="1" si="89"/>
        <v>2.121203280446966E-2</v>
      </c>
      <c r="X208" s="1">
        <f t="shared" ca="1" si="89"/>
        <v>2.059694298308164E-2</v>
      </c>
      <c r="Y208" s="1">
        <f t="shared" ca="1" si="89"/>
        <v>2.3490863860317401E-2</v>
      </c>
      <c r="Z208" s="1">
        <f t="shared" ca="1" si="89"/>
        <v>2.4753832527778314E-2</v>
      </c>
      <c r="AA208" s="1">
        <f t="shared" ca="1" si="89"/>
        <v>2.6209960023485652E-2</v>
      </c>
      <c r="AB208" s="1">
        <f t="shared" ca="1" si="89"/>
        <v>2.8357260655297194E-2</v>
      </c>
      <c r="AC208" s="1">
        <f t="shared" ca="1" si="89"/>
        <v>3.0559899600059899E-2</v>
      </c>
      <c r="AD208" s="1">
        <f t="shared" ca="1" si="89"/>
        <v>3.2818950628174061E-2</v>
      </c>
      <c r="AE208" s="1">
        <f t="shared" ca="1" si="89"/>
        <v>3.5135504564324245E-2</v>
      </c>
      <c r="AF208" s="1">
        <f t="shared" ca="1" si="89"/>
        <v>3.7510669493147748E-2</v>
      </c>
      <c r="AG208" s="1">
        <f t="shared" ca="1" si="89"/>
        <v>3.9945570965790142E-2</v>
      </c>
      <c r="AH208" s="1">
        <f t="shared" ca="1" si="89"/>
        <v>4.2441352207299124E-2</v>
      </c>
      <c r="AI208" s="1">
        <f t="shared" ca="1" si="89"/>
        <v>4.4694431229391172E-2</v>
      </c>
    </row>
    <row r="209" spans="2:35" hidden="1" outlineLevel="1">
      <c r="B209" s="71" t="s">
        <v>318</v>
      </c>
      <c r="H209" s="1">
        <f t="shared" ca="1" si="90"/>
        <v>2.9639155056476208E-17</v>
      </c>
      <c r="I209" s="1">
        <f t="shared" ca="1" si="90"/>
        <v>3.1653321751169792E-17</v>
      </c>
      <c r="J209" s="1">
        <f t="shared" ca="1" si="90"/>
        <v>6.2141165464526855E-17</v>
      </c>
      <c r="K209" s="1">
        <f t="shared" ca="1" si="90"/>
        <v>4.4125440511005485E-17</v>
      </c>
      <c r="L209" s="1">
        <f t="shared" ca="1" si="90"/>
        <v>4.5157737334010403E-18</v>
      </c>
      <c r="M209" s="1">
        <f t="shared" ca="1" si="89"/>
        <v>8.8217263106034102E-17</v>
      </c>
      <c r="N209" s="1">
        <f t="shared" ca="1" si="89"/>
        <v>3.9275141600065698E-17</v>
      </c>
      <c r="O209" s="1">
        <f t="shared" ca="1" si="89"/>
        <v>1.1563206323125418E-2</v>
      </c>
      <c r="P209" s="1">
        <f t="shared" ca="1" si="89"/>
        <v>1.1871916957734577E-2</v>
      </c>
      <c r="Q209" s="1">
        <f t="shared" ca="1" si="89"/>
        <v>1.3008972474212885E-2</v>
      </c>
      <c r="R209" s="1">
        <f t="shared" ca="1" si="89"/>
        <v>1.40237355725554E-2</v>
      </c>
      <c r="S209" s="1">
        <f t="shared" ca="1" si="89"/>
        <v>1.3065954057997079E-2</v>
      </c>
      <c r="T209" s="1">
        <f t="shared" ca="1" si="89"/>
        <v>1.2157299008515103E-2</v>
      </c>
      <c r="U209" s="1">
        <f t="shared" ca="1" si="89"/>
        <v>1.2540881367181211E-2</v>
      </c>
      <c r="V209" s="1">
        <f t="shared" ca="1" si="89"/>
        <v>4.9832734634354676E-2</v>
      </c>
      <c r="W209" s="1">
        <f t="shared" ca="1" si="89"/>
        <v>4.9295466115918146E-2</v>
      </c>
      <c r="X209" s="1">
        <f t="shared" ca="1" si="89"/>
        <v>5.983254376615272E-2</v>
      </c>
      <c r="Y209" s="1">
        <f t="shared" ca="1" si="89"/>
        <v>6.8239090397089211E-2</v>
      </c>
      <c r="Z209" s="1">
        <f t="shared" ca="1" si="89"/>
        <v>7.1907913884383307E-2</v>
      </c>
      <c r="AA209" s="1">
        <f t="shared" ca="1" si="89"/>
        <v>7.6137848398503696E-2</v>
      </c>
      <c r="AB209" s="1">
        <f t="shared" ca="1" si="89"/>
        <v>7.990988102722657E-2</v>
      </c>
      <c r="AC209" s="1">
        <f t="shared" ca="1" si="89"/>
        <v>8.3772747963392194E-2</v>
      </c>
      <c r="AD209" s="1">
        <f t="shared" ca="1" si="89"/>
        <v>8.7728161826911691E-2</v>
      </c>
      <c r="AE209" s="1">
        <f t="shared" ca="1" si="89"/>
        <v>9.1777861935036342E-2</v>
      </c>
      <c r="AF209" s="1">
        <f t="shared" ca="1" si="89"/>
        <v>9.5923614617716896E-2</v>
      </c>
      <c r="AG209" s="1">
        <f t="shared" ca="1" si="89"/>
        <v>0.10016721353417557</v>
      </c>
      <c r="AH209" s="1">
        <f t="shared" ca="1" si="89"/>
        <v>0.10451047999060946</v>
      </c>
      <c r="AI209" s="1">
        <f t="shared" ca="1" si="89"/>
        <v>0.11005861542478422</v>
      </c>
    </row>
    <row r="210" spans="2:35" hidden="1" outlineLevel="1">
      <c r="B210" s="71" t="s">
        <v>319</v>
      </c>
      <c r="H210" s="1">
        <f t="shared" ca="1" si="90"/>
        <v>1.8846394402898448E-17</v>
      </c>
      <c r="I210" s="1">
        <f t="shared" ca="1" si="90"/>
        <v>7.2159641622322491E-17</v>
      </c>
      <c r="J210" s="1">
        <f t="shared" ca="1" si="90"/>
        <v>3.3515013196327347E-17</v>
      </c>
      <c r="K210" s="1">
        <f t="shared" ca="1" si="90"/>
        <v>5.9746871601357274E-18</v>
      </c>
      <c r="L210" s="1">
        <f t="shared" ca="1" si="90"/>
        <v>6.2980315105084612E-17</v>
      </c>
      <c r="M210" s="1">
        <f t="shared" ca="1" si="89"/>
        <v>4.8492631991819226E-17</v>
      </c>
      <c r="N210" s="1">
        <f t="shared" ca="1" si="89"/>
        <v>6.8932009439443675E-17</v>
      </c>
      <c r="O210" s="1">
        <f t="shared" ca="1" si="89"/>
        <v>8.1406114459014054E-17</v>
      </c>
      <c r="P210" s="1">
        <f t="shared" ca="1" si="89"/>
        <v>9.5641059333212466E-17</v>
      </c>
      <c r="Q210" s="1">
        <f t="shared" ca="1" si="89"/>
        <v>4.6355398736113915E-17</v>
      </c>
      <c r="R210" s="1">
        <f t="shared" ca="1" si="89"/>
        <v>2.6809849581033472E-17</v>
      </c>
      <c r="S210" s="1">
        <f t="shared" ca="1" si="89"/>
        <v>2.3901984055513325E-17</v>
      </c>
      <c r="T210" s="1">
        <f t="shared" ca="1" si="89"/>
        <v>6.0763777045916229E-17</v>
      </c>
      <c r="U210" s="1">
        <f t="shared" ca="1" si="89"/>
        <v>4.4159052420522128E-2</v>
      </c>
      <c r="V210" s="1">
        <f t="shared" ca="1" si="89"/>
        <v>4.2420857745774809E-2</v>
      </c>
      <c r="W210" s="1">
        <f t="shared" ca="1" si="89"/>
        <v>4.0883297059878379E-2</v>
      </c>
      <c r="X210" s="1">
        <f t="shared" ca="1" si="89"/>
        <v>3.9697795410031107E-2</v>
      </c>
      <c r="Y210" s="1">
        <f t="shared" ca="1" si="89"/>
        <v>4.5275430821273138E-2</v>
      </c>
      <c r="Z210" s="1">
        <f t="shared" ca="1" si="89"/>
        <v>4.7709630383838388E-2</v>
      </c>
      <c r="AA210" s="1">
        <f t="shared" ca="1" si="89"/>
        <v>5.0516117198919699E-2</v>
      </c>
      <c r="AB210" s="1">
        <f t="shared" ca="1" si="89"/>
        <v>5.301879420330996E-2</v>
      </c>
      <c r="AC210" s="1">
        <f t="shared" ca="1" si="89"/>
        <v>5.5581738165816137E-2</v>
      </c>
      <c r="AD210" s="1">
        <f t="shared" ca="1" si="89"/>
        <v>5.8206085379490534E-2</v>
      </c>
      <c r="AE210" s="1">
        <f t="shared" ca="1" si="89"/>
        <v>6.0892989850598898E-2</v>
      </c>
      <c r="AF210" s="1">
        <f t="shared" ca="1" si="89"/>
        <v>6.3643623507855671E-2</v>
      </c>
      <c r="AG210" s="1">
        <f t="shared" ca="1" si="89"/>
        <v>6.6459176412464238E-2</v>
      </c>
      <c r="AH210" s="1">
        <f t="shared" ca="1" si="89"/>
        <v>6.9340856968907211E-2</v>
      </c>
      <c r="AI210" s="1">
        <f t="shared" ca="1" si="89"/>
        <v>7.302194680429791E-2</v>
      </c>
    </row>
    <row r="211" spans="2:35" hidden="1" outlineLevel="1">
      <c r="B211" s="71" t="s">
        <v>320</v>
      </c>
      <c r="H211" s="1">
        <f t="shared" ca="1" si="90"/>
        <v>3.8505470484686079E-17</v>
      </c>
      <c r="I211" s="1">
        <f t="shared" ca="1" si="90"/>
        <v>2.9685856303522266E-2</v>
      </c>
      <c r="J211" s="1">
        <f t="shared" ca="1" si="90"/>
        <v>3.0434802721823626E-2</v>
      </c>
      <c r="K211" s="1">
        <f t="shared" ca="1" si="90"/>
        <v>4.0711377265509545E-2</v>
      </c>
      <c r="L211" s="1">
        <f t="shared" ca="1" si="90"/>
        <v>3.7709497490616944E-2</v>
      </c>
      <c r="M211" s="1">
        <f t="shared" ca="1" si="89"/>
        <v>4.0190252063545109E-2</v>
      </c>
      <c r="N211" s="1">
        <f t="shared" ca="1" si="89"/>
        <v>4.0294245630893663E-2</v>
      </c>
      <c r="O211" s="1">
        <f t="shared" ca="1" si="89"/>
        <v>4.8181887608712115E-2</v>
      </c>
      <c r="P211" s="1">
        <f t="shared" ca="1" si="89"/>
        <v>4.6503661537641849E-2</v>
      </c>
      <c r="Q211" s="1">
        <f t="shared" ca="1" si="89"/>
        <v>7.9791027969659062E-2</v>
      </c>
      <c r="R211" s="1">
        <f t="shared" ca="1" si="89"/>
        <v>8.0388135085360968E-2</v>
      </c>
      <c r="S211" s="1">
        <f t="shared" ca="1" si="89"/>
        <v>7.3391024315938552E-2</v>
      </c>
      <c r="T211" s="1">
        <f t="shared" ca="1" si="89"/>
        <v>6.7723723639676728E-2</v>
      </c>
      <c r="U211" s="1">
        <f t="shared" ca="1" si="89"/>
        <v>7.8133075403478525E-2</v>
      </c>
      <c r="V211" s="1">
        <f t="shared" ca="1" si="89"/>
        <v>8.004520878109983E-2</v>
      </c>
      <c r="W211" s="1">
        <f t="shared" ca="1" si="89"/>
        <v>7.7454729509511253E-2</v>
      </c>
      <c r="X211" s="1">
        <f t="shared" ca="1" si="89"/>
        <v>7.5208758263906633E-2</v>
      </c>
      <c r="Y211" s="1">
        <f t="shared" ca="1" si="89"/>
        <v>8.5775695883384656E-2</v>
      </c>
      <c r="Z211" s="1">
        <f t="shared" ca="1" si="89"/>
        <v>9.0387361804848618E-2</v>
      </c>
      <c r="AA211" s="1">
        <f t="shared" ca="1" si="89"/>
        <v>9.5704337373815188E-2</v>
      </c>
      <c r="AB211" s="1">
        <f t="shared" ca="1" si="89"/>
        <v>9.741809421510142E-2</v>
      </c>
      <c r="AC211" s="1">
        <f t="shared" ca="1" si="89"/>
        <v>9.9160174935965559E-2</v>
      </c>
      <c r="AD211" s="1">
        <f t="shared" ca="1" si="89"/>
        <v>0.10093100511571547</v>
      </c>
      <c r="AE211" s="1">
        <f t="shared" ca="1" si="89"/>
        <v>0.1027310158417158</v>
      </c>
      <c r="AF211" s="1">
        <f t="shared" ca="1" si="89"/>
        <v>0.10456064375941074</v>
      </c>
      <c r="AG211" s="1">
        <f t="shared" ca="1" si="89"/>
        <v>0.10642033112219504</v>
      </c>
      <c r="AH211" s="1">
        <f t="shared" ca="1" si="89"/>
        <v>0.10831052584110799</v>
      </c>
      <c r="AI211" s="1">
        <f t="shared" ca="1" si="89"/>
        <v>0.11406039385785757</v>
      </c>
    </row>
    <row r="212" spans="2:35" hidden="1" outlineLevel="1">
      <c r="B212" s="71" t="s">
        <v>351</v>
      </c>
      <c r="H212" s="1">
        <f t="shared" ca="1" si="90"/>
        <v>4.5659508088943554E-17</v>
      </c>
      <c r="I212" s="1">
        <f t="shared" ca="1" si="90"/>
        <v>7.8127123845871486E-17</v>
      </c>
      <c r="J212" s="1">
        <f t="shared" ca="1" si="90"/>
        <v>4.2772984061932083E-17</v>
      </c>
      <c r="K212" s="1">
        <f t="shared" ca="1" si="90"/>
        <v>9.096228994242014E-17</v>
      </c>
      <c r="L212" s="1">
        <f t="shared" ca="1" si="90"/>
        <v>7.634524181462875E-17</v>
      </c>
      <c r="M212" s="1">
        <f t="shared" ca="1" si="90"/>
        <v>6.3168174669902566E-17</v>
      </c>
      <c r="N212" s="1">
        <f t="shared" ca="1" si="90"/>
        <v>3.452307355081736E-17</v>
      </c>
      <c r="O212" s="1">
        <f t="shared" ca="1" si="90"/>
        <v>8.1895847823632104E-3</v>
      </c>
      <c r="P212" s="1">
        <f t="shared" ca="1" si="90"/>
        <v>9.3169479833471978E-3</v>
      </c>
      <c r="Q212" s="1">
        <f t="shared" ca="1" si="90"/>
        <v>1.0179004097232287E-2</v>
      </c>
      <c r="R212" s="1">
        <f t="shared" ca="1" si="90"/>
        <v>1.0749090548755766E-2</v>
      </c>
      <c r="S212" s="1">
        <f t="shared" ca="1" si="90"/>
        <v>2.9728312193198499E-2</v>
      </c>
      <c r="T212" s="1">
        <f t="shared" ca="1" si="90"/>
        <v>3.6881193035165842E-2</v>
      </c>
      <c r="U212" s="1">
        <f t="shared" ca="1" si="90"/>
        <v>3.7799953717321123E-2</v>
      </c>
      <c r="V212" s="1">
        <f t="shared" ca="1" si="90"/>
        <v>3.7372295424222317E-2</v>
      </c>
      <c r="W212" s="1">
        <f t="shared" ca="1" si="90"/>
        <v>3.6168196862642561E-2</v>
      </c>
      <c r="X212" s="1">
        <f t="shared" ref="X212:AI217" ca="1" si="91">(X$190*X25/1000000)/(X$189*X95/1000)+0.0000000000000001*RAND()</f>
        <v>3.5119419974862155E-2</v>
      </c>
      <c r="Y212" s="1">
        <f t="shared" ca="1" si="91"/>
        <v>4.0053786762576898E-2</v>
      </c>
      <c r="Z212" s="1">
        <f t="shared" ca="1" si="91"/>
        <v>4.2207248550746881E-2</v>
      </c>
      <c r="AA212" s="1">
        <f t="shared" ca="1" si="91"/>
        <v>4.4690061467248868E-2</v>
      </c>
      <c r="AB212" s="1">
        <f t="shared" ca="1" si="91"/>
        <v>4.6904103150588218E-2</v>
      </c>
      <c r="AC212" s="1">
        <f t="shared" ca="1" si="91"/>
        <v>4.9171461165664718E-2</v>
      </c>
      <c r="AD212" s="1">
        <f t="shared" ca="1" si="91"/>
        <v>5.1493140756134495E-2</v>
      </c>
      <c r="AE212" s="1">
        <f t="shared" ca="1" si="91"/>
        <v>5.3870162835991137E-2</v>
      </c>
      <c r="AF212" s="1">
        <f t="shared" ca="1" si="91"/>
        <v>5.6303564174669668E-2</v>
      </c>
      <c r="AG212" s="1">
        <f t="shared" ca="1" si="91"/>
        <v>5.8794397582862361E-2</v>
      </c>
      <c r="AH212" s="1">
        <f t="shared" ca="1" si="91"/>
        <v>6.1343732098999203E-2</v>
      </c>
      <c r="AI212" s="1">
        <f t="shared" ca="1" si="91"/>
        <v>6.4600279516574516E-2</v>
      </c>
    </row>
    <row r="213" spans="2:35" hidden="1" outlineLevel="1">
      <c r="B213" s="71" t="s">
        <v>321</v>
      </c>
      <c r="H213" s="1">
        <f t="shared" ca="1" si="90"/>
        <v>9.002413178417142E-17</v>
      </c>
      <c r="I213" s="1">
        <f t="shared" ca="1" si="90"/>
        <v>9.3499143474253791E-17</v>
      </c>
      <c r="J213" s="1">
        <f t="shared" ca="1" si="90"/>
        <v>3.6900498850904405E-18</v>
      </c>
      <c r="K213" s="1">
        <f t="shared" ca="1" si="90"/>
        <v>7.1916623299006221E-17</v>
      </c>
      <c r="L213" s="1">
        <f t="shared" ca="1" si="90"/>
        <v>8.476973384305548E-17</v>
      </c>
      <c r="M213" s="1">
        <f t="shared" ca="1" si="90"/>
        <v>4.9478521425338862E-17</v>
      </c>
      <c r="N213" s="1">
        <f t="shared" ca="1" si="90"/>
        <v>2.122285752237375E-17</v>
      </c>
      <c r="O213" s="1">
        <f t="shared" ca="1" si="90"/>
        <v>5.7450513336744129E-17</v>
      </c>
      <c r="P213" s="1">
        <f t="shared" ca="1" si="90"/>
        <v>1.6002103664641853E-17</v>
      </c>
      <c r="Q213" s="1">
        <f t="shared" ca="1" si="90"/>
        <v>6.41795309556917E-17</v>
      </c>
      <c r="R213" s="1">
        <f t="shared" ca="1" si="90"/>
        <v>7.7649358048506987E-17</v>
      </c>
      <c r="S213" s="1">
        <f t="shared" ca="1" si="90"/>
        <v>5.821070632702053E-17</v>
      </c>
      <c r="T213" s="1">
        <f t="shared" ca="1" si="90"/>
        <v>5.5874042985204478E-3</v>
      </c>
      <c r="U213" s="1">
        <f t="shared" ca="1" si="90"/>
        <v>5.6401978248386856E-3</v>
      </c>
      <c r="V213" s="1">
        <f t="shared" ca="1" si="90"/>
        <v>5.6643010090953244E-3</v>
      </c>
      <c r="W213" s="1">
        <f t="shared" ca="1" si="90"/>
        <v>5.4421498623856285E-3</v>
      </c>
      <c r="X213" s="1">
        <f t="shared" ca="1" si="91"/>
        <v>5.2843426867283903E-3</v>
      </c>
      <c r="Y213" s="1">
        <f t="shared" ca="1" si="91"/>
        <v>6.0268138115209613E-3</v>
      </c>
      <c r="Z213" s="1">
        <f t="shared" ca="1" si="91"/>
        <v>6.3508409334621617E-3</v>
      </c>
      <c r="AA213" s="1">
        <f t="shared" ca="1" si="91"/>
        <v>6.7244248661198838E-3</v>
      </c>
      <c r="AB213" s="1">
        <f t="shared" ca="1" si="91"/>
        <v>1.0414956402877771E-2</v>
      </c>
      <c r="AC213" s="1">
        <f t="shared" ca="1" si="91"/>
        <v>1.4208714593555103E-2</v>
      </c>
      <c r="AD213" s="1">
        <f t="shared" ca="1" si="91"/>
        <v>1.810776596724057E-2</v>
      </c>
      <c r="AE213" s="1">
        <f t="shared" ca="1" si="91"/>
        <v>2.2114210516087297E-2</v>
      </c>
      <c r="AF213" s="1">
        <f t="shared" ca="1" si="91"/>
        <v>2.6230182107268955E-2</v>
      </c>
      <c r="AG213" s="1">
        <f t="shared" ca="1" si="91"/>
        <v>3.0457848896903252E-2</v>
      </c>
      <c r="AH213" s="1">
        <f t="shared" ca="1" si="91"/>
        <v>3.4799413745848405E-2</v>
      </c>
      <c r="AI213" s="1">
        <f t="shared" ca="1" si="91"/>
        <v>3.6646806088790451E-2</v>
      </c>
    </row>
    <row r="214" spans="2:35" hidden="1" outlineLevel="1">
      <c r="B214" s="71" t="s">
        <v>322</v>
      </c>
      <c r="H214" s="1">
        <f t="shared" ca="1" si="90"/>
        <v>7.7890230322527509E-18</v>
      </c>
      <c r="I214" s="1">
        <f t="shared" ca="1" si="90"/>
        <v>5.3558930349416764E-17</v>
      </c>
      <c r="J214" s="1">
        <f t="shared" ca="1" si="90"/>
        <v>9.4089486877139093E-17</v>
      </c>
      <c r="K214" s="1">
        <f t="shared" ca="1" si="90"/>
        <v>1.4219634911597921E-17</v>
      </c>
      <c r="L214" s="1">
        <f t="shared" ca="1" si="90"/>
        <v>6.4170176959591473E-17</v>
      </c>
      <c r="M214" s="1">
        <f t="shared" ca="1" si="90"/>
        <v>5.8906995787467817E-17</v>
      </c>
      <c r="N214" s="1">
        <f t="shared" ca="1" si="90"/>
        <v>8.4345650000930892E-17</v>
      </c>
      <c r="O214" s="1">
        <f t="shared" ca="1" si="90"/>
        <v>9.1566601273928133E-17</v>
      </c>
      <c r="P214" s="1">
        <f t="shared" ca="1" si="90"/>
        <v>3.1372327596924287E-17</v>
      </c>
      <c r="Q214" s="1">
        <f t="shared" ca="1" si="90"/>
        <v>6.0009716584898105E-17</v>
      </c>
      <c r="R214" s="1">
        <f t="shared" ca="1" si="90"/>
        <v>1.686687385956518E-17</v>
      </c>
      <c r="S214" s="1">
        <f t="shared" ca="1" si="90"/>
        <v>1.9006110622945809E-2</v>
      </c>
      <c r="T214" s="1">
        <f t="shared" ca="1" si="90"/>
        <v>1.7427442147230937E-2</v>
      </c>
      <c r="U214" s="1">
        <f t="shared" ca="1" si="90"/>
        <v>1.6952233820591155E-2</v>
      </c>
      <c r="V214" s="1">
        <f t="shared" ca="1" si="90"/>
        <v>1.7623907444163332E-2</v>
      </c>
      <c r="W214" s="1">
        <f t="shared" ca="1" si="90"/>
        <v>1.6984571958168999E-2</v>
      </c>
      <c r="X214" s="1">
        <f t="shared" ca="1" si="91"/>
        <v>1.6492066716997548E-2</v>
      </c>
      <c r="Y214" s="1">
        <f t="shared" ca="1" si="91"/>
        <v>1.8809268487031055E-2</v>
      </c>
      <c r="Z214" s="1">
        <f t="shared" ca="1" si="91"/>
        <v>1.9820534692405075E-2</v>
      </c>
      <c r="AA214" s="1">
        <f t="shared" ca="1" si="91"/>
        <v>2.0986464271707406E-2</v>
      </c>
      <c r="AB214" s="1">
        <f t="shared" ca="1" si="91"/>
        <v>2.3547459472895431E-2</v>
      </c>
      <c r="AC214" s="1">
        <f t="shared" ca="1" si="91"/>
        <v>2.6176630435100018E-2</v>
      </c>
      <c r="AD214" s="1">
        <f t="shared" ca="1" si="91"/>
        <v>2.887531705796802E-2</v>
      </c>
      <c r="AE214" s="1">
        <f t="shared" ca="1" si="91"/>
        <v>3.1644880694139454E-2</v>
      </c>
      <c r="AF214" s="1">
        <f t="shared" ca="1" si="91"/>
        <v>3.4486704410215202E-2</v>
      </c>
      <c r="AG214" s="1">
        <f t="shared" ca="1" si="91"/>
        <v>3.7402193248901934E-2</v>
      </c>
      <c r="AH214" s="1">
        <f t="shared" ca="1" si="91"/>
        <v>4.0392774492272882E-2</v>
      </c>
      <c r="AI214" s="1">
        <f t="shared" ca="1" si="91"/>
        <v>4.2537100912602765E-2</v>
      </c>
    </row>
    <row r="215" spans="2:35" hidden="1" outlineLevel="1">
      <c r="B215" s="71" t="s">
        <v>323</v>
      </c>
      <c r="H215" s="1">
        <f t="shared" ca="1" si="90"/>
        <v>1.3772617327284764E-17</v>
      </c>
      <c r="I215" s="1">
        <f t="shared" ca="1" si="90"/>
        <v>7.4547154320663661E-17</v>
      </c>
      <c r="J215" s="1">
        <f t="shared" ca="1" si="90"/>
        <v>2.595956581490959E-17</v>
      </c>
      <c r="K215" s="1">
        <f t="shared" ca="1" si="90"/>
        <v>2.3052863679954988E-2</v>
      </c>
      <c r="L215" s="1">
        <f t="shared" ca="1" si="90"/>
        <v>2.1154773873744172E-2</v>
      </c>
      <c r="M215" s="1">
        <f t="shared" ca="1" si="90"/>
        <v>2.2468830909438006E-2</v>
      </c>
      <c r="N215" s="1">
        <f t="shared" ca="1" si="90"/>
        <v>2.2997858151404212E-2</v>
      </c>
      <c r="O215" s="1">
        <f t="shared" ca="1" si="90"/>
        <v>2.3175980269228347E-2</v>
      </c>
      <c r="P215" s="1">
        <f t="shared" ca="1" si="90"/>
        <v>2.2571194572935695E-2</v>
      </c>
      <c r="Q215" s="1">
        <f t="shared" ca="1" si="90"/>
        <v>2.4357371701424824E-2</v>
      </c>
      <c r="R215" s="1">
        <f t="shared" ca="1" si="90"/>
        <v>5.1645375261315553E-2</v>
      </c>
      <c r="S215" s="1">
        <f t="shared" ca="1" si="90"/>
        <v>4.8338181244274449E-2</v>
      </c>
      <c r="T215" s="1">
        <f t="shared" ca="1" si="90"/>
        <v>4.5012041189012544E-2</v>
      </c>
      <c r="U215" s="1">
        <f t="shared" ca="1" si="90"/>
        <v>4.6678728522399668E-2</v>
      </c>
      <c r="V215" s="1">
        <f t="shared" ca="1" si="90"/>
        <v>4.5856879652236761E-2</v>
      </c>
      <c r="W215" s="1">
        <f t="shared" ca="1" si="90"/>
        <v>6.6584615138907038E-2</v>
      </c>
      <c r="X215" s="1">
        <f t="shared" ca="1" si="91"/>
        <v>6.4653846908888632E-2</v>
      </c>
      <c r="Y215" s="1">
        <f t="shared" ca="1" si="91"/>
        <v>7.3737837393752198E-2</v>
      </c>
      <c r="Z215" s="1">
        <f t="shared" ca="1" si="91"/>
        <v>7.7702296886958108E-2</v>
      </c>
      <c r="AA215" s="1">
        <f t="shared" ca="1" si="91"/>
        <v>8.2273082071423767E-2</v>
      </c>
      <c r="AB215" s="1">
        <f t="shared" ca="1" si="91"/>
        <v>8.5742239143141358E-2</v>
      </c>
      <c r="AC215" s="1">
        <f t="shared" ca="1" si="91"/>
        <v>8.929234240018688E-2</v>
      </c>
      <c r="AD215" s="1">
        <f t="shared" ca="1" si="91"/>
        <v>9.2924896292316678E-2</v>
      </c>
      <c r="AE215" s="1">
        <f t="shared" ca="1" si="91"/>
        <v>9.6641428495837942E-2</v>
      </c>
      <c r="AF215" s="1">
        <f t="shared" ca="1" si="91"/>
        <v>0.1004434901849551</v>
      </c>
      <c r="AG215" s="1">
        <f t="shared" ca="1" si="91"/>
        <v>0.10433265630409065</v>
      </c>
      <c r="AH215" s="1">
        <f t="shared" ca="1" si="91"/>
        <v>0.10831052584110795</v>
      </c>
      <c r="AI215" s="1">
        <f t="shared" ca="1" si="91"/>
        <v>0.11406039385785754</v>
      </c>
    </row>
    <row r="216" spans="2:35" hidden="1" outlineLevel="1">
      <c r="B216" s="71" t="s">
        <v>324</v>
      </c>
      <c r="H216" s="1">
        <f t="shared" ca="1" si="90"/>
        <v>6.4140271215744609E-17</v>
      </c>
      <c r="I216" s="1">
        <f t="shared" ca="1" si="90"/>
        <v>9.2848815553826063E-3</v>
      </c>
      <c r="J216" s="1">
        <f t="shared" ca="1" si="90"/>
        <v>9.1428193098263277E-3</v>
      </c>
      <c r="K216" s="1">
        <f t="shared" ca="1" si="90"/>
        <v>9.2907024768692902E-3</v>
      </c>
      <c r="L216" s="1">
        <f t="shared" ca="1" si="90"/>
        <v>8.7120214253274802E-3</v>
      </c>
      <c r="M216" s="1">
        <f t="shared" ca="1" si="90"/>
        <v>9.1260474401746103E-3</v>
      </c>
      <c r="N216" s="1">
        <f t="shared" ca="1" si="90"/>
        <v>8.8432622192963391E-3</v>
      </c>
      <c r="O216" s="1">
        <f t="shared" ca="1" si="90"/>
        <v>9.0485479361080406E-3</v>
      </c>
      <c r="P216" s="1">
        <f t="shared" ca="1" si="90"/>
        <v>8.0872175880803039E-3</v>
      </c>
      <c r="Q216" s="1">
        <f t="shared" ca="1" si="90"/>
        <v>2.6061173034989553E-2</v>
      </c>
      <c r="R216" s="1">
        <f t="shared" ca="1" si="90"/>
        <v>3.0104441099822025E-2</v>
      </c>
      <c r="S216" s="1">
        <f t="shared" ca="1" si="90"/>
        <v>2.6764372354525664E-2</v>
      </c>
      <c r="T216" s="1">
        <f t="shared" ca="1" si="90"/>
        <v>2.4682821421352211E-2</v>
      </c>
      <c r="U216" s="1">
        <f t="shared" ca="1" si="90"/>
        <v>2.6011698207256989E-2</v>
      </c>
      <c r="V216" s="1">
        <f t="shared" ca="1" si="90"/>
        <v>2.6027263258606461E-2</v>
      </c>
      <c r="W216" s="1">
        <f t="shared" ca="1" si="90"/>
        <v>2.501871402344269E-2</v>
      </c>
      <c r="X216" s="1">
        <f t="shared" ca="1" si="91"/>
        <v>2.4293241058079663E-2</v>
      </c>
      <c r="Y216" s="1">
        <f t="shared" ca="1" si="91"/>
        <v>2.7706500828265888E-2</v>
      </c>
      <c r="Z216" s="1">
        <f t="shared" ca="1" si="91"/>
        <v>2.919612005381483E-2</v>
      </c>
      <c r="AA216" s="1">
        <f t="shared" ca="1" si="91"/>
        <v>3.0913562115791469E-2</v>
      </c>
      <c r="AB216" s="1">
        <f t="shared" ca="1" si="91"/>
        <v>3.2688343129599361E-2</v>
      </c>
      <c r="AC216" s="1">
        <f t="shared" ca="1" si="91"/>
        <v>3.4506902717354404E-2</v>
      </c>
      <c r="AD216" s="1">
        <f t="shared" ca="1" si="91"/>
        <v>3.6370075008009553E-2</v>
      </c>
      <c r="AE216" s="1">
        <f t="shared" ca="1" si="91"/>
        <v>3.827870722389623E-2</v>
      </c>
      <c r="AF216" s="1">
        <f t="shared" ca="1" si="91"/>
        <v>4.0233659836597081E-2</v>
      </c>
      <c r="AG216" s="1">
        <f t="shared" ca="1" si="91"/>
        <v>4.2235806723444583E-2</v>
      </c>
      <c r="AH216" s="1">
        <f t="shared" ca="1" si="91"/>
        <v>4.4286035324609611E-2</v>
      </c>
      <c r="AI216" s="1">
        <f t="shared" ca="1" si="91"/>
        <v>4.6637042820179955E-2</v>
      </c>
    </row>
    <row r="217" spans="2:35" hidden="1" outlineLevel="1">
      <c r="B217" s="71" t="s">
        <v>325</v>
      </c>
      <c r="H217" s="1">
        <f t="shared" ca="1" si="90"/>
        <v>8.5216991532206108E-17</v>
      </c>
      <c r="I217" s="1">
        <f t="shared" ca="1" si="90"/>
        <v>9.965253146079717E-17</v>
      </c>
      <c r="J217" s="1">
        <f t="shared" ca="1" si="90"/>
        <v>4.0115876866947162E-17</v>
      </c>
      <c r="K217" s="1">
        <f t="shared" ca="1" si="90"/>
        <v>8.3012203209895774E-18</v>
      </c>
      <c r="L217" s="1">
        <f t="shared" ca="1" si="90"/>
        <v>5.1107325493573851E-17</v>
      </c>
      <c r="M217" s="1">
        <f t="shared" ca="1" si="90"/>
        <v>7.7584654237600665E-17</v>
      </c>
      <c r="N217" s="1">
        <f t="shared" ca="1" si="90"/>
        <v>4.6708312254299399E-17</v>
      </c>
      <c r="O217" s="1">
        <f t="shared" ca="1" si="90"/>
        <v>6.94094036352269E-17</v>
      </c>
      <c r="P217" s="1">
        <f t="shared" ca="1" si="90"/>
        <v>3.9324174709009529E-17</v>
      </c>
      <c r="Q217" s="1">
        <f t="shared" ca="1" si="90"/>
        <v>3.4061858465936553E-17</v>
      </c>
      <c r="R217" s="1">
        <f t="shared" ca="1" si="90"/>
        <v>1.889314756240814E-17</v>
      </c>
      <c r="S217" s="1">
        <f t="shared" ca="1" si="90"/>
        <v>1.231186347541956E-17</v>
      </c>
      <c r="T217" s="1">
        <f t="shared" ca="1" si="90"/>
        <v>5.1446170866432719E-17</v>
      </c>
      <c r="U217" s="1">
        <f t="shared" ca="1" si="90"/>
        <v>1.2299152735491037E-17</v>
      </c>
      <c r="V217" s="1">
        <f t="shared" ca="1" si="90"/>
        <v>8.6567372051777972E-17</v>
      </c>
      <c r="W217" s="1">
        <f t="shared" ca="1" si="90"/>
        <v>6.16400299151735E-17</v>
      </c>
      <c r="X217" s="1">
        <f t="shared" ca="1" si="91"/>
        <v>5.4040300140792172E-17</v>
      </c>
      <c r="Y217" s="1">
        <f t="shared" ca="1" si="91"/>
        <v>6.4360312374377295E-17</v>
      </c>
      <c r="Z217" s="1">
        <f t="shared" ca="1" si="91"/>
        <v>6.9848195850621632E-18</v>
      </c>
      <c r="AA217" s="1">
        <f t="shared" ca="1" si="91"/>
        <v>3.2013639252553873E-17</v>
      </c>
      <c r="AB217" s="1">
        <f t="shared" ca="1" si="91"/>
        <v>5.4206691458665154E-3</v>
      </c>
      <c r="AC217" s="1">
        <f t="shared" ca="1" si="91"/>
        <v>1.0995050272261905E-2</v>
      </c>
      <c r="AD217" s="1">
        <f t="shared" ca="1" si="91"/>
        <v>1.6726235688623272E-2</v>
      </c>
      <c r="AE217" s="1">
        <f t="shared" ca="1" si="91"/>
        <v>2.2617367912920787E-2</v>
      </c>
      <c r="AF217" s="1">
        <f t="shared" ca="1" si="91"/>
        <v>2.8671640294508798E-2</v>
      </c>
      <c r="AG217" s="1">
        <f t="shared" ca="1" si="91"/>
        <v>3.4892297641347894E-2</v>
      </c>
      <c r="AH217" s="1">
        <f t="shared" ca="1" si="91"/>
        <v>4.1282636850462601E-2</v>
      </c>
      <c r="AI217" s="1">
        <f t="shared" ca="1" si="91"/>
        <v>4.3474203288075393E-2</v>
      </c>
    </row>
    <row r="218" spans="2:35" hidden="1" outlineLevel="1">
      <c r="B218" s="71" t="s">
        <v>326</v>
      </c>
      <c r="H218" s="1">
        <f t="shared" ref="H218:AI227" ca="1" si="92">(H$190*H31/1000000)/(H$189*H101/1000)+0.0000000000000001*RAND()</f>
        <v>2.7013996518415573E-17</v>
      </c>
      <c r="I218" s="1">
        <f t="shared" ca="1" si="92"/>
        <v>2.4047048215743282E-17</v>
      </c>
      <c r="J218" s="1">
        <f t="shared" ca="1" si="92"/>
        <v>6.964369661268803E-17</v>
      </c>
      <c r="K218" s="1">
        <f t="shared" ca="1" si="92"/>
        <v>2.6613974822329807E-2</v>
      </c>
      <c r="L218" s="1">
        <f t="shared" ca="1" si="92"/>
        <v>2.4457081418774337E-2</v>
      </c>
      <c r="M218" s="1">
        <f t="shared" ca="1" si="92"/>
        <v>2.5250124492756636E-2</v>
      </c>
      <c r="N218" s="1">
        <f t="shared" ca="1" si="92"/>
        <v>2.5574249869101284E-2</v>
      </c>
      <c r="O218" s="1">
        <f t="shared" ca="1" si="92"/>
        <v>2.4773345595585961E-2</v>
      </c>
      <c r="P218" s="1">
        <f t="shared" ca="1" si="92"/>
        <v>2.4691919670942416E-2</v>
      </c>
      <c r="Q218" s="1">
        <f t="shared" ca="1" si="92"/>
        <v>2.7187007188780775E-2</v>
      </c>
      <c r="R218" s="1">
        <f t="shared" ca="1" si="92"/>
        <v>2.7846564200692221E-2</v>
      </c>
      <c r="S218" s="1">
        <f t="shared" ca="1" si="92"/>
        <v>2.5624977118965695E-2</v>
      </c>
      <c r="T218" s="1">
        <f t="shared" ca="1" si="92"/>
        <v>2.4321478927464991E-2</v>
      </c>
      <c r="U218" s="1">
        <f t="shared" ca="1" si="92"/>
        <v>2.493371710536859E-2</v>
      </c>
      <c r="V218" s="1">
        <f t="shared" ca="1" si="92"/>
        <v>2.4678554116744324E-2</v>
      </c>
      <c r="W218" s="1">
        <f t="shared" ca="1" si="92"/>
        <v>2.3806598478896452E-2</v>
      </c>
      <c r="X218" s="1">
        <f t="shared" ca="1" si="92"/>
        <v>2.3116273485473175E-2</v>
      </c>
      <c r="Y218" s="1">
        <f t="shared" ca="1" si="92"/>
        <v>2.6364154717001525E-2</v>
      </c>
      <c r="Z218" s="1">
        <f t="shared" ca="1" si="92"/>
        <v>2.7781603711200253E-2</v>
      </c>
      <c r="AA218" s="1">
        <f t="shared" ca="1" si="92"/>
        <v>2.9415837803772767E-2</v>
      </c>
      <c r="AB218" s="1">
        <f t="shared" ca="1" si="92"/>
        <v>3.1309236778377235E-2</v>
      </c>
      <c r="AC218" s="1">
        <f t="shared" ca="1" si="92"/>
        <v>3.3250095187215861E-2</v>
      </c>
      <c r="AD218" s="1">
        <f t="shared" ca="1" si="92"/>
        <v>3.5239323466040869E-2</v>
      </c>
      <c r="AE218" s="1">
        <f t="shared" ca="1" si="92"/>
        <v>3.7277846405217821E-2</v>
      </c>
      <c r="AF218" s="1">
        <f t="shared" ca="1" si="92"/>
        <v>3.9366603321453662E-2</v>
      </c>
      <c r="AG218" s="1">
        <f t="shared" ca="1" si="92"/>
        <v>4.1506548230234738E-2</v>
      </c>
      <c r="AH218" s="1">
        <f t="shared" ca="1" si="92"/>
        <v>4.369865001893377E-2</v>
      </c>
      <c r="AI218" s="1">
        <f t="shared" ca="1" si="92"/>
        <v>4.6018475060570121E-2</v>
      </c>
    </row>
    <row r="219" spans="2:35" hidden="1" outlineLevel="1">
      <c r="B219" s="71" t="s">
        <v>327</v>
      </c>
      <c r="H219" s="1">
        <f t="shared" ca="1" si="92"/>
        <v>6.8082574541790522E-2</v>
      </c>
      <c r="I219" s="1">
        <f t="shared" ca="1" si="92"/>
        <v>6.268691855512934E-2</v>
      </c>
      <c r="J219" s="1">
        <f t="shared" ca="1" si="92"/>
        <v>6.5553778823596434E-2</v>
      </c>
      <c r="K219" s="1">
        <f t="shared" ca="1" si="92"/>
        <v>6.336595818928896E-2</v>
      </c>
      <c r="L219" s="1">
        <f t="shared" ca="1" si="92"/>
        <v>5.9053166852961629E-2</v>
      </c>
      <c r="M219" s="1">
        <f t="shared" ca="1" si="92"/>
        <v>6.3120682732431072E-2</v>
      </c>
      <c r="N219" s="1">
        <f t="shared" ca="1" si="92"/>
        <v>6.6014753017675828E-2</v>
      </c>
      <c r="O219" s="1">
        <f t="shared" ca="1" si="92"/>
        <v>4.3400310092591175E-2</v>
      </c>
      <c r="P219" s="1">
        <f t="shared" ca="1" si="92"/>
        <v>4.3255844165949027E-2</v>
      </c>
      <c r="Q219" s="1">
        <f t="shared" ca="1" si="92"/>
        <v>4.600377938604501E-2</v>
      </c>
      <c r="R219" s="1">
        <f t="shared" ca="1" si="92"/>
        <v>7.1733118525214065E-2</v>
      </c>
      <c r="S219" s="1">
        <f t="shared" ca="1" si="92"/>
        <v>6.4918066361203203E-2</v>
      </c>
      <c r="T219" s="1">
        <f t="shared" ca="1" si="92"/>
        <v>5.8310679470877223E-2</v>
      </c>
      <c r="U219" s="1">
        <f t="shared" ca="1" si="92"/>
        <v>7.8382341683957177E-2</v>
      </c>
      <c r="V219" s="1">
        <f t="shared" ca="1" si="92"/>
        <v>7.5628746007497472E-2</v>
      </c>
      <c r="W219" s="1">
        <f t="shared" ca="1" si="92"/>
        <v>7.2210160714059987E-2</v>
      </c>
      <c r="X219" s="1">
        <f t="shared" ca="1" si="92"/>
        <v>7.0116267343941691E-2</v>
      </c>
      <c r="Y219" s="1">
        <f t="shared" ca="1" si="92"/>
        <v>7.9967694432787936E-2</v>
      </c>
      <c r="Z219" s="1">
        <f t="shared" ca="1" si="92"/>
        <v>8.4267097514694883E-2</v>
      </c>
      <c r="AA219" s="1">
        <f t="shared" ca="1" si="92"/>
        <v>8.9224052666463896E-2</v>
      </c>
      <c r="AB219" s="1">
        <f t="shared" ca="1" si="92"/>
        <v>9.1784751436291931E-2</v>
      </c>
      <c r="AC219" s="1">
        <f t="shared" ca="1" si="92"/>
        <v>9.4399163188617949E-2</v>
      </c>
      <c r="AD219" s="1">
        <f t="shared" ca="1" si="92"/>
        <v>9.7068234033966819E-2</v>
      </c>
      <c r="AE219" s="1">
        <f t="shared" ca="1" si="92"/>
        <v>9.9792924139703018E-2</v>
      </c>
      <c r="AF219" s="1">
        <f t="shared" ca="1" si="92"/>
        <v>0.1025742078868374</v>
      </c>
      <c r="AG219" s="1">
        <f t="shared" ca="1" si="92"/>
        <v>0.10541307402722526</v>
      </c>
      <c r="AH219" s="1">
        <f t="shared" ca="1" si="92"/>
        <v>0.10831052584110794</v>
      </c>
      <c r="AI219" s="1">
        <f t="shared" ca="1" si="92"/>
        <v>0.11406039385785759</v>
      </c>
    </row>
    <row r="220" spans="2:35" hidden="1" outlineLevel="1">
      <c r="B220" s="71" t="s">
        <v>328</v>
      </c>
      <c r="H220" s="1">
        <f t="shared" ca="1" si="92"/>
        <v>1.5223579408538335E-17</v>
      </c>
      <c r="I220" s="1">
        <f t="shared" ca="1" si="92"/>
        <v>7.5944451930081468E-17</v>
      </c>
      <c r="J220" s="1">
        <f t="shared" ca="1" si="92"/>
        <v>2.3577481860018955E-17</v>
      </c>
      <c r="K220" s="1">
        <f t="shared" ca="1" si="92"/>
        <v>7.4868171025249257E-17</v>
      </c>
      <c r="L220" s="1">
        <f t="shared" ca="1" si="92"/>
        <v>3.3255356897036757E-17</v>
      </c>
      <c r="M220" s="1">
        <f t="shared" ca="1" si="92"/>
        <v>2.0801674492935273E-17</v>
      </c>
      <c r="N220" s="1">
        <f t="shared" ca="1" si="92"/>
        <v>4.7448815007291146E-18</v>
      </c>
      <c r="O220" s="1">
        <f t="shared" ca="1" si="92"/>
        <v>5.3968526249047955E-17</v>
      </c>
      <c r="P220" s="1">
        <f t="shared" ca="1" si="92"/>
        <v>4.4388288106528081E-17</v>
      </c>
      <c r="Q220" s="1">
        <f t="shared" ca="1" si="92"/>
        <v>1.4875705618144775E-20</v>
      </c>
      <c r="R220" s="1">
        <f t="shared" ca="1" si="92"/>
        <v>7.3466114748335324E-17</v>
      </c>
      <c r="S220" s="1">
        <f t="shared" ca="1" si="92"/>
        <v>9.5010944914167328E-17</v>
      </c>
      <c r="T220" s="1">
        <f t="shared" ca="1" si="92"/>
        <v>9.3819637595746827E-17</v>
      </c>
      <c r="U220" s="1">
        <f t="shared" ca="1" si="92"/>
        <v>3.6385785139678786E-2</v>
      </c>
      <c r="V220" s="1">
        <f t="shared" ca="1" si="92"/>
        <v>3.5224461951541886E-2</v>
      </c>
      <c r="W220" s="1">
        <f t="shared" ca="1" si="92"/>
        <v>3.3662751859223447E-2</v>
      </c>
      <c r="X220" s="1">
        <f t="shared" ca="1" si="92"/>
        <v>3.2686625892448813E-2</v>
      </c>
      <c r="Y220" s="1">
        <f t="shared" ca="1" si="92"/>
        <v>3.7279151824319609E-2</v>
      </c>
      <c r="Z220" s="1">
        <f t="shared" ca="1" si="92"/>
        <v>3.9283437447172824E-2</v>
      </c>
      <c r="AA220" s="1">
        <f t="shared" ca="1" si="92"/>
        <v>4.1594259148359333E-2</v>
      </c>
      <c r="AB220" s="1">
        <f t="shared" ca="1" si="92"/>
        <v>4.3654928131989783E-2</v>
      </c>
      <c r="AC220" s="1">
        <f t="shared" ca="1" si="92"/>
        <v>4.5765220079794028E-2</v>
      </c>
      <c r="AD220" s="1">
        <f t="shared" ca="1" si="92"/>
        <v>4.7926070599461155E-2</v>
      </c>
      <c r="AE220" s="1">
        <f t="shared" ca="1" si="92"/>
        <v>5.013842988349082E-2</v>
      </c>
      <c r="AF220" s="1">
        <f t="shared" ca="1" si="92"/>
        <v>5.2403262881474705E-2</v>
      </c>
      <c r="AG220" s="1">
        <f t="shared" ca="1" si="92"/>
        <v>5.4721549473039977E-2</v>
      </c>
      <c r="AH220" s="1">
        <f t="shared" ca="1" si="92"/>
        <v>5.7094284641411884E-2</v>
      </c>
      <c r="AI220" s="1">
        <f t="shared" ca="1" si="92"/>
        <v>6.0125242146691189E-2</v>
      </c>
    </row>
    <row r="221" spans="2:35" hidden="1" outlineLevel="1">
      <c r="B221" s="71" t="s">
        <v>329</v>
      </c>
      <c r="H221" s="1">
        <f t="shared" ca="1" si="92"/>
        <v>1.6635449276286486E-17</v>
      </c>
      <c r="I221" s="1">
        <f t="shared" ca="1" si="92"/>
        <v>3.5121388795504357E-17</v>
      </c>
      <c r="J221" s="1">
        <f t="shared" ca="1" si="92"/>
        <v>4.7308834445874837E-17</v>
      </c>
      <c r="K221" s="1">
        <f t="shared" ca="1" si="92"/>
        <v>2.0593587537069101E-17</v>
      </c>
      <c r="L221" s="1">
        <f t="shared" ca="1" si="92"/>
        <v>2.4329604183726061E-17</v>
      </c>
      <c r="M221" s="1">
        <f t="shared" ca="1" si="92"/>
        <v>6.7007079777057898E-17</v>
      </c>
      <c r="N221" s="1">
        <f t="shared" ca="1" si="92"/>
        <v>7.0648823981500824E-17</v>
      </c>
      <c r="O221" s="1">
        <f t="shared" ca="1" si="92"/>
        <v>7.2666973494223705E-17</v>
      </c>
      <c r="P221" s="1">
        <f t="shared" ca="1" si="92"/>
        <v>9.6229887612925324E-17</v>
      </c>
      <c r="Q221" s="1">
        <f t="shared" ca="1" si="92"/>
        <v>3.4246006947092975E-17</v>
      </c>
      <c r="R221" s="1">
        <f t="shared" ca="1" si="92"/>
        <v>2.8573375050754532E-17</v>
      </c>
      <c r="S221" s="1">
        <f t="shared" ca="1" si="92"/>
        <v>8.5077645507407144E-3</v>
      </c>
      <c r="T221" s="1">
        <f t="shared" ca="1" si="92"/>
        <v>1.5746854112053139E-2</v>
      </c>
      <c r="U221" s="1">
        <f t="shared" ca="1" si="92"/>
        <v>1.5934317073187643E-2</v>
      </c>
      <c r="V221" s="1">
        <f t="shared" ca="1" si="92"/>
        <v>1.5752873828411621E-2</v>
      </c>
      <c r="W221" s="1">
        <f t="shared" ca="1" si="92"/>
        <v>1.5303022442277223E-2</v>
      </c>
      <c r="X221" s="1">
        <f t="shared" ca="1" si="92"/>
        <v>1.4859277449636304E-2</v>
      </c>
      <c r="Y221" s="1">
        <f t="shared" ca="1" si="92"/>
        <v>1.694704798386213E-2</v>
      </c>
      <c r="Z221" s="1">
        <f t="shared" ca="1" si="92"/>
        <v>1.7858193301328821E-2</v>
      </c>
      <c r="AA221" s="1">
        <f t="shared" ca="1" si="92"/>
        <v>1.8908689472398103E-2</v>
      </c>
      <c r="AB221" s="1">
        <f t="shared" ca="1" si="92"/>
        <v>2.1634241934031708E-2</v>
      </c>
      <c r="AC221" s="1">
        <f t="shared" ca="1" si="92"/>
        <v>2.4433076569579566E-2</v>
      </c>
      <c r="AD221" s="1">
        <f t="shared" ca="1" si="92"/>
        <v>2.7306639138187122E-2</v>
      </c>
      <c r="AE221" s="1">
        <f t="shared" ca="1" si="92"/>
        <v>3.0256398601688626E-2</v>
      </c>
      <c r="AF221" s="1">
        <f t="shared" ca="1" si="92"/>
        <v>3.3283847407571017E-2</v>
      </c>
      <c r="AG221" s="1">
        <f t="shared" ca="1" si="92"/>
        <v>3.6390501773231484E-2</v>
      </c>
      <c r="AH221" s="1">
        <f t="shared" ca="1" si="92"/>
        <v>3.9577901971459863E-2</v>
      </c>
      <c r="AI221" s="1">
        <f t="shared" ca="1" si="92"/>
        <v>4.1678969351093817E-2</v>
      </c>
    </row>
    <row r="222" spans="2:35" hidden="1" outlineLevel="1">
      <c r="B222" s="71" t="s">
        <v>330</v>
      </c>
      <c r="H222" s="1">
        <f t="shared" ca="1" si="92"/>
        <v>2.8773248808067097E-2</v>
      </c>
      <c r="I222" s="1">
        <f t="shared" ca="1" si="92"/>
        <v>2.788148078387322E-2</v>
      </c>
      <c r="J222" s="1">
        <f t="shared" ca="1" si="92"/>
        <v>2.8949086664187797E-2</v>
      </c>
      <c r="K222" s="1">
        <f t="shared" ca="1" si="92"/>
        <v>2.8833892566097041E-2</v>
      </c>
      <c r="L222" s="1">
        <f t="shared" ca="1" si="92"/>
        <v>2.7307238979491145E-2</v>
      </c>
      <c r="M222" s="1">
        <f t="shared" ca="1" si="92"/>
        <v>2.7844487534368363E-2</v>
      </c>
      <c r="N222" s="1">
        <f t="shared" ca="1" si="92"/>
        <v>2.8518164156181955E-2</v>
      </c>
      <c r="O222" s="1">
        <f t="shared" ca="1" si="92"/>
        <v>2.656053105956797E-2</v>
      </c>
      <c r="P222" s="1">
        <f t="shared" ca="1" si="92"/>
        <v>2.5701035710479905E-2</v>
      </c>
      <c r="Q222" s="1">
        <f t="shared" ca="1" si="92"/>
        <v>2.710073968785481E-2</v>
      </c>
      <c r="R222" s="1">
        <f t="shared" ca="1" si="92"/>
        <v>2.7950744338672198E-2</v>
      </c>
      <c r="S222" s="1">
        <f t="shared" ca="1" si="92"/>
        <v>2.7725612592022414E-2</v>
      </c>
      <c r="T222" s="1">
        <f t="shared" ca="1" si="92"/>
        <v>2.5800386263256307E-2</v>
      </c>
      <c r="U222" s="1">
        <f t="shared" ca="1" si="92"/>
        <v>2.794478464946366E-2</v>
      </c>
      <c r="V222" s="1">
        <f t="shared" ca="1" si="92"/>
        <v>5.2478437240365099E-2</v>
      </c>
      <c r="W222" s="1">
        <f t="shared" ca="1" si="92"/>
        <v>5.0699000514579422E-2</v>
      </c>
      <c r="X222" s="1">
        <f t="shared" ca="1" si="92"/>
        <v>4.9228870826467125E-2</v>
      </c>
      <c r="Y222" s="1">
        <f t="shared" ca="1" si="92"/>
        <v>5.6145607059840966E-2</v>
      </c>
      <c r="Z222" s="1">
        <f t="shared" ca="1" si="92"/>
        <v>5.9164233490686773E-2</v>
      </c>
      <c r="AA222" s="1">
        <f t="shared" ca="1" si="92"/>
        <v>6.2644529604492918E-2</v>
      </c>
      <c r="AB222" s="1">
        <f t="shared" ca="1" si="92"/>
        <v>6.5748074223226649E-2</v>
      </c>
      <c r="AC222" s="1">
        <f t="shared" ca="1" si="92"/>
        <v>6.8926355291458297E-2</v>
      </c>
      <c r="AD222" s="1">
        <f t="shared" ca="1" si="92"/>
        <v>7.2180781914789771E-2</v>
      </c>
      <c r="AE222" s="1">
        <f t="shared" ca="1" si="92"/>
        <v>7.5512785164801741E-2</v>
      </c>
      <c r="AF222" s="1">
        <f t="shared" ca="1" si="92"/>
        <v>7.8923818338523397E-2</v>
      </c>
      <c r="AG222" s="1">
        <f t="shared" ca="1" si="92"/>
        <v>8.2415357218901183E-2</v>
      </c>
      <c r="AH222" s="1">
        <f t="shared" ca="1" si="92"/>
        <v>8.5988900336198243E-2</v>
      </c>
      <c r="AI222" s="1">
        <f t="shared" ca="1" si="92"/>
        <v>9.0553782871843042E-2</v>
      </c>
    </row>
    <row r="223" spans="2:35" hidden="1" outlineLevel="1">
      <c r="B223" s="71" t="s">
        <v>331</v>
      </c>
      <c r="H223" s="1">
        <f t="shared" ca="1" si="92"/>
        <v>6.2037500304099876E-17</v>
      </c>
      <c r="I223" s="1">
        <f t="shared" ca="1" si="92"/>
        <v>1.578265273757855E-17</v>
      </c>
      <c r="J223" s="1">
        <f t="shared" ca="1" si="92"/>
        <v>9.4997511282519035E-17</v>
      </c>
      <c r="K223" s="1">
        <f t="shared" ca="1" si="92"/>
        <v>3.3761845249682174E-17</v>
      </c>
      <c r="L223" s="1">
        <f t="shared" ca="1" si="92"/>
        <v>2.3625327833827691E-17</v>
      </c>
      <c r="M223" s="1">
        <f t="shared" ca="1" si="92"/>
        <v>7.7142932890601481E-19</v>
      </c>
      <c r="N223" s="1">
        <f t="shared" ca="1" si="92"/>
        <v>7.1111386803937131E-18</v>
      </c>
      <c r="O223" s="1">
        <f t="shared" ca="1" si="92"/>
        <v>8.2484478088794865E-17</v>
      </c>
      <c r="P223" s="1">
        <f t="shared" ca="1" si="92"/>
        <v>9.5041451652852785E-17</v>
      </c>
      <c r="Q223" s="1">
        <f t="shared" ca="1" si="92"/>
        <v>6.2550166839644334E-17</v>
      </c>
      <c r="R223" s="1">
        <f t="shared" ca="1" si="92"/>
        <v>4.8881973776426389E-3</v>
      </c>
      <c r="S223" s="1">
        <f t="shared" ca="1" si="92"/>
        <v>4.7196915540452418E-3</v>
      </c>
      <c r="T223" s="1">
        <f t="shared" ca="1" si="92"/>
        <v>8.3999126096885104E-3</v>
      </c>
      <c r="U223" s="1">
        <f t="shared" ca="1" si="92"/>
        <v>8.8837949586426292E-3</v>
      </c>
      <c r="V223" s="1">
        <f t="shared" ca="1" si="92"/>
        <v>1.2444909645863266E-2</v>
      </c>
      <c r="W223" s="1">
        <f t="shared" ca="1" si="92"/>
        <v>1.2136126523058056E-2</v>
      </c>
      <c r="X223" s="1">
        <f t="shared" ca="1" si="92"/>
        <v>1.1784212684143177E-2</v>
      </c>
      <c r="Y223" s="1">
        <f t="shared" ca="1" si="92"/>
        <v>1.3439940301281357E-2</v>
      </c>
      <c r="Z223" s="1">
        <f t="shared" ca="1" si="92"/>
        <v>1.416252860599407E-2</v>
      </c>
      <c r="AA223" s="1">
        <f t="shared" ca="1" si="92"/>
        <v>1.4995629795023526E-2</v>
      </c>
      <c r="AB223" s="1">
        <f t="shared" ca="1" si="92"/>
        <v>1.8031091867979396E-2</v>
      </c>
      <c r="AC223" s="1">
        <f t="shared" ca="1" si="92"/>
        <v>2.1149452988830208E-2</v>
      </c>
      <c r="AD223" s="1">
        <f t="shared" ca="1" si="92"/>
        <v>2.4352358281222862E-2</v>
      </c>
      <c r="AE223" s="1">
        <f t="shared" ca="1" si="92"/>
        <v>2.7641479366681945E-2</v>
      </c>
      <c r="AF223" s="1">
        <f t="shared" ca="1" si="92"/>
        <v>3.1018514689001606E-2</v>
      </c>
      <c r="AG223" s="1">
        <f t="shared" ca="1" si="92"/>
        <v>3.448518984014539E-2</v>
      </c>
      <c r="AH223" s="1">
        <f t="shared" ca="1" si="92"/>
        <v>3.8043257887580229E-2</v>
      </c>
      <c r="AI223" s="1">
        <f t="shared" ca="1" si="92"/>
        <v>4.0062855799067119E-2</v>
      </c>
    </row>
    <row r="224" spans="2:35" hidden="1" outlineLevel="1">
      <c r="B224" s="71" t="s">
        <v>332</v>
      </c>
      <c r="H224" s="1">
        <f t="shared" ca="1" si="92"/>
        <v>4.2908267036644285E-2</v>
      </c>
      <c r="I224" s="1">
        <f t="shared" ca="1" si="92"/>
        <v>4.2059257313814338E-2</v>
      </c>
      <c r="J224" s="1">
        <f t="shared" ca="1" si="92"/>
        <v>4.361771963639053E-2</v>
      </c>
      <c r="K224" s="1">
        <f t="shared" ca="1" si="92"/>
        <v>5.1209882765242166E-2</v>
      </c>
      <c r="L224" s="1">
        <f t="shared" ca="1" si="92"/>
        <v>5.4957760327601503E-2</v>
      </c>
      <c r="M224" s="1">
        <f t="shared" ca="1" si="92"/>
        <v>5.9966509660231058E-2</v>
      </c>
      <c r="N224" s="1">
        <f t="shared" ca="1" si="92"/>
        <v>6.4180492062295674E-2</v>
      </c>
      <c r="O224" s="1">
        <f t="shared" ca="1" si="92"/>
        <v>6.0140720708680144E-2</v>
      </c>
      <c r="P224" s="1">
        <f t="shared" ca="1" si="92"/>
        <v>4.7380398827056233E-2</v>
      </c>
      <c r="Q224" s="1">
        <f t="shared" ca="1" si="92"/>
        <v>5.1889244524370777E-2</v>
      </c>
      <c r="R224" s="1">
        <f t="shared" ca="1" si="92"/>
        <v>6.1633123325057736E-2</v>
      </c>
      <c r="S224" s="1">
        <f t="shared" ca="1" si="92"/>
        <v>5.7316208036826133E-2</v>
      </c>
      <c r="T224" s="1">
        <f t="shared" ca="1" si="92"/>
        <v>5.1109100425365254E-2</v>
      </c>
      <c r="U224" s="1">
        <f t="shared" ca="1" si="92"/>
        <v>5.4091090780538753E-2</v>
      </c>
      <c r="V224" s="1">
        <f t="shared" ca="1" si="92"/>
        <v>6.4187247271812575E-2</v>
      </c>
      <c r="W224" s="1">
        <f t="shared" ca="1" si="92"/>
        <v>5.9735567882140531E-2</v>
      </c>
      <c r="X224" s="1">
        <f t="shared" ca="1" si="92"/>
        <v>5.8003402930397067E-2</v>
      </c>
      <c r="Y224" s="1">
        <f t="shared" ca="1" si="92"/>
        <v>6.6152972981214697E-2</v>
      </c>
      <c r="Z224" s="1">
        <f t="shared" ca="1" si="92"/>
        <v>6.9709637931106308E-2</v>
      </c>
      <c r="AA224" s="1">
        <f t="shared" ca="1" si="92"/>
        <v>7.3810260345569992E-2</v>
      </c>
      <c r="AB224" s="1">
        <f t="shared" ca="1" si="92"/>
        <v>7.7466979260199562E-2</v>
      </c>
      <c r="AC224" s="1">
        <f t="shared" ca="1" si="92"/>
        <v>8.1211755613037589E-2</v>
      </c>
      <c r="AD224" s="1">
        <f t="shared" ca="1" si="92"/>
        <v>8.5046249667988918E-2</v>
      </c>
      <c r="AE224" s="1">
        <f t="shared" ca="1" si="92"/>
        <v>8.8972147570142324E-2</v>
      </c>
      <c r="AF224" s="1">
        <f t="shared" ca="1" si="92"/>
        <v>9.2991161651488671E-2</v>
      </c>
      <c r="AG224" s="1">
        <f t="shared" ca="1" si="92"/>
        <v>9.7105030737814887E-2</v>
      </c>
      <c r="AH224" s="1">
        <f t="shared" ca="1" si="92"/>
        <v>0.10131552045669535</v>
      </c>
      <c r="AI224" s="1">
        <f t="shared" ca="1" si="92"/>
        <v>0.10669404545369233</v>
      </c>
    </row>
    <row r="225" spans="2:35" hidden="1" outlineLevel="1">
      <c r="B225" s="71" t="s">
        <v>333</v>
      </c>
      <c r="H225" s="1">
        <f t="shared" ca="1" si="92"/>
        <v>7.4928172165723014E-17</v>
      </c>
      <c r="I225" s="1">
        <f t="shared" ca="1" si="92"/>
        <v>4.2956146030095109E-17</v>
      </c>
      <c r="J225" s="1">
        <f t="shared" ca="1" si="92"/>
        <v>4.9969850413505988E-18</v>
      </c>
      <c r="K225" s="1">
        <f t="shared" ca="1" si="92"/>
        <v>2.5073338878481122E-17</v>
      </c>
      <c r="L225" s="1">
        <f t="shared" ca="1" si="92"/>
        <v>6.0713609309555096E-17</v>
      </c>
      <c r="M225" s="1">
        <f t="shared" ca="1" si="92"/>
        <v>8.4067863772709364E-17</v>
      </c>
      <c r="N225" s="1">
        <f t="shared" ca="1" si="92"/>
        <v>1.402379535514515E-17</v>
      </c>
      <c r="O225" s="1">
        <f t="shared" ca="1" si="92"/>
        <v>9.4205116601202192E-17</v>
      </c>
      <c r="P225" s="1">
        <f t="shared" ca="1" si="92"/>
        <v>6.9470304730505706E-17</v>
      </c>
      <c r="Q225" s="1">
        <f t="shared" ca="1" si="92"/>
        <v>2.4396180031419245E-17</v>
      </c>
      <c r="R225" s="1">
        <f t="shared" ca="1" si="92"/>
        <v>4.7317600495516875E-17</v>
      </c>
      <c r="S225" s="1">
        <f t="shared" ca="1" si="92"/>
        <v>3.5191837225552925E-17</v>
      </c>
      <c r="T225" s="1">
        <f t="shared" ca="1" si="92"/>
        <v>2.4497178216371318E-17</v>
      </c>
      <c r="U225" s="1">
        <f t="shared" ca="1" si="92"/>
        <v>5.0027068213670444E-17</v>
      </c>
      <c r="V225" s="1">
        <f t="shared" ca="1" si="92"/>
        <v>1.5056927765566308E-17</v>
      </c>
      <c r="W225" s="1">
        <f t="shared" ca="1" si="92"/>
        <v>8.7460190824506532E-17</v>
      </c>
      <c r="X225" s="1">
        <f t="shared" ca="1" si="92"/>
        <v>9.3188720788591768E-17</v>
      </c>
      <c r="Y225" s="1">
        <f t="shared" ca="1" si="92"/>
        <v>8.8773757613083445E-17</v>
      </c>
      <c r="Z225" s="1">
        <f t="shared" ca="1" si="92"/>
        <v>3.7436346583775914E-17</v>
      </c>
      <c r="AA225" s="1">
        <f t="shared" ca="1" si="92"/>
        <v>3.3927427911651697E-17</v>
      </c>
      <c r="AB225" s="1">
        <f t="shared" ca="1" si="92"/>
        <v>5.0260427919049063E-17</v>
      </c>
      <c r="AC225" s="1">
        <f t="shared" ca="1" si="92"/>
        <v>6.3105155543317879E-17</v>
      </c>
      <c r="AD225" s="1">
        <f t="shared" ca="1" si="92"/>
        <v>2.0936879460706248E-17</v>
      </c>
      <c r="AE225" s="1">
        <f t="shared" ca="1" si="92"/>
        <v>4.0731353103785955E-3</v>
      </c>
      <c r="AF225" s="1">
        <f t="shared" ca="1" si="92"/>
        <v>8.2615073813095651E-3</v>
      </c>
      <c r="AG225" s="1">
        <f t="shared" ca="1" si="92"/>
        <v>1.2567425971102754E-2</v>
      </c>
      <c r="AH225" s="1">
        <f t="shared" ca="1" si="92"/>
        <v>1.6993238091340474E-2</v>
      </c>
      <c r="AI225" s="1">
        <f t="shared" ca="1" si="92"/>
        <v>1.7895356102896855E-2</v>
      </c>
    </row>
    <row r="226" spans="2:35" hidden="1" outlineLevel="1">
      <c r="B226" s="71" t="s">
        <v>334</v>
      </c>
      <c r="H226" s="1">
        <f t="shared" ca="1" si="92"/>
        <v>9.4871859087207098E-17</v>
      </c>
      <c r="I226" s="1">
        <f t="shared" ca="1" si="92"/>
        <v>2.0664616001642755E-17</v>
      </c>
      <c r="J226" s="1">
        <f t="shared" ca="1" si="92"/>
        <v>8.3442845954442551E-3</v>
      </c>
      <c r="K226" s="1">
        <f t="shared" ca="1" si="92"/>
        <v>8.4012504456383776E-3</v>
      </c>
      <c r="L226" s="1">
        <f t="shared" ca="1" si="92"/>
        <v>7.7374840233500582E-3</v>
      </c>
      <c r="M226" s="1">
        <f t="shared" ca="1" si="92"/>
        <v>8.1045404692162131E-3</v>
      </c>
      <c r="N226" s="1">
        <f t="shared" ca="1" si="92"/>
        <v>1.8537894329412729E-2</v>
      </c>
      <c r="O226" s="1">
        <f t="shared" ca="1" si="92"/>
        <v>1.8293336042367662E-2</v>
      </c>
      <c r="P226" s="1">
        <f t="shared" ca="1" si="92"/>
        <v>1.8179442749371996E-2</v>
      </c>
      <c r="Q226" s="1">
        <f t="shared" ca="1" si="92"/>
        <v>1.9630207176991397E-2</v>
      </c>
      <c r="R226" s="1">
        <f t="shared" ca="1" si="92"/>
        <v>2.5696114554384999E-2</v>
      </c>
      <c r="S226" s="1">
        <f t="shared" ca="1" si="92"/>
        <v>2.3805252362452445E-2</v>
      </c>
      <c r="T226" s="1">
        <f t="shared" ca="1" si="92"/>
        <v>2.1882469161999644E-2</v>
      </c>
      <c r="U226" s="1">
        <f t="shared" ca="1" si="92"/>
        <v>2.2327166864542704E-2</v>
      </c>
      <c r="V226" s="1">
        <f t="shared" ca="1" si="92"/>
        <v>2.1847673717915201E-2</v>
      </c>
      <c r="W226" s="1">
        <f t="shared" ca="1" si="92"/>
        <v>2.116846698522553E-2</v>
      </c>
      <c r="X226" s="1">
        <f t="shared" ca="1" si="92"/>
        <v>2.055464045115301E-2</v>
      </c>
      <c r="Y226" s="1">
        <f t="shared" ca="1" si="92"/>
        <v>2.344261629339868E-2</v>
      </c>
      <c r="Z226" s="1">
        <f t="shared" ca="1" si="92"/>
        <v>2.4702990966630124E-2</v>
      </c>
      <c r="AA226" s="1">
        <f t="shared" ca="1" si="92"/>
        <v>2.6156127741808498E-2</v>
      </c>
      <c r="AB226" s="1">
        <f t="shared" ca="1" si="92"/>
        <v>2.830769182546224E-2</v>
      </c>
      <c r="AC226" s="1">
        <f t="shared" ca="1" si="92"/>
        <v>3.0514726522188444E-2</v>
      </c>
      <c r="AD226" s="1">
        <f t="shared" ca="1" si="92"/>
        <v>3.2778308345060847E-2</v>
      </c>
      <c r="AE226" s="1">
        <f t="shared" ca="1" si="92"/>
        <v>3.5099530906770093E-2</v>
      </c>
      <c r="AF226" s="1">
        <f t="shared" ca="1" si="92"/>
        <v>3.7479505125861373E-2</v>
      </c>
      <c r="AG226" s="1">
        <f t="shared" ca="1" si="92"/>
        <v>3.9919359433863294E-2</v>
      </c>
      <c r="AH226" s="1">
        <f t="shared" ca="1" si="92"/>
        <v>4.2420239983257342E-2</v>
      </c>
      <c r="AI226" s="1">
        <f t="shared" ca="1" si="92"/>
        <v>4.4672198223220043E-2</v>
      </c>
    </row>
    <row r="227" spans="2:35" hidden="1" outlineLevel="1">
      <c r="B227" s="71" t="s">
        <v>335</v>
      </c>
      <c r="H227" s="1">
        <f t="shared" ca="1" si="92"/>
        <v>9.1752535210810565E-17</v>
      </c>
      <c r="I227" s="1">
        <f t="shared" ca="1" si="92"/>
        <v>9.8251891359678782E-17</v>
      </c>
      <c r="J227" s="1">
        <f t="shared" ca="1" si="92"/>
        <v>1.4249593122295292E-2</v>
      </c>
      <c r="K227" s="1">
        <f t="shared" ref="K227:AI237" ca="1" si="93">(K$190*K40/1000000)/(K$189*K110/1000)+0.0000000000000001*RAND()</f>
        <v>1.4256870678180456E-2</v>
      </c>
      <c r="L227" s="1">
        <f t="shared" ca="1" si="93"/>
        <v>2.5863248473303985E-2</v>
      </c>
      <c r="M227" s="1">
        <f t="shared" ca="1" si="93"/>
        <v>2.6446737865154109E-2</v>
      </c>
      <c r="N227" s="1">
        <f t="shared" ca="1" si="93"/>
        <v>2.724558575517845E-2</v>
      </c>
      <c r="O227" s="1">
        <f t="shared" ca="1" si="93"/>
        <v>2.7286545045956345E-2</v>
      </c>
      <c r="P227" s="1">
        <f t="shared" ca="1" si="93"/>
        <v>2.6733070856927856E-2</v>
      </c>
      <c r="Q227" s="1">
        <f t="shared" ca="1" si="93"/>
        <v>2.9230868271911532E-2</v>
      </c>
      <c r="R227" s="1">
        <f t="shared" ca="1" si="93"/>
        <v>3.0290527638180346E-2</v>
      </c>
      <c r="S227" s="1">
        <f t="shared" ca="1" si="93"/>
        <v>3.3450996921618736E-2</v>
      </c>
      <c r="T227" s="1">
        <f t="shared" ca="1" si="93"/>
        <v>2.4861113163199468E-2</v>
      </c>
      <c r="U227" s="1">
        <f t="shared" ca="1" si="93"/>
        <v>2.5612455027099763E-2</v>
      </c>
      <c r="V227" s="1">
        <f t="shared" ca="1" si="93"/>
        <v>3.8372557834112538E-2</v>
      </c>
      <c r="W227" s="1">
        <f t="shared" ca="1" si="93"/>
        <v>3.7066308758138149E-2</v>
      </c>
      <c r="X227" s="1">
        <f t="shared" ca="1" si="93"/>
        <v>3.5991489128934497E-2</v>
      </c>
      <c r="Y227" s="1">
        <f t="shared" ca="1" si="93"/>
        <v>4.104836722342084E-2</v>
      </c>
      <c r="Z227" s="1">
        <f t="shared" ca="1" si="93"/>
        <v>4.3255301883716089E-2</v>
      </c>
      <c r="AA227" s="1">
        <f t="shared" ca="1" si="93"/>
        <v>4.5799765830352196E-2</v>
      </c>
      <c r="AB227" s="1">
        <f t="shared" ca="1" si="93"/>
        <v>4.8068784652577135E-2</v>
      </c>
      <c r="AC227" s="1">
        <f t="shared" ca="1" si="93"/>
        <v>5.0392443710870823E-2</v>
      </c>
      <c r="AD227" s="1">
        <f t="shared" ca="1" si="93"/>
        <v>5.2771773210217046E-2</v>
      </c>
      <c r="AE227" s="1">
        <f t="shared" ca="1" si="93"/>
        <v>5.5207819415049299E-2</v>
      </c>
      <c r="AF227" s="1">
        <f t="shared" ca="1" si="93"/>
        <v>5.7701644838950732E-2</v>
      </c>
      <c r="AG227" s="1">
        <f t="shared" ca="1" si="93"/>
        <v>6.0254328435084367E-2</v>
      </c>
      <c r="AH227" s="1">
        <f t="shared" ca="1" si="93"/>
        <v>6.2866965787303428E-2</v>
      </c>
      <c r="AI227" s="1">
        <f t="shared" ca="1" si="93"/>
        <v>6.6204376930711559E-2</v>
      </c>
    </row>
    <row r="228" spans="2:35" hidden="1" outlineLevel="1">
      <c r="B228" s="71" t="s">
        <v>336</v>
      </c>
      <c r="H228" s="1">
        <f t="shared" ref="H228:W241" ca="1" si="94">(H$190*H41/1000000)/(H$189*H111/1000)+0.0000000000000001*RAND()</f>
        <v>4.1454861499584551E-18</v>
      </c>
      <c r="I228" s="1">
        <f t="shared" ca="1" si="94"/>
        <v>7.8915289282533096E-17</v>
      </c>
      <c r="J228" s="1">
        <f t="shared" ca="1" si="94"/>
        <v>2.9114965476190788E-17</v>
      </c>
      <c r="K228" s="1">
        <f t="shared" ca="1" si="94"/>
        <v>6.0762030677155568E-17</v>
      </c>
      <c r="L228" s="1">
        <f t="shared" ca="1" si="94"/>
        <v>8.1208970509489654E-17</v>
      </c>
      <c r="M228" s="1">
        <f t="shared" ca="1" si="93"/>
        <v>5.5480989368649754E-17</v>
      </c>
      <c r="N228" s="1">
        <f t="shared" ca="1" si="93"/>
        <v>6.673612468692247E-19</v>
      </c>
      <c r="O228" s="1">
        <f t="shared" ca="1" si="93"/>
        <v>4.700491611330526E-18</v>
      </c>
      <c r="P228" s="1">
        <f t="shared" ca="1" si="93"/>
        <v>5.0403943642177106E-17</v>
      </c>
      <c r="Q228" s="1">
        <f t="shared" ca="1" si="93"/>
        <v>3.4663410782570289E-17</v>
      </c>
      <c r="R228" s="1">
        <f t="shared" ca="1" si="93"/>
        <v>3.139803994557866E-2</v>
      </c>
      <c r="S228" s="1">
        <f t="shared" ca="1" si="93"/>
        <v>2.8125537662731119E-2</v>
      </c>
      <c r="T228" s="1">
        <f t="shared" ca="1" si="93"/>
        <v>2.4762803933142886E-2</v>
      </c>
      <c r="U228" s="1">
        <f t="shared" ca="1" si="93"/>
        <v>2.371337072920213E-2</v>
      </c>
      <c r="V228" s="1">
        <f t="shared" ca="1" si="93"/>
        <v>2.4425513398771012E-2</v>
      </c>
      <c r="W228" s="1">
        <f t="shared" ca="1" si="93"/>
        <v>3.5651576341001821E-2</v>
      </c>
      <c r="X228" s="1">
        <f t="shared" ca="1" si="93"/>
        <v>3.4617780008235143E-2</v>
      </c>
      <c r="Y228" s="1">
        <f t="shared" ca="1" si="93"/>
        <v>3.9481661929377854E-2</v>
      </c>
      <c r="Z228" s="1">
        <f t="shared" ca="1" si="93"/>
        <v>4.1604363855224133E-2</v>
      </c>
      <c r="AA228" s="1">
        <f t="shared" ca="1" si="93"/>
        <v>4.4051712486310735E-2</v>
      </c>
      <c r="AB228" s="1">
        <f t="shared" ca="1" si="93"/>
        <v>4.6234128989332539E-2</v>
      </c>
      <c r="AC228" s="1">
        <f t="shared" ca="1" si="93"/>
        <v>4.8469100258210447E-2</v>
      </c>
      <c r="AD228" s="1">
        <f t="shared" ca="1" si="93"/>
        <v>5.0757617177786908E-2</v>
      </c>
      <c r="AE228" s="1">
        <f t="shared" ca="1" si="93"/>
        <v>5.310068607940828E-2</v>
      </c>
      <c r="AF228" s="1">
        <f t="shared" ca="1" si="93"/>
        <v>5.5499328923384245E-2</v>
      </c>
      <c r="AG228" s="1">
        <f t="shared" ca="1" si="93"/>
        <v>5.7954583482150338E-2</v>
      </c>
      <c r="AH228" s="1">
        <f t="shared" ca="1" si="93"/>
        <v>6.0467503524083567E-2</v>
      </c>
      <c r="AI228" s="1">
        <f t="shared" ca="1" si="93"/>
        <v>6.3677534699408733E-2</v>
      </c>
    </row>
    <row r="229" spans="2:35" hidden="1" outlineLevel="1">
      <c r="B229" s="71" t="s">
        <v>337</v>
      </c>
      <c r="H229" s="1">
        <f t="shared" ca="1" si="94"/>
        <v>3.5215505381731781E-17</v>
      </c>
      <c r="I229" s="1">
        <f t="shared" ca="1" si="94"/>
        <v>2.8653153646264107E-17</v>
      </c>
      <c r="J229" s="1">
        <f t="shared" ca="1" si="94"/>
        <v>1.3423541992592281E-17</v>
      </c>
      <c r="K229" s="1">
        <f t="shared" ca="1" si="94"/>
        <v>2.583586296652911E-17</v>
      </c>
      <c r="L229" s="1">
        <f t="shared" ca="1" si="94"/>
        <v>2.1645942123263061E-17</v>
      </c>
      <c r="M229" s="1">
        <f t="shared" ca="1" si="93"/>
        <v>1.4835839872608413E-17</v>
      </c>
      <c r="N229" s="1">
        <f t="shared" ca="1" si="93"/>
        <v>5.1637071430915982E-17</v>
      </c>
      <c r="O229" s="1">
        <f t="shared" ca="1" si="93"/>
        <v>6.834572320183537E-17</v>
      </c>
      <c r="P229" s="1">
        <f t="shared" ca="1" si="93"/>
        <v>4.4103111165110405E-3</v>
      </c>
      <c r="Q229" s="1">
        <f t="shared" ca="1" si="93"/>
        <v>9.7326074761688707E-3</v>
      </c>
      <c r="R229" s="1">
        <f t="shared" ca="1" si="93"/>
        <v>1.5371820347387589E-2</v>
      </c>
      <c r="S229" s="1">
        <f t="shared" ca="1" si="93"/>
        <v>1.4262361530083416E-2</v>
      </c>
      <c r="T229" s="1">
        <f t="shared" ca="1" si="93"/>
        <v>1.3086383509254982E-2</v>
      </c>
      <c r="U229" s="1">
        <f t="shared" ca="1" si="93"/>
        <v>1.8111070470026362E-2</v>
      </c>
      <c r="V229" s="1">
        <f t="shared" ca="1" si="93"/>
        <v>1.7831229326123681E-2</v>
      </c>
      <c r="W229" s="1">
        <f t="shared" ca="1" si="93"/>
        <v>1.7134543092973166E-2</v>
      </c>
      <c r="X229" s="1">
        <f t="shared" ca="1" si="93"/>
        <v>2.0797111383683547E-2</v>
      </c>
      <c r="Y229" s="1">
        <f t="shared" ca="1" si="93"/>
        <v>2.3719140129789193E-2</v>
      </c>
      <c r="Z229" s="1">
        <f t="shared" ca="1" si="93"/>
        <v>2.4994381899575473E-2</v>
      </c>
      <c r="AA229" s="1">
        <f t="shared" ca="1" si="93"/>
        <v>2.6464659549767209E-2</v>
      </c>
      <c r="AB229" s="1">
        <f t="shared" ca="1" si="93"/>
        <v>2.8591788286002826E-2</v>
      </c>
      <c r="AC229" s="1">
        <f t="shared" ca="1" si="93"/>
        <v>3.0773629376617838E-2</v>
      </c>
      <c r="AD229" s="1">
        <f t="shared" ca="1" si="93"/>
        <v>3.3011243615454967E-2</v>
      </c>
      <c r="AE229" s="1">
        <f t="shared" ca="1" si="93"/>
        <v>3.5305708636158617E-2</v>
      </c>
      <c r="AF229" s="1">
        <f t="shared" ca="1" si="93"/>
        <v>3.7658119115146979E-2</v>
      </c>
      <c r="AG229" s="1">
        <f t="shared" ca="1" si="93"/>
        <v>4.0069586975456775E-2</v>
      </c>
      <c r="AH229" s="1">
        <f t="shared" ca="1" si="93"/>
        <v>4.2541241591413273E-2</v>
      </c>
      <c r="AI229" s="1">
        <f t="shared" ca="1" si="93"/>
        <v>4.4799623429371681E-2</v>
      </c>
    </row>
    <row r="230" spans="2:35" hidden="1" outlineLevel="1">
      <c r="B230" s="71" t="s">
        <v>338</v>
      </c>
      <c r="H230" s="1">
        <f t="shared" ca="1" si="94"/>
        <v>8.0387711310888689E-17</v>
      </c>
      <c r="I230" s="1">
        <f t="shared" ca="1" si="94"/>
        <v>9.4395396154673167E-17</v>
      </c>
      <c r="J230" s="1">
        <f t="shared" ca="1" si="94"/>
        <v>6.1110900351891899E-17</v>
      </c>
      <c r="K230" s="1">
        <f t="shared" ca="1" si="94"/>
        <v>9.8883277961467352E-17</v>
      </c>
      <c r="L230" s="1">
        <f t="shared" ca="1" si="94"/>
        <v>4.6754437374436829E-17</v>
      </c>
      <c r="M230" s="1">
        <f t="shared" ca="1" si="93"/>
        <v>5.164404969401022E-17</v>
      </c>
      <c r="N230" s="1">
        <f t="shared" ca="1" si="93"/>
        <v>1.517209584675787E-17</v>
      </c>
      <c r="O230" s="1">
        <f t="shared" ca="1" si="93"/>
        <v>9.9025757430763913E-17</v>
      </c>
      <c r="P230" s="1">
        <f t="shared" ca="1" si="93"/>
        <v>5.7684780624206341E-18</v>
      </c>
      <c r="Q230" s="1">
        <f t="shared" ca="1" si="93"/>
        <v>5.0456982706253636E-17</v>
      </c>
      <c r="R230" s="1">
        <f t="shared" ca="1" si="93"/>
        <v>8.8661517008192834E-17</v>
      </c>
      <c r="S230" s="1">
        <f t="shared" ca="1" si="93"/>
        <v>5.7786849466031472E-2</v>
      </c>
      <c r="T230" s="1">
        <f t="shared" ca="1" si="93"/>
        <v>5.3723468872149613E-2</v>
      </c>
      <c r="U230" s="1">
        <f t="shared" ca="1" si="93"/>
        <v>5.5675272062338937E-2</v>
      </c>
      <c r="V230" s="1">
        <f t="shared" ca="1" si="93"/>
        <v>5.5077090363198716E-2</v>
      </c>
      <c r="W230" s="1">
        <f t="shared" ca="1" si="93"/>
        <v>5.3517691866853817E-2</v>
      </c>
      <c r="X230" s="1">
        <f t="shared" ca="1" si="93"/>
        <v>5.1965827986813755E-2</v>
      </c>
      <c r="Y230" s="1">
        <f t="shared" ca="1" si="93"/>
        <v>5.9267109021889433E-2</v>
      </c>
      <c r="Z230" s="1">
        <f t="shared" ca="1" si="93"/>
        <v>6.245356066329058E-2</v>
      </c>
      <c r="AA230" s="1">
        <f t="shared" ca="1" si="93"/>
        <v>6.6127349228539772E-2</v>
      </c>
      <c r="AB230" s="1">
        <f t="shared" ca="1" si="93"/>
        <v>6.9403440215974083E-2</v>
      </c>
      <c r="AC230" s="1">
        <f t="shared" ca="1" si="93"/>
        <v>7.2758422741540318E-2</v>
      </c>
      <c r="AD230" s="1">
        <f t="shared" ca="1" si="93"/>
        <v>7.6193784252248528E-2</v>
      </c>
      <c r="AE230" s="1">
        <f t="shared" ca="1" si="93"/>
        <v>7.9711035382319523E-2</v>
      </c>
      <c r="AF230" s="1">
        <f t="shared" ca="1" si="93"/>
        <v>8.3311710227081393E-2</v>
      </c>
      <c r="AG230" s="1">
        <f t="shared" ca="1" si="93"/>
        <v>8.6997366617918515E-2</v>
      </c>
      <c r="AH230" s="1">
        <f t="shared" ca="1" si="93"/>
        <v>9.0769586398204136E-2</v>
      </c>
      <c r="AI230" s="1">
        <f t="shared" ca="1" si="93"/>
        <v>9.5588260646820272E-2</v>
      </c>
    </row>
    <row r="231" spans="2:35" hidden="1" outlineLevel="1">
      <c r="B231" s="71" t="s">
        <v>339</v>
      </c>
      <c r="H231" s="1">
        <f t="shared" ca="1" si="94"/>
        <v>2.7122981397818789E-2</v>
      </c>
      <c r="I231" s="1">
        <f t="shared" ca="1" si="94"/>
        <v>2.572150208933115E-2</v>
      </c>
      <c r="J231" s="1">
        <f t="shared" ca="1" si="94"/>
        <v>2.6273090640033008E-2</v>
      </c>
      <c r="K231" s="1">
        <f t="shared" ca="1" si="94"/>
        <v>2.5974820108533234E-2</v>
      </c>
      <c r="L231" s="1">
        <f t="shared" ca="1" si="94"/>
        <v>3.5318519321758564E-2</v>
      </c>
      <c r="M231" s="1">
        <f t="shared" ca="1" si="93"/>
        <v>3.7186063809697328E-2</v>
      </c>
      <c r="N231" s="1">
        <f t="shared" ca="1" si="93"/>
        <v>3.738387269911865E-2</v>
      </c>
      <c r="O231" s="1">
        <f t="shared" ca="1" si="93"/>
        <v>3.6674337897583585E-2</v>
      </c>
      <c r="P231" s="1">
        <f t="shared" ca="1" si="93"/>
        <v>3.5540896793818985E-2</v>
      </c>
      <c r="Q231" s="1">
        <f t="shared" ca="1" si="93"/>
        <v>3.8664530287093657E-2</v>
      </c>
      <c r="R231" s="1">
        <f t="shared" ca="1" si="93"/>
        <v>4.0560697720798053E-2</v>
      </c>
      <c r="S231" s="1">
        <f t="shared" ca="1" si="93"/>
        <v>3.706333794512532E-2</v>
      </c>
      <c r="T231" s="1">
        <f t="shared" ca="1" si="93"/>
        <v>3.36807686325927E-2</v>
      </c>
      <c r="U231" s="1">
        <f t="shared" ca="1" si="93"/>
        <v>4.5485141757420453E-2</v>
      </c>
      <c r="V231" s="1">
        <f t="shared" ca="1" si="93"/>
        <v>4.421418967058182E-2</v>
      </c>
      <c r="W231" s="1">
        <f t="shared" ca="1" si="93"/>
        <v>4.2265932517301576E-2</v>
      </c>
      <c r="X231" s="1">
        <f t="shared" ca="1" si="93"/>
        <v>4.1040338293376631E-2</v>
      </c>
      <c r="Y231" s="1">
        <f t="shared" ca="1" si="93"/>
        <v>4.6806577424555552E-2</v>
      </c>
      <c r="Z231" s="1">
        <f t="shared" ca="1" si="93"/>
        <v>4.9323097935244947E-2</v>
      </c>
      <c r="AA231" s="1">
        <f t="shared" ca="1" si="93"/>
        <v>5.222449589034462E-2</v>
      </c>
      <c r="AB231" s="1">
        <f t="shared" ca="1" si="93"/>
        <v>5.4811809646387481E-2</v>
      </c>
      <c r="AC231" s="1">
        <f t="shared" ca="1" si="93"/>
        <v>5.7461428497932031E-2</v>
      </c>
      <c r="AD231" s="1">
        <f t="shared" ca="1" si="93"/>
        <v>6.0174527165743064E-2</v>
      </c>
      <c r="AE231" s="1">
        <f t="shared" ca="1" si="93"/>
        <v>6.2952298682833183E-2</v>
      </c>
      <c r="AF231" s="1">
        <f t="shared" ca="1" si="93"/>
        <v>6.5795954610773782E-2</v>
      </c>
      <c r="AG231" s="1">
        <f t="shared" ca="1" si="93"/>
        <v>6.8706725256838366E-2</v>
      </c>
      <c r="AH231" s="1">
        <f t="shared" ca="1" si="93"/>
        <v>7.1685859891921944E-2</v>
      </c>
      <c r="AI231" s="1">
        <f t="shared" ca="1" si="93"/>
        <v>7.5491438618872586E-2</v>
      </c>
    </row>
    <row r="232" spans="2:35" hidden="1" outlineLevel="1">
      <c r="B232" s="71" t="s">
        <v>340</v>
      </c>
      <c r="H232" s="1">
        <f t="shared" ca="1" si="94"/>
        <v>1.524888216933411E-17</v>
      </c>
      <c r="I232" s="1">
        <f t="shared" ca="1" si="94"/>
        <v>7.7782753342166937E-17</v>
      </c>
      <c r="J232" s="1">
        <f t="shared" ca="1" si="94"/>
        <v>9.2787190756905334E-18</v>
      </c>
      <c r="K232" s="1">
        <f t="shared" ca="1" si="94"/>
        <v>4.2364598784279437E-17</v>
      </c>
      <c r="L232" s="1">
        <f t="shared" ca="1" si="94"/>
        <v>4.4311132091001615E-17</v>
      </c>
      <c r="M232" s="1">
        <f t="shared" ca="1" si="93"/>
        <v>5.8333772820813067E-17</v>
      </c>
      <c r="N232" s="1">
        <f t="shared" ca="1" si="93"/>
        <v>2.417708145525037E-17</v>
      </c>
      <c r="O232" s="1">
        <f t="shared" ca="1" si="93"/>
        <v>3.9155902608774184E-17</v>
      </c>
      <c r="P232" s="1">
        <f t="shared" ca="1" si="93"/>
        <v>9.8002976653859531E-17</v>
      </c>
      <c r="Q232" s="1">
        <f t="shared" ca="1" si="93"/>
        <v>7.2401314633158047E-17</v>
      </c>
      <c r="R232" s="1">
        <f t="shared" ca="1" si="93"/>
        <v>7.7339381705222826E-17</v>
      </c>
      <c r="S232" s="1">
        <f t="shared" ca="1" si="93"/>
        <v>9.9627429198370085E-17</v>
      </c>
      <c r="T232" s="1">
        <f t="shared" ca="1" si="93"/>
        <v>6.2945433646433695E-17</v>
      </c>
      <c r="U232" s="1">
        <f t="shared" ca="1" si="93"/>
        <v>7.8987682365683933E-17</v>
      </c>
      <c r="V232" s="1">
        <f t="shared" ca="1" si="93"/>
        <v>8.820350762856137E-17</v>
      </c>
      <c r="W232" s="1">
        <f t="shared" ca="1" si="93"/>
        <v>8.1697217088075814E-17</v>
      </c>
      <c r="X232" s="1">
        <f t="shared" ca="1" si="93"/>
        <v>5.967649752537628E-17</v>
      </c>
      <c r="Y232" s="1">
        <f t="shared" ca="1" si="93"/>
        <v>4.7550139448175764E-18</v>
      </c>
      <c r="Z232" s="1">
        <f t="shared" ca="1" si="93"/>
        <v>5.8200684067786E-18</v>
      </c>
      <c r="AA232" s="1">
        <f t="shared" ca="1" si="93"/>
        <v>8.3286943306283319E-17</v>
      </c>
      <c r="AB232" s="1">
        <f t="shared" ca="1" si="93"/>
        <v>4.5893042821021077E-17</v>
      </c>
      <c r="AC232" s="1">
        <f t="shared" ca="1" si="93"/>
        <v>1.3026950851634555E-17</v>
      </c>
      <c r="AD232" s="1">
        <f t="shared" ca="1" si="93"/>
        <v>2.9319061372754486E-3</v>
      </c>
      <c r="AE232" s="1">
        <f t="shared" ca="1" si="93"/>
        <v>5.9468251578672447E-3</v>
      </c>
      <c r="AF232" s="1">
        <f t="shared" ca="1" si="93"/>
        <v>9.0464229997267668E-3</v>
      </c>
      <c r="AG232" s="1">
        <f t="shared" ca="1" si="93"/>
        <v>1.2232392532955428E-2</v>
      </c>
      <c r="AH232" s="1">
        <f t="shared" ca="1" si="93"/>
        <v>1.5506453888500044E-2</v>
      </c>
      <c r="AI232" s="1">
        <f t="shared" ca="1" si="93"/>
        <v>1.6329643163727925E-2</v>
      </c>
    </row>
    <row r="233" spans="2:35" hidden="1" outlineLevel="1">
      <c r="B233" s="71" t="s">
        <v>341</v>
      </c>
      <c r="H233" s="1">
        <f t="shared" ca="1" si="94"/>
        <v>2.6300495740170623E-2</v>
      </c>
      <c r="I233" s="1">
        <f t="shared" ca="1" si="94"/>
        <v>3.4424361815708709E-2</v>
      </c>
      <c r="J233" s="1">
        <f t="shared" ca="1" si="94"/>
        <v>3.5761939356182111E-2</v>
      </c>
      <c r="K233" s="1">
        <f t="shared" ca="1" si="94"/>
        <v>3.4356796333922156E-2</v>
      </c>
      <c r="L233" s="1">
        <f t="shared" ca="1" si="94"/>
        <v>3.3387306638504123E-2</v>
      </c>
      <c r="M233" s="1">
        <f t="shared" ca="1" si="93"/>
        <v>3.4943094426866161E-2</v>
      </c>
      <c r="N233" s="1">
        <f t="shared" ca="1" si="93"/>
        <v>3.5773525854147684E-2</v>
      </c>
      <c r="O233" s="1">
        <f t="shared" ca="1" si="93"/>
        <v>4.4073446718211277E-2</v>
      </c>
      <c r="P233" s="1">
        <f t="shared" ca="1" si="93"/>
        <v>5.1241605923479497E-2</v>
      </c>
      <c r="Q233" s="1">
        <f t="shared" ca="1" si="93"/>
        <v>6.6039360997739868E-2</v>
      </c>
      <c r="R233" s="1">
        <f t="shared" ca="1" si="93"/>
        <v>6.9332724465570941E-2</v>
      </c>
      <c r="S233" s="1">
        <f t="shared" ca="1" si="93"/>
        <v>6.3532235770853568E-2</v>
      </c>
      <c r="T233" s="1">
        <f t="shared" ca="1" si="93"/>
        <v>6.6457035726454491E-2</v>
      </c>
      <c r="U233" s="1">
        <f t="shared" ca="1" si="93"/>
        <v>6.7514366447670809E-2</v>
      </c>
      <c r="V233" s="1">
        <f t="shared" ca="1" si="93"/>
        <v>6.7076072635760431E-2</v>
      </c>
      <c r="W233" s="1">
        <f t="shared" ca="1" si="93"/>
        <v>8.0444448710491126E-2</v>
      </c>
      <c r="X233" s="1">
        <f t="shared" ca="1" si="93"/>
        <v>7.8111783942097765E-2</v>
      </c>
      <c r="Y233" s="1">
        <f t="shared" ca="1" si="93"/>
        <v>8.9086605097603383E-2</v>
      </c>
      <c r="Z233" s="1">
        <f t="shared" ca="1" si="93"/>
        <v>9.3876279568400806E-2</v>
      </c>
      <c r="AA233" s="1">
        <f t="shared" ca="1" si="93"/>
        <v>9.9398488370648255E-2</v>
      </c>
      <c r="AB233" s="1">
        <f t="shared" ca="1" si="93"/>
        <v>0.10062943750966907</v>
      </c>
      <c r="AC233" s="1">
        <f t="shared" ca="1" si="93"/>
        <v>0.10187423721666233</v>
      </c>
      <c r="AD233" s="1">
        <f t="shared" ca="1" si="93"/>
        <v>0.1031330163369189</v>
      </c>
      <c r="AE233" s="1">
        <f t="shared" ca="1" si="93"/>
        <v>0.1044059043504668</v>
      </c>
      <c r="AF233" s="1">
        <f t="shared" ca="1" si="93"/>
        <v>0.10569303136122203</v>
      </c>
      <c r="AG233" s="1">
        <f t="shared" ca="1" si="93"/>
        <v>0.10699452808567549</v>
      </c>
      <c r="AH233" s="1">
        <f t="shared" ca="1" si="93"/>
        <v>0.10831052584110794</v>
      </c>
      <c r="AI233" s="1">
        <f t="shared" ca="1" si="93"/>
        <v>0.1140603938578576</v>
      </c>
    </row>
    <row r="234" spans="2:35" hidden="1" outlineLevel="1">
      <c r="B234" s="71" t="s">
        <v>342</v>
      </c>
      <c r="H234" s="1">
        <f t="shared" ca="1" si="94"/>
        <v>2.6397572235070412E-2</v>
      </c>
      <c r="I234" s="1">
        <f t="shared" ca="1" si="94"/>
        <v>2.4800908980437786E-2</v>
      </c>
      <c r="J234" s="1">
        <f t="shared" ca="1" si="94"/>
        <v>2.8861237910140572E-2</v>
      </c>
      <c r="K234" s="1">
        <f t="shared" ca="1" si="94"/>
        <v>2.8237068258666308E-2</v>
      </c>
      <c r="L234" s="1">
        <f t="shared" ca="1" si="94"/>
        <v>2.8337250297770393E-2</v>
      </c>
      <c r="M234" s="1">
        <f t="shared" ca="1" si="93"/>
        <v>2.9945632233896704E-2</v>
      </c>
      <c r="N234" s="1">
        <f t="shared" ca="1" si="93"/>
        <v>3.2365472402702815E-2</v>
      </c>
      <c r="O234" s="1">
        <f t="shared" ca="1" si="93"/>
        <v>2.8653021000192642E-2</v>
      </c>
      <c r="P234" s="1">
        <f t="shared" ca="1" si="93"/>
        <v>2.768614507278461E-2</v>
      </c>
      <c r="Q234" s="1">
        <f t="shared" ca="1" si="93"/>
        <v>3.3134125090076127E-2</v>
      </c>
      <c r="R234" s="1">
        <f t="shared" ca="1" si="93"/>
        <v>3.6443836717232204E-2</v>
      </c>
      <c r="S234" s="1">
        <f t="shared" ca="1" si="93"/>
        <v>3.4524273484609021E-2</v>
      </c>
      <c r="T234" s="1">
        <f t="shared" ca="1" si="93"/>
        <v>3.4426270322523086E-2</v>
      </c>
      <c r="U234" s="1">
        <f t="shared" ca="1" si="93"/>
        <v>3.7129546210114821E-2</v>
      </c>
      <c r="V234" s="1">
        <f t="shared" ca="1" si="93"/>
        <v>4.0895556461592444E-2</v>
      </c>
      <c r="W234" s="1">
        <f t="shared" ca="1" si="93"/>
        <v>4.6176608944622978E-2</v>
      </c>
      <c r="X234" s="1">
        <f t="shared" ca="1" si="93"/>
        <v>4.4837616005574336E-2</v>
      </c>
      <c r="Y234" s="1">
        <f t="shared" ca="1" si="93"/>
        <v>5.1137367463505293E-2</v>
      </c>
      <c r="Z234" s="1">
        <f t="shared" ca="1" si="93"/>
        <v>5.3886729650731983E-2</v>
      </c>
      <c r="AA234" s="1">
        <f t="shared" ca="1" si="93"/>
        <v>5.7056580162167962E-2</v>
      </c>
      <c r="AB234" s="1">
        <f t="shared" ca="1" si="93"/>
        <v>5.988328575711134E-2</v>
      </c>
      <c r="AC234" s="1">
        <f t="shared" ca="1" si="93"/>
        <v>6.2778061241776081E-2</v>
      </c>
      <c r="AD234" s="1">
        <f t="shared" ca="1" si="93"/>
        <v>6.5742190028253239E-2</v>
      </c>
      <c r="AE234" s="1">
        <f t="shared" ca="1" si="93"/>
        <v>6.87769755352272E-2</v>
      </c>
      <c r="AF234" s="1">
        <f t="shared" ca="1" si="93"/>
        <v>7.1883741424300457E-2</v>
      </c>
      <c r="AG234" s="1">
        <f t="shared" ca="1" si="93"/>
        <v>7.5063831837228215E-2</v>
      </c>
      <c r="AH234" s="1">
        <f t="shared" ca="1" si="93"/>
        <v>7.8318611634001029E-2</v>
      </c>
      <c r="AI234" s="1">
        <f t="shared" ca="1" si="93"/>
        <v>8.2476302464633638E-2</v>
      </c>
    </row>
    <row r="235" spans="2:35" hidden="1" outlineLevel="1">
      <c r="B235" s="71" t="s">
        <v>343</v>
      </c>
      <c r="H235" s="1">
        <f t="shared" ca="1" si="94"/>
        <v>6.9613392548261368E-17</v>
      </c>
      <c r="I235" s="1">
        <f t="shared" ca="1" si="94"/>
        <v>1.93017082326612E-2</v>
      </c>
      <c r="J235" s="1">
        <f t="shared" ca="1" si="94"/>
        <v>2.027225055154408E-2</v>
      </c>
      <c r="K235" s="1">
        <f t="shared" ca="1" si="94"/>
        <v>1.9701052700928208E-2</v>
      </c>
      <c r="L235" s="1">
        <f t="shared" ca="1" si="94"/>
        <v>1.7408990774168725E-2</v>
      </c>
      <c r="M235" s="1">
        <f t="shared" ca="1" si="93"/>
        <v>1.8276068526019967E-2</v>
      </c>
      <c r="N235" s="1">
        <f t="shared" ca="1" si="93"/>
        <v>1.7224916663549049E-2</v>
      </c>
      <c r="O235" s="1">
        <f t="shared" ca="1" si="93"/>
        <v>2.5023792597622035E-2</v>
      </c>
      <c r="P235" s="1">
        <f t="shared" ca="1" si="93"/>
        <v>2.3333761521553073E-2</v>
      </c>
      <c r="Q235" s="1">
        <f t="shared" ca="1" si="93"/>
        <v>2.45597312656286E-2</v>
      </c>
      <c r="R235" s="1">
        <f t="shared" ca="1" si="93"/>
        <v>2.4953692740542009E-2</v>
      </c>
      <c r="S235" s="1">
        <f t="shared" ca="1" si="93"/>
        <v>2.2636092916397895E-2</v>
      </c>
      <c r="T235" s="1">
        <f t="shared" ca="1" si="93"/>
        <v>2.0224183714211544E-2</v>
      </c>
      <c r="U235" s="1">
        <f t="shared" ca="1" si="93"/>
        <v>2.0533551925994539E-2</v>
      </c>
      <c r="V235" s="1">
        <f t="shared" ca="1" si="93"/>
        <v>2.0152861533037275E-2</v>
      </c>
      <c r="W235" s="1">
        <f t="shared" ca="1" si="93"/>
        <v>1.9027520613297263E-2</v>
      </c>
      <c r="X235" s="1">
        <f t="shared" ca="1" si="93"/>
        <v>1.8475775555981348E-2</v>
      </c>
      <c r="Y235" s="1">
        <f t="shared" ca="1" si="93"/>
        <v>2.1071688235491302E-2</v>
      </c>
      <c r="Z235" s="1">
        <f t="shared" ca="1" si="93"/>
        <v>2.2204591740878691E-2</v>
      </c>
      <c r="AA235" s="1">
        <f t="shared" ca="1" si="93"/>
        <v>2.3510761867406232E-2</v>
      </c>
      <c r="AB235" s="1">
        <f t="shared" ca="1" si="93"/>
        <v>2.5871835740721851E-2</v>
      </c>
      <c r="AC235" s="1">
        <f t="shared" ca="1" si="93"/>
        <v>2.8294881571925716E-2</v>
      </c>
      <c r="AD235" s="1">
        <f t="shared" ca="1" si="93"/>
        <v>3.0781110651501273E-2</v>
      </c>
      <c r="AE235" s="1">
        <f t="shared" ca="1" si="93"/>
        <v>3.3331753597213222E-2</v>
      </c>
      <c r="AF235" s="1">
        <f t="shared" ca="1" si="93"/>
        <v>3.5948060588350268E-2</v>
      </c>
      <c r="AG235" s="1">
        <f t="shared" ca="1" si="93"/>
        <v>3.8631301601006779E-2</v>
      </c>
      <c r="AH235" s="1">
        <f t="shared" ca="1" si="93"/>
        <v>4.1382766644345155E-2</v>
      </c>
      <c r="AI235" s="1">
        <f t="shared" ca="1" si="93"/>
        <v>4.3579648660429127E-2</v>
      </c>
    </row>
    <row r="236" spans="2:35" hidden="1" outlineLevel="1">
      <c r="B236" s="71" t="s">
        <v>344</v>
      </c>
      <c r="H236" s="1">
        <f t="shared" ca="1" si="94"/>
        <v>5.5402140521129706E-17</v>
      </c>
      <c r="I236" s="1">
        <f t="shared" ca="1" si="94"/>
        <v>2.7342994893703188E-17</v>
      </c>
      <c r="J236" s="1">
        <f t="shared" ca="1" si="94"/>
        <v>9.3170219304196273E-17</v>
      </c>
      <c r="K236" s="1">
        <f t="shared" ca="1" si="94"/>
        <v>8.6664463943442521E-18</v>
      </c>
      <c r="L236" s="1">
        <f t="shared" ca="1" si="94"/>
        <v>7.7749504455131637E-17</v>
      </c>
      <c r="M236" s="1">
        <f t="shared" ca="1" si="93"/>
        <v>8.9235080802437677E-17</v>
      </c>
      <c r="N236" s="1">
        <f t="shared" ca="1" si="93"/>
        <v>9.4227464443507965E-17</v>
      </c>
      <c r="O236" s="1">
        <f t="shared" ca="1" si="93"/>
        <v>7.8778093150932711E-17</v>
      </c>
      <c r="P236" s="1">
        <f t="shared" ca="1" si="93"/>
        <v>1.9197057341213032E-17</v>
      </c>
      <c r="Q236" s="1">
        <f t="shared" ca="1" si="93"/>
        <v>4.9544456960019518E-18</v>
      </c>
      <c r="R236" s="1">
        <f t="shared" ca="1" si="93"/>
        <v>7.1998451843214656E-17</v>
      </c>
      <c r="S236" s="1">
        <f t="shared" ca="1" si="93"/>
        <v>3.1346223285533813E-17</v>
      </c>
      <c r="T236" s="1">
        <f t="shared" ca="1" si="93"/>
        <v>9.9568612975097766E-17</v>
      </c>
      <c r="U236" s="1">
        <f t="shared" ca="1" si="93"/>
        <v>9.5074202264424359E-17</v>
      </c>
      <c r="V236" s="1">
        <f t="shared" ca="1" si="93"/>
        <v>2.6192922356191616E-17</v>
      </c>
      <c r="W236" s="1">
        <f t="shared" ca="1" si="93"/>
        <v>2.310557261313343E-17</v>
      </c>
      <c r="X236" s="1">
        <f t="shared" ca="1" si="93"/>
        <v>1.9317996319788465E-17</v>
      </c>
      <c r="Y236" s="1">
        <f t="shared" ca="1" si="93"/>
        <v>1.2794825503032564E-8</v>
      </c>
      <c r="Z236" s="1">
        <f t="shared" ca="1" si="93"/>
        <v>1.3482729616132152E-8</v>
      </c>
      <c r="AA236" s="1">
        <f t="shared" ca="1" si="93"/>
        <v>1.4275842166803291E-8</v>
      </c>
      <c r="AB236" s="1">
        <f t="shared" ca="1" si="93"/>
        <v>6.5614628949107155E-3</v>
      </c>
      <c r="AC236" s="1">
        <f t="shared" ca="1" si="93"/>
        <v>1.330897218065848E-2</v>
      </c>
      <c r="AD236" s="1">
        <f t="shared" ca="1" si="93"/>
        <v>2.0246285220901942E-2</v>
      </c>
      <c r="AE236" s="1">
        <f t="shared" ca="1" si="93"/>
        <v>2.7377205875397059E-2</v>
      </c>
      <c r="AF236" s="1">
        <f t="shared" ca="1" si="93"/>
        <v>3.4705599530421308E-2</v>
      </c>
      <c r="AG236" s="1">
        <f t="shared" ca="1" si="93"/>
        <v>4.2235393858976747E-2</v>
      </c>
      <c r="AH236" s="1">
        <f t="shared" ca="1" si="93"/>
        <v>4.9970579585000591E-2</v>
      </c>
      <c r="AI236" s="1">
        <f t="shared" ca="1" si="93"/>
        <v>5.262336180633094E-2</v>
      </c>
    </row>
    <row r="237" spans="2:35" hidden="1" outlineLevel="1">
      <c r="B237" s="71" t="s">
        <v>345</v>
      </c>
      <c r="H237" s="1">
        <f t="shared" ca="1" si="94"/>
        <v>1.3644927224687152E-2</v>
      </c>
      <c r="I237" s="1">
        <f t="shared" ca="1" si="94"/>
        <v>1.9619309891495497E-2</v>
      </c>
      <c r="J237" s="1">
        <f t="shared" ca="1" si="94"/>
        <v>4.1434061460561375E-2</v>
      </c>
      <c r="K237" s="1">
        <f t="shared" ca="1" si="94"/>
        <v>4.8962828909689025E-2</v>
      </c>
      <c r="L237" s="1">
        <f t="shared" ca="1" si="94"/>
        <v>5.2658916423673451E-2</v>
      </c>
      <c r="M237" s="1">
        <f t="shared" ca="1" si="93"/>
        <v>5.7632056704605777E-2</v>
      </c>
      <c r="N237" s="1">
        <f t="shared" ca="1" si="93"/>
        <v>6.0158282583717082E-2</v>
      </c>
      <c r="O237" s="1">
        <f t="shared" ca="1" si="93"/>
        <v>5.3614194313030966E-2</v>
      </c>
      <c r="P237" s="1">
        <f t="shared" ca="1" si="93"/>
        <v>5.2250679265445271E-2</v>
      </c>
      <c r="Q237" s="1">
        <f t="shared" ca="1" si="93"/>
        <v>6.5207728113420307E-2</v>
      </c>
      <c r="R237" s="1">
        <f t="shared" ca="1" si="93"/>
        <v>7.5459875209137106E-2</v>
      </c>
      <c r="S237" s="1">
        <f t="shared" ca="1" si="93"/>
        <v>6.9878371366280792E-2</v>
      </c>
      <c r="T237" s="1">
        <f t="shared" ca="1" si="93"/>
        <v>6.447196971512921E-2</v>
      </c>
      <c r="U237" s="1">
        <f t="shared" ca="1" si="93"/>
        <v>6.4627537692942535E-2</v>
      </c>
      <c r="V237" s="1">
        <f t="shared" ca="1" si="93"/>
        <v>6.3073436902638405E-2</v>
      </c>
      <c r="W237" s="1">
        <f t="shared" ca="1" si="93"/>
        <v>6.0651854349548687E-2</v>
      </c>
      <c r="X237" s="1">
        <f t="shared" ca="1" si="93"/>
        <v>5.8893119644459369E-2</v>
      </c>
      <c r="Y237" s="1">
        <f t="shared" ca="1" si="93"/>
        <v>6.7167700224950139E-2</v>
      </c>
      <c r="Z237" s="1">
        <f t="shared" ca="1" si="93"/>
        <v>7.0778921223630623E-2</v>
      </c>
      <c r="AA237" s="1">
        <f t="shared" ca="1" si="93"/>
        <v>7.4942443506274131E-2</v>
      </c>
      <c r="AB237" s="1">
        <f t="shared" ca="1" si="93"/>
        <v>7.8655253207728801E-2</v>
      </c>
      <c r="AC237" s="1">
        <f t="shared" ca="1" si="93"/>
        <v>8.2457471069476609E-2</v>
      </c>
      <c r="AD237" s="1">
        <f t="shared" ca="1" si="93"/>
        <v>8.6350782822380817E-2</v>
      </c>
      <c r="AE237" s="1">
        <f t="shared" ca="1" si="93"/>
        <v>9.0336900475482915E-2</v>
      </c>
      <c r="AF237" s="1">
        <f t="shared" ca="1" si="93"/>
        <v>9.4417562626409851E-2</v>
      </c>
      <c r="AG237" s="1">
        <f t="shared" ca="1" si="93"/>
        <v>9.8594534772975778E-2</v>
      </c>
      <c r="AH237" s="1">
        <f t="shared" ca="1" si="93"/>
        <v>0.10286960962589757</v>
      </c>
      <c r="AI237" s="1">
        <f t="shared" ca="1" si="93"/>
        <v>0.10833063636997581</v>
      </c>
    </row>
    <row r="238" spans="2:35" hidden="1" outlineLevel="1">
      <c r="B238" s="71" t="s">
        <v>346</v>
      </c>
      <c r="H238" s="1">
        <f t="shared" ca="1" si="94"/>
        <v>9.3643814300146783E-17</v>
      </c>
      <c r="I238" s="1">
        <f t="shared" ca="1" si="94"/>
        <v>6.5056987730627742E-17</v>
      </c>
      <c r="J238" s="1">
        <f t="shared" ca="1" si="94"/>
        <v>7.569965574248295E-17</v>
      </c>
      <c r="K238" s="1">
        <f t="shared" ca="1" si="94"/>
        <v>9.3853028014916676E-17</v>
      </c>
      <c r="L238" s="1">
        <f t="shared" ca="1" si="94"/>
        <v>6.9918179022922607E-17</v>
      </c>
      <c r="M238" s="1">
        <f t="shared" ca="1" si="94"/>
        <v>3.9201483970001116E-18</v>
      </c>
      <c r="N238" s="1">
        <f t="shared" ca="1" si="94"/>
        <v>4.1026358162894894E-17</v>
      </c>
      <c r="O238" s="1">
        <f t="shared" ca="1" si="94"/>
        <v>6.86057336818427E-17</v>
      </c>
      <c r="P238" s="1">
        <f t="shared" ca="1" si="94"/>
        <v>1.1186820715175039E-17</v>
      </c>
      <c r="Q238" s="1">
        <f t="shared" ca="1" si="94"/>
        <v>3.4307901973510422E-17</v>
      </c>
      <c r="R238" s="1">
        <f t="shared" ca="1" si="94"/>
        <v>8.3754894669916986E-3</v>
      </c>
      <c r="S238" s="1">
        <f t="shared" ca="1" si="94"/>
        <v>7.5820231554330252E-3</v>
      </c>
      <c r="T238" s="1">
        <f t="shared" ca="1" si="94"/>
        <v>6.7359966008232568E-3</v>
      </c>
      <c r="U238" s="1">
        <f t="shared" ca="1" si="94"/>
        <v>2.7004254414892386E-2</v>
      </c>
      <c r="V238" s="1">
        <f t="shared" ca="1" si="94"/>
        <v>3.3771491629719631E-2</v>
      </c>
      <c r="W238" s="1">
        <f t="shared" ca="1" si="94"/>
        <v>3.1682304337266119E-2</v>
      </c>
      <c r="X238" s="1">
        <f t="shared" ref="X238:AI241" ca="1" si="95">(X$190*X51/1000000)/(X$189*X121/1000)+0.0000000000000001*RAND()</f>
        <v>3.0763605828000088E-2</v>
      </c>
      <c r="Y238" s="1">
        <f t="shared" ca="1" si="95"/>
        <v>3.5085945852726647E-2</v>
      </c>
      <c r="Z238" s="1">
        <f t="shared" ca="1" si="95"/>
        <v>3.697231540234043E-2</v>
      </c>
      <c r="AA238" s="1">
        <f t="shared" ca="1" si="95"/>
        <v>3.91471869086778E-2</v>
      </c>
      <c r="AB238" s="1">
        <f t="shared" ca="1" si="95"/>
        <v>4.1086622674833762E-2</v>
      </c>
      <c r="AC238" s="1">
        <f t="shared" ca="1" si="95"/>
        <v>4.3072761988384181E-2</v>
      </c>
      <c r="AD238" s="1">
        <f t="shared" ca="1" si="95"/>
        <v>4.5106485413374128E-2</v>
      </c>
      <c r="AE238" s="1">
        <f t="shared" ca="1" si="95"/>
        <v>4.7188687240605848E-2</v>
      </c>
      <c r="AF238" s="1">
        <f t="shared" ca="1" si="95"/>
        <v>4.9320275649784591E-2</v>
      </c>
      <c r="AG238" s="1">
        <f t="shared" ca="1" si="95"/>
        <v>5.1502172872288067E-2</v>
      </c>
      <c r="AH238" s="1">
        <f t="shared" ca="1" si="95"/>
        <v>5.3735315354517296E-2</v>
      </c>
      <c r="AI238" s="1">
        <f t="shared" ca="1" si="95"/>
        <v>5.6587955656348568E-2</v>
      </c>
    </row>
    <row r="239" spans="2:35" hidden="1" outlineLevel="1">
      <c r="B239" s="71" t="s">
        <v>347</v>
      </c>
      <c r="H239" s="1">
        <f t="shared" ca="1" si="94"/>
        <v>1.4417786807010069E-17</v>
      </c>
      <c r="I239" s="1">
        <f t="shared" ca="1" si="94"/>
        <v>5.8592613781138834E-17</v>
      </c>
      <c r="J239" s="1">
        <f t="shared" ca="1" si="94"/>
        <v>1.0423309533320047E-18</v>
      </c>
      <c r="K239" s="1">
        <f t="shared" ca="1" si="94"/>
        <v>7.1736587438146963E-17</v>
      </c>
      <c r="L239" s="1">
        <f t="shared" ca="1" si="94"/>
        <v>8.1403542181178036E-17</v>
      </c>
      <c r="M239" s="1">
        <f t="shared" ca="1" si="94"/>
        <v>9.9616598666754628E-17</v>
      </c>
      <c r="N239" s="1">
        <f t="shared" ca="1" si="94"/>
        <v>9.5675228459867256E-17</v>
      </c>
      <c r="O239" s="1">
        <f t="shared" ca="1" si="94"/>
        <v>1.0897553587127784E-17</v>
      </c>
      <c r="P239" s="1">
        <f t="shared" ca="1" si="94"/>
        <v>9.761370171235406E-17</v>
      </c>
      <c r="Q239" s="1">
        <f t="shared" ca="1" si="94"/>
        <v>5.056607374360169E-17</v>
      </c>
      <c r="R239" s="1">
        <f t="shared" ca="1" si="94"/>
        <v>7.6864330887163503E-17</v>
      </c>
      <c r="S239" s="1">
        <f t="shared" ca="1" si="94"/>
        <v>8.2751543794004381E-17</v>
      </c>
      <c r="T239" s="1">
        <f t="shared" ca="1" si="94"/>
        <v>3.5943733166177052E-18</v>
      </c>
      <c r="U239" s="1">
        <f t="shared" ca="1" si="94"/>
        <v>1.6052097054345482E-17</v>
      </c>
      <c r="V239" s="1">
        <f t="shared" ca="1" si="94"/>
        <v>6.5076930459288254E-17</v>
      </c>
      <c r="W239" s="1">
        <f t="shared" ca="1" si="94"/>
        <v>2.9168697146626098E-17</v>
      </c>
      <c r="X239" s="1">
        <f t="shared" ca="1" si="95"/>
        <v>9.0572014625784088E-17</v>
      </c>
      <c r="Y239" s="1">
        <f t="shared" ca="1" si="95"/>
        <v>2.4216621759971856E-17</v>
      </c>
      <c r="Z239" s="1">
        <f t="shared" ca="1" si="95"/>
        <v>3.484844949044219E-19</v>
      </c>
      <c r="AA239" s="1">
        <f t="shared" ca="1" si="95"/>
        <v>3.6581353238118153E-17</v>
      </c>
      <c r="AB239" s="1">
        <f t="shared" ca="1" si="95"/>
        <v>3.8313856529674948E-3</v>
      </c>
      <c r="AC239" s="1">
        <f t="shared" ca="1" si="95"/>
        <v>7.7714165301628084E-3</v>
      </c>
      <c r="AD239" s="1">
        <f t="shared" ca="1" si="95"/>
        <v>1.1822278306321252E-2</v>
      </c>
      <c r="AE239" s="1">
        <f t="shared" ca="1" si="95"/>
        <v>1.5986192146764725E-2</v>
      </c>
      <c r="AF239" s="1">
        <f t="shared" ca="1" si="95"/>
        <v>2.0265415147054523E-2</v>
      </c>
      <c r="AG239" s="1">
        <f t="shared" ca="1" si="95"/>
        <v>2.4662240775435992E-2</v>
      </c>
      <c r="AH239" s="1">
        <f t="shared" ca="1" si="95"/>
        <v>2.9178999317489736E-2</v>
      </c>
      <c r="AI239" s="1">
        <f t="shared" ca="1" si="95"/>
        <v>3.0728021387445525E-2</v>
      </c>
    </row>
    <row r="240" spans="2:35" hidden="1" outlineLevel="1">
      <c r="B240" s="71" t="s">
        <v>348</v>
      </c>
      <c r="H240" s="1">
        <f t="shared" ca="1" si="94"/>
        <v>9.1029776792566439E-3</v>
      </c>
      <c r="I240" s="1">
        <f t="shared" ca="1" si="94"/>
        <v>8.6938302629201141E-3</v>
      </c>
      <c r="J240" s="1">
        <f t="shared" ca="1" si="94"/>
        <v>8.8664093874812958E-3</v>
      </c>
      <c r="K240" s="1">
        <f t="shared" ca="1" si="94"/>
        <v>2.6342824742799212E-2</v>
      </c>
      <c r="L240" s="1">
        <f t="shared" ca="1" si="94"/>
        <v>2.4613609050680805E-2</v>
      </c>
      <c r="M240" s="1">
        <f t="shared" ca="1" si="94"/>
        <v>2.6382385157714652E-2</v>
      </c>
      <c r="N240" s="1">
        <f t="shared" ca="1" si="94"/>
        <v>2.661625762073953E-2</v>
      </c>
      <c r="O240" s="1">
        <f t="shared" ca="1" si="94"/>
        <v>2.6726588463609847E-2</v>
      </c>
      <c r="P240" s="1">
        <f t="shared" ca="1" si="94"/>
        <v>2.661834936669201E-2</v>
      </c>
      <c r="Q240" s="1">
        <f t="shared" ca="1" si="94"/>
        <v>2.8651825124147871E-2</v>
      </c>
      <c r="R240" s="1">
        <f t="shared" ca="1" si="94"/>
        <v>4.0379117130824808E-2</v>
      </c>
      <c r="S240" s="1">
        <f t="shared" ca="1" si="94"/>
        <v>3.6937517238341822E-2</v>
      </c>
      <c r="T240" s="1">
        <f t="shared" ca="1" si="94"/>
        <v>3.3776298495517838E-2</v>
      </c>
      <c r="U240" s="1">
        <f t="shared" ca="1" si="94"/>
        <v>3.4667011048922683E-2</v>
      </c>
      <c r="V240" s="1">
        <f t="shared" ca="1" si="94"/>
        <v>3.3685459862373597E-2</v>
      </c>
      <c r="W240" s="1">
        <f t="shared" ca="1" si="94"/>
        <v>3.2702630210264601E-2</v>
      </c>
      <c r="X240" s="1">
        <f t="shared" ca="1" si="95"/>
        <v>3.1754345094907266E-2</v>
      </c>
      <c r="Y240" s="1">
        <f t="shared" ca="1" si="95"/>
        <v>3.62159039158131E-2</v>
      </c>
      <c r="Z240" s="1">
        <f t="shared" ca="1" si="95"/>
        <v>3.8163024812746832E-2</v>
      </c>
      <c r="AA240" s="1">
        <f t="shared" ca="1" si="95"/>
        <v>4.0407938996715825E-2</v>
      </c>
      <c r="AB240" s="1">
        <f t="shared" ca="1" si="95"/>
        <v>4.2409835130649817E-2</v>
      </c>
      <c r="AC240" s="1">
        <f t="shared" ca="1" si="95"/>
        <v>4.4459938919924433E-2</v>
      </c>
      <c r="AD240" s="1">
        <f t="shared" ca="1" si="95"/>
        <v>4.6559159287530648E-2</v>
      </c>
      <c r="AE240" s="1">
        <f t="shared" ca="1" si="95"/>
        <v>4.8708419325292844E-2</v>
      </c>
      <c r="AF240" s="1">
        <f t="shared" ca="1" si="95"/>
        <v>5.0908656461236559E-2</v>
      </c>
      <c r="AG240" s="1">
        <f t="shared" ca="1" si="95"/>
        <v>5.3160822627599941E-2</v>
      </c>
      <c r="AH240" s="1">
        <f t="shared" ca="1" si="95"/>
        <v>5.546588442944525E-2</v>
      </c>
      <c r="AI240" s="1">
        <f t="shared" ca="1" si="95"/>
        <v>5.8410395246145261E-2</v>
      </c>
    </row>
    <row r="241" spans="2:39" hidden="1" outlineLevel="1">
      <c r="B241" s="71" t="s">
        <v>349</v>
      </c>
      <c r="H241" s="1">
        <f t="shared" ca="1" si="94"/>
        <v>8.8098186717437038E-17</v>
      </c>
      <c r="I241" s="1">
        <f t="shared" ca="1" si="94"/>
        <v>1.9615586434015163E-17</v>
      </c>
      <c r="J241" s="1">
        <f t="shared" ca="1" si="94"/>
        <v>1.0787861473446902E-17</v>
      </c>
      <c r="K241" s="1">
        <f t="shared" ca="1" si="94"/>
        <v>8.6428204213584782E-17</v>
      </c>
      <c r="L241" s="1">
        <f t="shared" ca="1" si="94"/>
        <v>7.4892161757133223E-17</v>
      </c>
      <c r="M241" s="1">
        <f t="shared" ca="1" si="94"/>
        <v>8.2205684004346329E-17</v>
      </c>
      <c r="N241" s="1">
        <f t="shared" ca="1" si="94"/>
        <v>3.2976991114867382E-17</v>
      </c>
      <c r="O241" s="1">
        <f t="shared" ca="1" si="94"/>
        <v>4.3506254101396321E-17</v>
      </c>
      <c r="P241" s="1">
        <f t="shared" ca="1" si="94"/>
        <v>8.6841103997638151E-17</v>
      </c>
      <c r="Q241" s="1">
        <f t="shared" ca="1" si="94"/>
        <v>5.4067171315970343E-17</v>
      </c>
      <c r="R241" s="1">
        <f t="shared" ca="1" si="94"/>
        <v>4.0378825430344089E-17</v>
      </c>
      <c r="S241" s="1">
        <f t="shared" ca="1" si="94"/>
        <v>5.5897068333520704E-17</v>
      </c>
      <c r="T241" s="1">
        <f t="shared" ca="1" si="94"/>
        <v>3.7782077189587323E-17</v>
      </c>
      <c r="U241" s="1">
        <f t="shared" ca="1" si="94"/>
        <v>3.4158180270398362E-17</v>
      </c>
      <c r="V241" s="1">
        <f t="shared" ca="1" si="94"/>
        <v>5.1209311667284405E-17</v>
      </c>
      <c r="W241" s="1">
        <f t="shared" ca="1" si="94"/>
        <v>1.5172331109700066E-17</v>
      </c>
      <c r="X241" s="1">
        <f t="shared" ca="1" si="95"/>
        <v>6.3287011415956894E-17</v>
      </c>
      <c r="Y241" s="1">
        <f t="shared" ca="1" si="95"/>
        <v>3.8603725288560277E-8</v>
      </c>
      <c r="Z241" s="1">
        <f t="shared" ca="1" si="95"/>
        <v>4.0679225508440293E-8</v>
      </c>
      <c r="AA241" s="1">
        <f t="shared" ca="1" si="95"/>
        <v>4.3072153595906402E-8</v>
      </c>
      <c r="AB241" s="1">
        <f t="shared" ca="1" si="95"/>
        <v>4.6554590285992703E-3</v>
      </c>
      <c r="AC241" s="1">
        <f t="shared" ca="1" si="95"/>
        <v>9.4428869251512049E-3</v>
      </c>
      <c r="AD241" s="1">
        <f t="shared" ca="1" si="95"/>
        <v>1.4364982516486543E-2</v>
      </c>
      <c r="AE241" s="1">
        <f t="shared" ca="1" si="95"/>
        <v>1.9424444682305808E-2</v>
      </c>
      <c r="AF241" s="1">
        <f t="shared" ca="1" si="95"/>
        <v>2.4624015961246665E-2</v>
      </c>
      <c r="AG241" s="1">
        <f t="shared" ca="1" si="95"/>
        <v>2.996648308804192E-2</v>
      </c>
      <c r="AH241" s="1">
        <f t="shared" ca="1" si="95"/>
        <v>3.545467753331686E-2</v>
      </c>
      <c r="AI241" s="1">
        <f t="shared" ca="1" si="95"/>
        <v>3.7336855787091165E-2</v>
      </c>
    </row>
    <row r="242" spans="2:39" collapsed="1">
      <c r="B242" s="286" t="s">
        <v>392</v>
      </c>
      <c r="C242" s="286"/>
      <c r="D242" s="286"/>
      <c r="E242" s="286"/>
      <c r="F242" s="286"/>
      <c r="G242" s="286"/>
      <c r="H242" s="292">
        <f t="shared" ref="H242:AI242" si="96">(H$190*H55/1000000)/(H$189*H125/1000)</f>
        <v>1.0758099939891127E-2</v>
      </c>
      <c r="I242" s="292">
        <f t="shared" si="96"/>
        <v>1.1873832113153916E-2</v>
      </c>
      <c r="J242" s="292">
        <f t="shared" si="96"/>
        <v>1.4314450427882637E-2</v>
      </c>
      <c r="K242" s="292">
        <f t="shared" si="96"/>
        <v>1.6466573580103762E-2</v>
      </c>
      <c r="L242" s="292">
        <f t="shared" si="96"/>
        <v>1.7097219341723431E-2</v>
      </c>
      <c r="M242" s="292">
        <f t="shared" si="96"/>
        <v>1.819170736675008E-2</v>
      </c>
      <c r="N242" s="292">
        <f t="shared" si="96"/>
        <v>1.9404909374065797E-2</v>
      </c>
      <c r="O242" s="292">
        <f t="shared" si="96"/>
        <v>1.9982494955591366E-2</v>
      </c>
      <c r="P242" s="292">
        <f t="shared" si="96"/>
        <v>2.1537832599348057E-2</v>
      </c>
      <c r="Q242" s="292">
        <f t="shared" si="96"/>
        <v>2.6109900660123288E-2</v>
      </c>
      <c r="R242" s="292">
        <f t="shared" si="96"/>
        <v>2.9837945608188806E-2</v>
      </c>
      <c r="S242" s="292">
        <f>(S$190*S55/1000000)/(S$189*S125/1000)</f>
        <v>3.0255288710468804E-2</v>
      </c>
      <c r="T242" s="292">
        <f t="shared" si="96"/>
        <v>3.0243348341708439E-2</v>
      </c>
      <c r="U242" s="292">
        <f t="shared" si="96"/>
        <v>3.3462152826720867E-2</v>
      </c>
      <c r="V242" s="292">
        <f t="shared" si="96"/>
        <v>3.553888831203382E-2</v>
      </c>
      <c r="W242" s="292">
        <f t="shared" si="96"/>
        <v>3.6201739130434785E-2</v>
      </c>
      <c r="X242" s="292">
        <f t="shared" si="96"/>
        <v>3.580295238095238E-2</v>
      </c>
      <c r="Y242" s="292">
        <f ca="1">(Y$190*Y55/1000000)/(Y$189*Y125/1000)</f>
        <v>4.0833332562643467E-2</v>
      </c>
      <c r="Z242" s="292">
        <f t="shared" ca="1" si="96"/>
        <v>4.3028706045768146E-2</v>
      </c>
      <c r="AA242" s="292">
        <f t="shared" ca="1" si="96"/>
        <v>4.5559840645133326E-2</v>
      </c>
      <c r="AB242" s="292">
        <f t="shared" ca="1" si="96"/>
        <v>4.8187257545842709E-2</v>
      </c>
      <c r="AC242" s="292">
        <f t="shared" ca="1" si="96"/>
        <v>5.0879528468300253E-2</v>
      </c>
      <c r="AD242" s="292">
        <f t="shared" ca="1" si="96"/>
        <v>5.3660254049492498E-2</v>
      </c>
      <c r="AE242" s="292">
        <f t="shared" ca="1" si="96"/>
        <v>5.6522212882211091E-2</v>
      </c>
      <c r="AF242" s="292">
        <f t="shared" ca="1" si="96"/>
        <v>5.9468035777910593E-2</v>
      </c>
      <c r="AG242" s="292">
        <f t="shared" ca="1" si="96"/>
        <v>6.2485217652556622E-2</v>
      </c>
      <c r="AH242" s="292">
        <f t="shared" ca="1" si="96"/>
        <v>6.5575102369479041E-2</v>
      </c>
      <c r="AI242" s="292">
        <f t="shared" ca="1" si="96"/>
        <v>6.9056280037866263E-2</v>
      </c>
    </row>
    <row r="243" spans="2:39">
      <c r="X243" s="14"/>
    </row>
    <row r="244" spans="2:39">
      <c r="B244" s="120" t="s">
        <v>386</v>
      </c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  <c r="AA244" s="119"/>
      <c r="AB244" s="119"/>
      <c r="AC244" s="119"/>
      <c r="AD244" s="119"/>
      <c r="AE244" s="119"/>
      <c r="AF244" s="119"/>
      <c r="AG244" s="119"/>
      <c r="AH244" s="119"/>
      <c r="AI244" s="119"/>
    </row>
    <row r="245" spans="2:39">
      <c r="W245" s="7"/>
      <c r="X245" s="7"/>
    </row>
    <row r="246" spans="2:39">
      <c r="B246" s="293" t="s">
        <v>475</v>
      </c>
      <c r="W246" s="7"/>
      <c r="X246" s="7"/>
    </row>
    <row r="247" spans="2:39">
      <c r="B247" s="71" t="s">
        <v>476</v>
      </c>
      <c r="C247" s="81">
        <v>111.247</v>
      </c>
      <c r="D247" s="81">
        <v>132.86799999999999</v>
      </c>
      <c r="E247" s="81">
        <v>164.06200000000001</v>
      </c>
      <c r="F247" s="81">
        <v>190.1</v>
      </c>
      <c r="G247" s="81">
        <v>224.09899999999999</v>
      </c>
      <c r="H247" s="7">
        <f t="shared" ref="H247:AI247" si="97">+H68</f>
        <v>253.16800000000001</v>
      </c>
      <c r="I247" s="7">
        <f t="shared" si="97"/>
        <v>289.88799999999998</v>
      </c>
      <c r="J247" s="7">
        <f t="shared" si="97"/>
        <v>337.02100000000002</v>
      </c>
      <c r="K247" s="7">
        <f t="shared" si="97"/>
        <v>377.24400000000003</v>
      </c>
      <c r="L247" s="7">
        <f t="shared" si="97"/>
        <v>345.46499999999997</v>
      </c>
      <c r="M247" s="7">
        <f t="shared" si="97"/>
        <v>357.12900000000002</v>
      </c>
      <c r="N247" s="7">
        <f t="shared" si="97"/>
        <v>396.18099999999998</v>
      </c>
      <c r="O247" s="7">
        <f t="shared" si="97"/>
        <v>408.08</v>
      </c>
      <c r="P247" s="7">
        <f t="shared" si="97"/>
        <v>447.72800000000001</v>
      </c>
      <c r="Q247" s="7">
        <f t="shared" si="97"/>
        <v>526.92899999999997</v>
      </c>
      <c r="R247" s="7">
        <f t="shared" si="97"/>
        <v>582.28200000000004</v>
      </c>
      <c r="S247" s="7">
        <f t="shared" si="97"/>
        <v>619.93600000000004</v>
      </c>
      <c r="T247" s="7">
        <f t="shared" si="97"/>
        <v>671.29399999999998</v>
      </c>
      <c r="U247" s="7">
        <f t="shared" si="97"/>
        <v>721.51199999999994</v>
      </c>
      <c r="V247" s="7">
        <f t="shared" si="97"/>
        <v>748.96100000000001</v>
      </c>
      <c r="W247" s="7">
        <f t="shared" si="97"/>
        <v>832.64</v>
      </c>
      <c r="X247" s="7">
        <f t="shared" si="97"/>
        <v>751.86199999999997</v>
      </c>
      <c r="Y247" s="7">
        <f t="shared" ca="1" si="97"/>
        <v>937.53331563829397</v>
      </c>
      <c r="Z247" s="7">
        <f t="shared" ca="1" si="97"/>
        <v>997.81848171894524</v>
      </c>
      <c r="AA247" s="7">
        <f t="shared" ca="1" si="97"/>
        <v>1067.0796254306279</v>
      </c>
      <c r="AB247" s="7">
        <f t="shared" ca="1" si="97"/>
        <v>1139.9038364595344</v>
      </c>
      <c r="AC247" s="7">
        <f t="shared" ca="1" si="97"/>
        <v>1215.6273334194743</v>
      </c>
      <c r="AD247" s="7">
        <f t="shared" ca="1" si="97"/>
        <v>1294.885826177647</v>
      </c>
      <c r="AE247" s="7">
        <f t="shared" ca="1" si="97"/>
        <v>1377.5877836963687</v>
      </c>
      <c r="AF247" s="7">
        <f t="shared" ca="1" si="97"/>
        <v>1463.8787086517223</v>
      </c>
      <c r="AG247" s="7">
        <f t="shared" ca="1" si="97"/>
        <v>1553.5318480896156</v>
      </c>
      <c r="AH247" s="7">
        <f t="shared" ca="1" si="97"/>
        <v>1646.6573045255266</v>
      </c>
      <c r="AI247" s="7">
        <f t="shared" ca="1" si="97"/>
        <v>1751.4139372605043</v>
      </c>
      <c r="AK247" s="294"/>
      <c r="AL247" s="1"/>
      <c r="AM247" s="1"/>
    </row>
    <row r="248" spans="2:39">
      <c r="B248" s="71" t="s">
        <v>477</v>
      </c>
      <c r="C248" s="81">
        <v>0</v>
      </c>
      <c r="D248" s="81">
        <v>0</v>
      </c>
      <c r="E248" s="81">
        <v>0</v>
      </c>
      <c r="F248" s="81">
        <v>0</v>
      </c>
      <c r="G248" s="81">
        <v>0</v>
      </c>
      <c r="H248" s="81">
        <v>0</v>
      </c>
      <c r="I248" s="81">
        <v>0</v>
      </c>
      <c r="J248" s="81">
        <v>0</v>
      </c>
      <c r="K248" s="81">
        <v>0</v>
      </c>
      <c r="L248" s="81">
        <v>0</v>
      </c>
      <c r="M248" s="81">
        <v>0</v>
      </c>
      <c r="N248" s="81">
        <v>0</v>
      </c>
      <c r="O248" s="81">
        <v>0</v>
      </c>
      <c r="P248" s="81">
        <f>0.02+0.049+0.073+0.085</f>
        <v>0.22700000000000004</v>
      </c>
      <c r="Q248" s="81">
        <f>0.315+0.436+0.579+0.775</f>
        <v>2.105</v>
      </c>
      <c r="R248" s="81">
        <f>1.212+1.343+1.776+2.192</f>
        <v>6.5229999999999997</v>
      </c>
      <c r="S248" s="81">
        <v>6.5229999999999997</v>
      </c>
      <c r="T248" s="81">
        <v>18.760999999999999</v>
      </c>
      <c r="U248" s="81">
        <v>44.252000000000002</v>
      </c>
      <c r="V248" s="81">
        <v>94.108000000000004</v>
      </c>
      <c r="W248" s="81">
        <v>177.54900000000001</v>
      </c>
      <c r="X248" s="81">
        <v>244.11</v>
      </c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K248" s="294"/>
      <c r="AL248" s="1"/>
      <c r="AM248" s="1"/>
    </row>
    <row r="249" spans="2:39">
      <c r="B249" s="71" t="s">
        <v>478</v>
      </c>
      <c r="C249" s="81">
        <v>255.12299999999999</v>
      </c>
      <c r="D249" s="81">
        <v>258.52300000000002</v>
      </c>
      <c r="E249" s="81">
        <v>247.36500000000001</v>
      </c>
      <c r="F249" s="81">
        <v>239.56399999999999</v>
      </c>
      <c r="G249" s="81">
        <v>238.27099999999999</v>
      </c>
      <c r="H249" s="81">
        <v>234.59800000000001</v>
      </c>
      <c r="I249" s="81">
        <v>228.52799999999999</v>
      </c>
      <c r="J249" s="81">
        <v>219.27099999999999</v>
      </c>
      <c r="K249" s="81">
        <v>201.13399999999999</v>
      </c>
      <c r="L249" s="81">
        <v>180.304</v>
      </c>
      <c r="M249" s="81">
        <v>171.09399999999999</v>
      </c>
      <c r="N249" s="81">
        <v>180.95500000000001</v>
      </c>
      <c r="O249" s="81">
        <v>204.572</v>
      </c>
      <c r="P249" s="81">
        <v>214.91</v>
      </c>
      <c r="Q249" s="81">
        <v>204.572</v>
      </c>
      <c r="R249" s="81">
        <v>214.91</v>
      </c>
      <c r="S249" s="81">
        <v>227.29</v>
      </c>
      <c r="T249" s="81">
        <v>225.71299999999999</v>
      </c>
      <c r="U249" s="81">
        <v>234.148</v>
      </c>
      <c r="V249" s="81">
        <v>237.72200000000001</v>
      </c>
      <c r="W249" s="81">
        <v>246.113</v>
      </c>
      <c r="X249" s="81">
        <v>241.18199999999999</v>
      </c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K249" s="294"/>
      <c r="AL249" s="1"/>
      <c r="AM249" s="1"/>
    </row>
    <row r="250" spans="2:39">
      <c r="B250" s="71" t="s">
        <v>479</v>
      </c>
      <c r="C250" s="81">
        <v>52.027000000000001</v>
      </c>
      <c r="D250" s="81">
        <v>58.252000000000002</v>
      </c>
      <c r="E250" s="81">
        <v>61.77</v>
      </c>
      <c r="F250" s="81">
        <v>73.944000000000003</v>
      </c>
      <c r="G250" s="81">
        <v>88.316000000000003</v>
      </c>
      <c r="H250" s="81">
        <v>88.7</v>
      </c>
      <c r="I250" s="81">
        <v>81.436999999999998</v>
      </c>
      <c r="J250" s="81">
        <v>88.722999999999999</v>
      </c>
      <c r="K250" s="81">
        <v>102.214</v>
      </c>
      <c r="L250" s="81">
        <v>101.76900000000001</v>
      </c>
      <c r="M250" s="81">
        <v>102.45699999999999</v>
      </c>
      <c r="N250" s="81">
        <v>113.676</v>
      </c>
      <c r="O250" s="81">
        <v>121.21299999999999</v>
      </c>
      <c r="P250" s="81">
        <v>145.08699999999999</v>
      </c>
      <c r="Q250" s="81">
        <v>163.35599999999999</v>
      </c>
      <c r="R250" s="81">
        <v>182.10900000000001</v>
      </c>
      <c r="S250" s="81">
        <v>198.459</v>
      </c>
      <c r="T250" s="81">
        <v>207.55600000000001</v>
      </c>
      <c r="U250" s="81">
        <v>252.922</v>
      </c>
      <c r="V250" s="81">
        <v>282.54199999999997</v>
      </c>
      <c r="W250" s="81">
        <v>284.19</v>
      </c>
      <c r="X250" s="81">
        <v>233.46899999999999</v>
      </c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K250" s="294"/>
      <c r="AL250" s="1"/>
      <c r="AM250" s="1"/>
    </row>
    <row r="251" spans="2:39">
      <c r="B251" s="71" t="s">
        <v>480</v>
      </c>
      <c r="C251" s="81">
        <v>45.63</v>
      </c>
      <c r="D251" s="81">
        <v>59.143999999999998</v>
      </c>
      <c r="E251" s="81">
        <v>67.927000000000007</v>
      </c>
      <c r="F251" s="81">
        <v>65.697999999999993</v>
      </c>
      <c r="G251" s="81">
        <v>62.720999999999997</v>
      </c>
      <c r="H251" s="81">
        <v>66.335999999999999</v>
      </c>
      <c r="I251" s="81">
        <v>68.286000000000001</v>
      </c>
      <c r="J251" s="81">
        <f>64.952*0.99</f>
        <v>64.302480000000003</v>
      </c>
      <c r="K251" s="81">
        <f>65.138*0.96</f>
        <v>62.53248</v>
      </c>
      <c r="L251" s="81">
        <f>61.971*0.95</f>
        <v>58.872449999999994</v>
      </c>
      <c r="M251" s="81">
        <f>54.067*0.95</f>
        <v>51.36365</v>
      </c>
      <c r="N251" s="81">
        <f>+$O$251/106.472*99.525</f>
        <v>62.95092723908634</v>
      </c>
      <c r="O251" s="81">
        <f>66.939+0.406</f>
        <v>67.344999999999999</v>
      </c>
      <c r="P251" s="81">
        <f>77.214+3.5</f>
        <v>80.713999999999999</v>
      </c>
      <c r="Q251" s="81">
        <f>80.434+4.931</f>
        <v>85.364999999999995</v>
      </c>
      <c r="R251" s="81">
        <f>91.606+2.881*0.5</f>
        <v>93.046499999999995</v>
      </c>
      <c r="S251" s="81">
        <f>103.151+2.707*0.5</f>
        <v>104.50449999999999</v>
      </c>
      <c r="T251" s="81">
        <f>104.451+2.759*0.5</f>
        <v>105.83049999999999</v>
      </c>
      <c r="U251" s="81">
        <f>100.542+5.785*0.5</f>
        <v>103.4345</v>
      </c>
      <c r="V251" s="81">
        <v>111.806</v>
      </c>
      <c r="W251" s="81">
        <v>121.01600000000001</v>
      </c>
      <c r="X251" s="81">
        <v>108.411</v>
      </c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K251" s="294"/>
      <c r="AL251" s="1"/>
      <c r="AM251" s="1"/>
    </row>
    <row r="252" spans="2:39">
      <c r="B252" s="71" t="s">
        <v>481</v>
      </c>
      <c r="C252" s="81">
        <v>22.43</v>
      </c>
      <c r="D252" s="81">
        <v>29.866</v>
      </c>
      <c r="E252" s="81">
        <v>35.853999999999999</v>
      </c>
      <c r="F252" s="81">
        <v>40.780999999999999</v>
      </c>
      <c r="G252" s="81">
        <v>41.451000000000001</v>
      </c>
      <c r="H252" s="81">
        <v>40.311999999999998</v>
      </c>
      <c r="I252" s="81">
        <v>42.831000000000003</v>
      </c>
      <c r="J252" s="81">
        <v>43.423999999999999</v>
      </c>
      <c r="K252" s="81">
        <v>32.700000000000003</v>
      </c>
      <c r="L252" s="81">
        <v>28.853000000000002</v>
      </c>
      <c r="M252" s="81">
        <v>29.452999999999999</v>
      </c>
      <c r="N252" s="81">
        <v>34.969000000000001</v>
      </c>
      <c r="O252" s="81">
        <v>39.436</v>
      </c>
      <c r="P252" s="81">
        <v>47.965000000000003</v>
      </c>
      <c r="Q252" s="81">
        <v>56.997</v>
      </c>
      <c r="R252" s="81">
        <v>61.561</v>
      </c>
      <c r="S252" s="81">
        <v>99.108999999999995</v>
      </c>
      <c r="T252" s="81">
        <v>113.498</v>
      </c>
      <c r="U252" s="81">
        <v>129.91300000000001</v>
      </c>
      <c r="V252" s="81">
        <v>151.23400000000001</v>
      </c>
      <c r="W252" s="81">
        <v>170.423</v>
      </c>
      <c r="X252" s="81">
        <v>183.23</v>
      </c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K252" s="294"/>
      <c r="AL252" s="1"/>
      <c r="AM252" s="1"/>
    </row>
    <row r="253" spans="2:39">
      <c r="B253" s="71" t="s">
        <v>482</v>
      </c>
      <c r="C253" s="81">
        <f>+D253*0.98</f>
        <v>69.873020000000011</v>
      </c>
      <c r="D253" s="81">
        <v>71.299000000000007</v>
      </c>
      <c r="E253" s="81">
        <v>73.465999999999994</v>
      </c>
      <c r="F253" s="81">
        <v>77.903000000000006</v>
      </c>
      <c r="G253" s="81">
        <v>69.650999999999996</v>
      </c>
      <c r="H253" s="81">
        <v>68.039000000000001</v>
      </c>
      <c r="I253" s="81">
        <v>61.353000000000002</v>
      </c>
      <c r="J253" s="81">
        <v>66.727000000000004</v>
      </c>
      <c r="K253" s="81">
        <v>72.143000000000001</v>
      </c>
      <c r="L253" s="81">
        <v>68.808000000000007</v>
      </c>
      <c r="M253" s="81">
        <v>75.795000000000002</v>
      </c>
      <c r="N253" s="81">
        <v>90.29</v>
      </c>
      <c r="O253" s="81">
        <v>96.355000000000004</v>
      </c>
      <c r="P253" s="81">
        <v>102.556</v>
      </c>
      <c r="Q253" s="81">
        <v>107.054</v>
      </c>
      <c r="R253" s="81">
        <v>110.113</v>
      </c>
      <c r="S253" s="81">
        <v>117.123</v>
      </c>
      <c r="T253" s="81">
        <v>119.17400000000001</v>
      </c>
      <c r="U253" s="81">
        <v>123.489</v>
      </c>
      <c r="V253" s="81">
        <v>139.60499999999999</v>
      </c>
      <c r="W253" s="81">
        <v>162.149</v>
      </c>
      <c r="X253" s="81">
        <v>159.02500000000001</v>
      </c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K253" s="294"/>
      <c r="AL253" s="1"/>
      <c r="AM253" s="1"/>
    </row>
    <row r="254" spans="2:39">
      <c r="B254" s="71" t="s">
        <v>483</v>
      </c>
      <c r="C254" s="189" t="s">
        <v>41</v>
      </c>
      <c r="D254" s="189" t="s">
        <v>41</v>
      </c>
      <c r="E254" s="189" t="s">
        <v>41</v>
      </c>
      <c r="F254" s="189" t="s">
        <v>41</v>
      </c>
      <c r="G254" s="189" t="s">
        <v>41</v>
      </c>
      <c r="H254" s="189" t="s">
        <v>41</v>
      </c>
      <c r="I254" s="189" t="s">
        <v>41</v>
      </c>
      <c r="J254" s="189" t="s">
        <v>41</v>
      </c>
      <c r="K254" s="189" t="s">
        <v>41</v>
      </c>
      <c r="L254" s="189" t="s">
        <v>41</v>
      </c>
      <c r="M254" s="189" t="s">
        <v>41</v>
      </c>
      <c r="N254" s="189" t="s">
        <v>41</v>
      </c>
      <c r="O254" s="189" t="s">
        <v>41</v>
      </c>
      <c r="P254" s="189" t="s">
        <v>41</v>
      </c>
      <c r="Q254" s="189" t="s">
        <v>41</v>
      </c>
      <c r="R254" s="189" t="s">
        <v>41</v>
      </c>
      <c r="S254" s="189" t="s">
        <v>41</v>
      </c>
      <c r="T254" s="189" t="s">
        <v>41</v>
      </c>
      <c r="U254" s="189" t="s">
        <v>41</v>
      </c>
      <c r="V254" s="189" t="s">
        <v>41</v>
      </c>
      <c r="W254" s="81">
        <v>8.2629999999999999</v>
      </c>
      <c r="X254" s="81">
        <v>9.4969999999999999</v>
      </c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</row>
    <row r="255" spans="2:39">
      <c r="B255" s="71" t="s">
        <v>484</v>
      </c>
      <c r="C255" s="189" t="s">
        <v>41</v>
      </c>
      <c r="D255" s="189" t="s">
        <v>41</v>
      </c>
      <c r="E255" s="189" t="s">
        <v>41</v>
      </c>
      <c r="F255" s="189" t="s">
        <v>41</v>
      </c>
      <c r="G255" s="189" t="s">
        <v>41</v>
      </c>
      <c r="H255" s="189" t="s">
        <v>41</v>
      </c>
      <c r="I255" s="189" t="s">
        <v>41</v>
      </c>
      <c r="J255" s="189" t="s">
        <v>41</v>
      </c>
      <c r="K255" s="189" t="s">
        <v>41</v>
      </c>
      <c r="L255" s="189" t="s">
        <v>41</v>
      </c>
      <c r="M255" s="189" t="s">
        <v>41</v>
      </c>
      <c r="N255" s="189" t="s">
        <v>41</v>
      </c>
      <c r="O255" s="189" t="s">
        <v>41</v>
      </c>
      <c r="P255" s="189" t="s">
        <v>41</v>
      </c>
      <c r="Q255" s="189" t="s">
        <v>41</v>
      </c>
      <c r="R255" s="189" t="s">
        <v>41</v>
      </c>
      <c r="S255" s="189" t="s">
        <v>41</v>
      </c>
      <c r="T255" s="189" t="s">
        <v>41</v>
      </c>
      <c r="U255" s="189" t="s">
        <v>41</v>
      </c>
      <c r="V255" s="81">
        <v>10.006</v>
      </c>
      <c r="W255" s="81">
        <v>18.945</v>
      </c>
      <c r="X255" s="81">
        <v>34.488</v>
      </c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</row>
    <row r="256" spans="2:39">
      <c r="B256" s="71" t="s">
        <v>485</v>
      </c>
      <c r="C256" s="7">
        <f t="shared" ref="C256" si="98">+C257-SUM(C247:C255)</f>
        <v>21977.471267740446</v>
      </c>
      <c r="D256" s="7">
        <f t="shared" ref="D256" si="99">+D257-SUM(D247:D255)</f>
        <v>22411.390610189494</v>
      </c>
      <c r="E256" s="7">
        <f t="shared" ref="E256" si="100">+E257-SUM(E247:E255)</f>
        <v>22925.73324530372</v>
      </c>
      <c r="F256" s="7">
        <f t="shared" ref="F256" si="101">+F257-SUM(F247:F255)</f>
        <v>23110.30440531535</v>
      </c>
      <c r="G256" s="7">
        <f t="shared" ref="G256" si="102">+G257-SUM(G247:G255)</f>
        <v>23376.10583950462</v>
      </c>
      <c r="H256" s="7">
        <f t="shared" ref="H256:X256" si="103">+H257-SUM(H247:H255)</f>
        <v>22781.62708333525</v>
      </c>
      <c r="I256" s="7">
        <f t="shared" si="103"/>
        <v>23641.699131815381</v>
      </c>
      <c r="J256" s="7">
        <f t="shared" si="103"/>
        <v>22724.641836909417</v>
      </c>
      <c r="K256" s="7">
        <f t="shared" si="103"/>
        <v>22061.716685005435</v>
      </c>
      <c r="L256" s="7">
        <f t="shared" si="103"/>
        <v>19421.845845389649</v>
      </c>
      <c r="M256" s="7">
        <f t="shared" si="103"/>
        <v>18844.125720573102</v>
      </c>
      <c r="N256" s="7">
        <f t="shared" si="103"/>
        <v>19537.512484897186</v>
      </c>
      <c r="O256" s="7">
        <f t="shared" si="103"/>
        <v>19484.87329081841</v>
      </c>
      <c r="P256" s="7">
        <f t="shared" si="103"/>
        <v>19748.791453020043</v>
      </c>
      <c r="Q256" s="7">
        <f t="shared" si="103"/>
        <v>19034.817128205126</v>
      </c>
      <c r="R256" s="7">
        <f t="shared" si="103"/>
        <v>18264.270884615384</v>
      </c>
      <c r="S256" s="7">
        <f t="shared" si="103"/>
        <v>19117.225200000001</v>
      </c>
      <c r="T256" s="7">
        <f t="shared" si="103"/>
        <v>20734.591449999996</v>
      </c>
      <c r="U256" s="7">
        <f t="shared" si="103"/>
        <v>19952.361200000007</v>
      </c>
      <c r="V256" s="7">
        <f t="shared" si="103"/>
        <v>19298.423095238097</v>
      </c>
      <c r="W256" s="7">
        <f t="shared" si="103"/>
        <v>20978.712</v>
      </c>
      <c r="X256" s="7">
        <f t="shared" si="103"/>
        <v>19034.726000000002</v>
      </c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</row>
    <row r="257" spans="2:40">
      <c r="B257" s="321" t="s">
        <v>486</v>
      </c>
      <c r="C257" s="289">
        <f>+C188*C185*1000</f>
        <v>22533.801287740447</v>
      </c>
      <c r="D257" s="289">
        <f t="shared" ref="D257:G257" si="104">+D188*D185*1000</f>
        <v>23021.342610189495</v>
      </c>
      <c r="E257" s="289">
        <f t="shared" si="104"/>
        <v>23576.177245303719</v>
      </c>
      <c r="F257" s="289">
        <f t="shared" si="104"/>
        <v>23798.294405315351</v>
      </c>
      <c r="G257" s="289">
        <f t="shared" si="104"/>
        <v>24100.614839504618</v>
      </c>
      <c r="H257" s="289">
        <f t="shared" ref="H257:AI257" si="105">+H188*H185*1000</f>
        <v>23532.780083335248</v>
      </c>
      <c r="I257" s="289">
        <f t="shared" si="105"/>
        <v>24414.022131815382</v>
      </c>
      <c r="J257" s="289">
        <f t="shared" si="105"/>
        <v>23544.110316909417</v>
      </c>
      <c r="K257" s="289">
        <f t="shared" si="105"/>
        <v>22909.684165005434</v>
      </c>
      <c r="L257" s="289">
        <f t="shared" si="105"/>
        <v>20205.917295389649</v>
      </c>
      <c r="M257" s="289">
        <f t="shared" si="105"/>
        <v>19631.417370573101</v>
      </c>
      <c r="N257" s="289">
        <f t="shared" si="105"/>
        <v>20416.534412136272</v>
      </c>
      <c r="O257" s="289">
        <f t="shared" si="105"/>
        <v>20421.87429081841</v>
      </c>
      <c r="P257" s="289">
        <f t="shared" si="105"/>
        <v>20787.978453020041</v>
      </c>
      <c r="Q257" s="289">
        <f t="shared" si="105"/>
        <v>20181.195128205127</v>
      </c>
      <c r="R257" s="289">
        <f t="shared" si="105"/>
        <v>19514.815384615384</v>
      </c>
      <c r="S257" s="289">
        <f t="shared" si="105"/>
        <v>20490.169700000002</v>
      </c>
      <c r="T257" s="289">
        <f t="shared" si="105"/>
        <v>22196.417949999995</v>
      </c>
      <c r="U257" s="289">
        <f t="shared" si="105"/>
        <v>21562.031700000007</v>
      </c>
      <c r="V257" s="289">
        <f t="shared" si="105"/>
        <v>21074.407095238097</v>
      </c>
      <c r="W257" s="289">
        <f t="shared" si="105"/>
        <v>23000</v>
      </c>
      <c r="X257" s="289">
        <f t="shared" si="105"/>
        <v>21000.000000000004</v>
      </c>
      <c r="Y257" s="289">
        <f t="shared" si="105"/>
        <v>22960</v>
      </c>
      <c r="Z257" s="289">
        <f t="shared" si="105"/>
        <v>23189.600000000006</v>
      </c>
      <c r="AA257" s="289">
        <f t="shared" si="105"/>
        <v>23421.496000000006</v>
      </c>
      <c r="AB257" s="289">
        <f t="shared" si="105"/>
        <v>23655.710960000004</v>
      </c>
      <c r="AC257" s="289">
        <f t="shared" si="105"/>
        <v>23892.268069600002</v>
      </c>
      <c r="AD257" s="289">
        <f t="shared" si="105"/>
        <v>24131.190750296002</v>
      </c>
      <c r="AE257" s="289">
        <f t="shared" si="105"/>
        <v>24372.502657798963</v>
      </c>
      <c r="AF257" s="289">
        <f t="shared" si="105"/>
        <v>24616.22768437695</v>
      </c>
      <c r="AG257" s="289">
        <f t="shared" si="105"/>
        <v>24862.389961220721</v>
      </c>
      <c r="AH257" s="289">
        <f t="shared" si="105"/>
        <v>25111.013860832929</v>
      </c>
      <c r="AI257" s="289">
        <f t="shared" si="105"/>
        <v>25362.123999441261</v>
      </c>
    </row>
    <row r="258" spans="2:40">
      <c r="B258" s="164" t="s">
        <v>487</v>
      </c>
      <c r="C258" s="7">
        <f t="shared" ref="C258" si="106">+C259-C257</f>
        <v>18205.198712259553</v>
      </c>
      <c r="D258" s="7">
        <f t="shared" ref="D258:G258" si="107">+D259-D257</f>
        <v>18599.086389810509</v>
      </c>
      <c r="E258" s="7">
        <f t="shared" si="107"/>
        <v>19047.340754696277</v>
      </c>
      <c r="F258" s="7">
        <f t="shared" si="107"/>
        <v>19226.790594684648</v>
      </c>
      <c r="G258" s="7">
        <f t="shared" si="107"/>
        <v>19471.037160495383</v>
      </c>
      <c r="H258" s="7">
        <f t="shared" ref="H258:L258" si="108">+H259-H257</f>
        <v>19012.279916664749</v>
      </c>
      <c r="I258" s="7">
        <f t="shared" si="108"/>
        <v>19724.240868184625</v>
      </c>
      <c r="J258" s="7">
        <f t="shared" si="108"/>
        <v>19021.433683090585</v>
      </c>
      <c r="K258" s="7">
        <f t="shared" si="108"/>
        <v>18508.876834994568</v>
      </c>
      <c r="L258" s="7">
        <f t="shared" si="108"/>
        <v>16324.486704610354</v>
      </c>
      <c r="M258" s="7">
        <f>+M259-M257</f>
        <v>15860.344629426902</v>
      </c>
      <c r="N258" s="7">
        <f>+N259-N257</f>
        <v>16494.645587863728</v>
      </c>
      <c r="O258" s="7">
        <f t="shared" ref="O258:W258" si="109">+O259-O257</f>
        <v>16498.959709181592</v>
      </c>
      <c r="P258" s="7">
        <f t="shared" si="109"/>
        <v>16794.737546979959</v>
      </c>
      <c r="Q258" s="7">
        <f t="shared" si="109"/>
        <v>15594.559871794871</v>
      </c>
      <c r="R258" s="7">
        <f t="shared" si="109"/>
        <v>16726.984615384619</v>
      </c>
      <c r="S258" s="7">
        <f t="shared" si="109"/>
        <v>16764.684299999997</v>
      </c>
      <c r="T258" s="7">
        <f t="shared" si="109"/>
        <v>16406.048050000005</v>
      </c>
      <c r="U258" s="7">
        <f t="shared" si="109"/>
        <v>17641.662299999996</v>
      </c>
      <c r="V258" s="7">
        <f t="shared" si="109"/>
        <v>19158.551904761905</v>
      </c>
      <c r="W258" s="7">
        <f t="shared" si="109"/>
        <v>17806.578999999998</v>
      </c>
      <c r="X258" s="7">
        <f>+X259-X257</f>
        <v>16499.999999999996</v>
      </c>
      <c r="Y258" s="7">
        <f t="shared" ref="Y258:AI258" si="110">+Y259-Y257</f>
        <v>18040</v>
      </c>
      <c r="Z258" s="7">
        <f t="shared" si="110"/>
        <v>18220.400000000001</v>
      </c>
      <c r="AA258" s="7">
        <f t="shared" si="110"/>
        <v>18402.603999999992</v>
      </c>
      <c r="AB258" s="7">
        <f t="shared" si="110"/>
        <v>18586.630039999996</v>
      </c>
      <c r="AC258" s="7">
        <f t="shared" si="110"/>
        <v>18772.496340400001</v>
      </c>
      <c r="AD258" s="7">
        <f t="shared" si="110"/>
        <v>18960.221303803999</v>
      </c>
      <c r="AE258" s="7">
        <f t="shared" si="110"/>
        <v>19149.823516842036</v>
      </c>
      <c r="AF258" s="7">
        <f t="shared" si="110"/>
        <v>19341.321752010459</v>
      </c>
      <c r="AG258" s="7">
        <f t="shared" si="110"/>
        <v>19534.734969530564</v>
      </c>
      <c r="AH258" s="7">
        <f t="shared" si="110"/>
        <v>19730.082319225869</v>
      </c>
      <c r="AI258" s="7">
        <f t="shared" si="110"/>
        <v>19927.383142418126</v>
      </c>
    </row>
    <row r="259" spans="2:40">
      <c r="B259" s="321" t="s">
        <v>488</v>
      </c>
      <c r="C259" s="289">
        <f t="shared" ref="C259" si="111">+C185*1000</f>
        <v>40739</v>
      </c>
      <c r="D259" s="289">
        <f t="shared" ref="D259:AI259" si="112">+D185*1000</f>
        <v>41620.429000000004</v>
      </c>
      <c r="E259" s="289">
        <f t="shared" si="112"/>
        <v>42623.517999999996</v>
      </c>
      <c r="F259" s="289">
        <f t="shared" si="112"/>
        <v>43025.084999999999</v>
      </c>
      <c r="G259" s="289">
        <f t="shared" si="112"/>
        <v>43571.652000000002</v>
      </c>
      <c r="H259" s="289">
        <f t="shared" si="112"/>
        <v>42545.06</v>
      </c>
      <c r="I259" s="289">
        <f t="shared" si="112"/>
        <v>44138.263000000006</v>
      </c>
      <c r="J259" s="289">
        <f t="shared" si="112"/>
        <v>42565.544000000002</v>
      </c>
      <c r="K259" s="289">
        <f t="shared" si="112"/>
        <v>41418.561000000002</v>
      </c>
      <c r="L259" s="289">
        <f t="shared" si="112"/>
        <v>36530.404000000002</v>
      </c>
      <c r="M259" s="289">
        <f t="shared" si="112"/>
        <v>35491.762000000002</v>
      </c>
      <c r="N259" s="289">
        <f t="shared" si="112"/>
        <v>36911.18</v>
      </c>
      <c r="O259" s="289">
        <f t="shared" si="112"/>
        <v>36920.834000000003</v>
      </c>
      <c r="P259" s="289">
        <f t="shared" si="112"/>
        <v>37582.716</v>
      </c>
      <c r="Q259" s="289">
        <f t="shared" si="112"/>
        <v>35775.754999999997</v>
      </c>
      <c r="R259" s="289">
        <f t="shared" si="112"/>
        <v>36241.800000000003</v>
      </c>
      <c r="S259" s="289">
        <f t="shared" si="112"/>
        <v>37254.853999999999</v>
      </c>
      <c r="T259" s="289">
        <f t="shared" si="112"/>
        <v>38602.466</v>
      </c>
      <c r="U259" s="289">
        <f t="shared" si="112"/>
        <v>39203.694000000003</v>
      </c>
      <c r="V259" s="289">
        <f t="shared" si="112"/>
        <v>40232.959000000003</v>
      </c>
      <c r="W259" s="289">
        <f t="shared" si="112"/>
        <v>40806.578999999998</v>
      </c>
      <c r="X259" s="289">
        <f t="shared" si="112"/>
        <v>37500</v>
      </c>
      <c r="Y259" s="289">
        <f t="shared" si="112"/>
        <v>41000</v>
      </c>
      <c r="Z259" s="289">
        <f t="shared" si="112"/>
        <v>41410.000000000007</v>
      </c>
      <c r="AA259" s="289">
        <f t="shared" si="112"/>
        <v>41824.1</v>
      </c>
      <c r="AB259" s="289">
        <f t="shared" si="112"/>
        <v>42242.341</v>
      </c>
      <c r="AC259" s="289">
        <f t="shared" si="112"/>
        <v>42664.764410000003</v>
      </c>
      <c r="AD259" s="289">
        <f t="shared" si="112"/>
        <v>43091.412054100001</v>
      </c>
      <c r="AE259" s="289">
        <f t="shared" si="112"/>
        <v>43522.326174640999</v>
      </c>
      <c r="AF259" s="289">
        <f t="shared" si="112"/>
        <v>43957.54943638741</v>
      </c>
      <c r="AG259" s="289">
        <f t="shared" si="112"/>
        <v>44397.124930751284</v>
      </c>
      <c r="AH259" s="289">
        <f t="shared" si="112"/>
        <v>44841.096180058797</v>
      </c>
      <c r="AI259" s="289">
        <f t="shared" si="112"/>
        <v>45289.507141859387</v>
      </c>
    </row>
    <row r="260" spans="2:40">
      <c r="H260" s="14"/>
      <c r="U260" s="14"/>
      <c r="V260" s="14"/>
      <c r="W260" s="14"/>
      <c r="X260" s="14"/>
    </row>
    <row r="261" spans="2:40">
      <c r="B261" s="71" t="s">
        <v>476</v>
      </c>
      <c r="C261" s="91">
        <f t="shared" ref="C261:G261" si="113">IFERROR(C247/C$259,"na")</f>
        <v>2.7307248582439433E-3</v>
      </c>
      <c r="D261" s="91">
        <f t="shared" si="113"/>
        <v>3.1923745908529677E-3</v>
      </c>
      <c r="E261" s="91">
        <f t="shared" si="113"/>
        <v>3.8490957034564822E-3</v>
      </c>
      <c r="F261" s="91">
        <f t="shared" si="113"/>
        <v>4.4183526889022993E-3</v>
      </c>
      <c r="G261" s="91">
        <f t="shared" si="113"/>
        <v>5.1432293638992614E-3</v>
      </c>
      <c r="H261" s="91">
        <f>IFERROR(H247/H$259,"na")</f>
        <v>5.9505850973062451E-3</v>
      </c>
      <c r="I261" s="91">
        <f t="shared" ref="I261:AI261" si="114">IFERROR(I247/I$259,"na")</f>
        <v>6.56772560352001E-3</v>
      </c>
      <c r="J261" s="91">
        <f t="shared" si="114"/>
        <v>7.9176951197898471E-3</v>
      </c>
      <c r="K261" s="91">
        <f t="shared" si="114"/>
        <v>9.1080904524906119E-3</v>
      </c>
      <c r="L261" s="91">
        <f t="shared" si="114"/>
        <v>9.4569170382019299E-3</v>
      </c>
      <c r="M261" s="91">
        <f t="shared" si="114"/>
        <v>1.0062306853066354E-2</v>
      </c>
      <c r="N261" s="91">
        <f t="shared" si="114"/>
        <v>1.0733360461518704E-2</v>
      </c>
      <c r="O261" s="91">
        <f t="shared" si="114"/>
        <v>1.1052838080526565E-2</v>
      </c>
      <c r="P261" s="91">
        <f t="shared" si="114"/>
        <v>1.1913135814878307E-2</v>
      </c>
      <c r="Q261" s="91">
        <f t="shared" si="114"/>
        <v>1.472866191083878E-2</v>
      </c>
      <c r="R261" s="91">
        <f t="shared" si="114"/>
        <v>1.6066586096717052E-2</v>
      </c>
      <c r="S261" s="91">
        <f t="shared" si="114"/>
        <v>1.6640408790757844E-2</v>
      </c>
      <c r="T261" s="91">
        <f t="shared" si="114"/>
        <v>1.7389925296482353E-2</v>
      </c>
      <c r="U261" s="91">
        <f t="shared" si="114"/>
        <v>1.8404184054696477E-2</v>
      </c>
      <c r="V261" s="91">
        <f t="shared" si="114"/>
        <v>1.8615608163446293E-2</v>
      </c>
      <c r="W261" s="91">
        <f t="shared" si="114"/>
        <v>2.0404552903099279E-2</v>
      </c>
      <c r="X261" s="91">
        <f t="shared" si="114"/>
        <v>2.0049653333333334E-2</v>
      </c>
      <c r="Y261" s="91">
        <f t="shared" ca="1" si="114"/>
        <v>2.2866666235080341E-2</v>
      </c>
      <c r="Z261" s="91">
        <f t="shared" ca="1" si="114"/>
        <v>2.4096075385630165E-2</v>
      </c>
      <c r="AA261" s="91">
        <f t="shared" ca="1" si="114"/>
        <v>2.5513510761274668E-2</v>
      </c>
      <c r="AB261" s="91">
        <f t="shared" ca="1" si="114"/>
        <v>2.6984864225671926E-2</v>
      </c>
      <c r="AC261" s="91">
        <f t="shared" ca="1" si="114"/>
        <v>2.849253594224814E-2</v>
      </c>
      <c r="AD261" s="91">
        <f t="shared" ca="1" si="114"/>
        <v>3.0049742267715802E-2</v>
      </c>
      <c r="AE261" s="91">
        <f t="shared" ca="1" si="114"/>
        <v>3.1652439214038215E-2</v>
      </c>
      <c r="AF261" s="91">
        <f t="shared" ca="1" si="114"/>
        <v>3.3302100035629945E-2</v>
      </c>
      <c r="AG261" s="91">
        <f t="shared" ca="1" si="114"/>
        <v>3.4991721885431711E-2</v>
      </c>
      <c r="AH261" s="91">
        <f t="shared" ca="1" si="114"/>
        <v>3.6722057326908267E-2</v>
      </c>
      <c r="AI261" s="91">
        <f t="shared" ca="1" si="114"/>
        <v>3.8671516821205114E-2</v>
      </c>
      <c r="AL261" s="14"/>
      <c r="AM261" s="14"/>
      <c r="AN261" s="14"/>
    </row>
    <row r="262" spans="2:40">
      <c r="B262" s="71" t="s">
        <v>477</v>
      </c>
      <c r="C262" s="91">
        <f t="shared" ref="C262:G262" si="115">IFERROR(C248/C$259,"na")</f>
        <v>0</v>
      </c>
      <c r="D262" s="91">
        <f t="shared" si="115"/>
        <v>0</v>
      </c>
      <c r="E262" s="91">
        <f t="shared" si="115"/>
        <v>0</v>
      </c>
      <c r="F262" s="91">
        <f t="shared" si="115"/>
        <v>0</v>
      </c>
      <c r="G262" s="91">
        <f t="shared" si="115"/>
        <v>0</v>
      </c>
      <c r="H262" s="91">
        <f t="shared" ref="H262:X270" si="116">IFERROR(H248/H$259,"na")</f>
        <v>0</v>
      </c>
      <c r="I262" s="91">
        <f t="shared" si="116"/>
        <v>0</v>
      </c>
      <c r="J262" s="91">
        <f t="shared" si="116"/>
        <v>0</v>
      </c>
      <c r="K262" s="91">
        <f t="shared" si="116"/>
        <v>0</v>
      </c>
      <c r="L262" s="91">
        <f t="shared" si="116"/>
        <v>0</v>
      </c>
      <c r="M262" s="91">
        <f t="shared" si="116"/>
        <v>0</v>
      </c>
      <c r="N262" s="91">
        <f t="shared" si="116"/>
        <v>0</v>
      </c>
      <c r="O262" s="91">
        <f t="shared" si="116"/>
        <v>0</v>
      </c>
      <c r="P262" s="91">
        <f t="shared" si="116"/>
        <v>6.0400105197293364E-6</v>
      </c>
      <c r="Q262" s="91">
        <f t="shared" si="116"/>
        <v>5.8838730307718178E-5</v>
      </c>
      <c r="R262" s="91">
        <f t="shared" si="116"/>
        <v>1.7998554155698667E-4</v>
      </c>
      <c r="S262" s="91">
        <f t="shared" si="116"/>
        <v>1.7509127803856108E-4</v>
      </c>
      <c r="T262" s="91">
        <f t="shared" si="116"/>
        <v>4.8600522049549889E-4</v>
      </c>
      <c r="U262" s="91">
        <f t="shared" si="116"/>
        <v>1.128771181613651E-3</v>
      </c>
      <c r="V262" s="91">
        <f t="shared" si="116"/>
        <v>2.3390772724422282E-3</v>
      </c>
      <c r="W262" s="91">
        <f t="shared" si="116"/>
        <v>4.3509895794009105E-3</v>
      </c>
      <c r="X262" s="91">
        <f t="shared" si="116"/>
        <v>6.5095999999999999E-3</v>
      </c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L262" s="14"/>
      <c r="AM262" s="14"/>
      <c r="AN262" s="14"/>
    </row>
    <row r="263" spans="2:40">
      <c r="B263" s="71" t="s">
        <v>478</v>
      </c>
      <c r="C263" s="91">
        <f t="shared" ref="C263:G263" si="117">IFERROR(C249/C$259,"na")</f>
        <v>6.262377574314539E-3</v>
      </c>
      <c r="D263" s="91">
        <f t="shared" si="117"/>
        <v>6.2114448652127062E-3</v>
      </c>
      <c r="E263" s="91">
        <f t="shared" si="117"/>
        <v>5.8034862349935551E-3</v>
      </c>
      <c r="F263" s="91">
        <f t="shared" si="117"/>
        <v>5.568007593709577E-3</v>
      </c>
      <c r="G263" s="91">
        <f t="shared" si="117"/>
        <v>5.4684867124156775E-3</v>
      </c>
      <c r="H263" s="91">
        <f t="shared" si="116"/>
        <v>5.5141066906475161E-3</v>
      </c>
      <c r="I263" s="91">
        <f t="shared" si="116"/>
        <v>5.1775485591718908E-3</v>
      </c>
      <c r="J263" s="91">
        <f t="shared" si="116"/>
        <v>5.1513731387997762E-3</v>
      </c>
      <c r="K263" s="91">
        <f t="shared" si="116"/>
        <v>4.8561320128915142E-3</v>
      </c>
      <c r="L263" s="91">
        <f t="shared" si="116"/>
        <v>4.9357242257709495E-3</v>
      </c>
      <c r="M263" s="91">
        <f t="shared" si="116"/>
        <v>4.8206679623288354E-3</v>
      </c>
      <c r="N263" s="91">
        <f t="shared" si="116"/>
        <v>4.9024441917056025E-3</v>
      </c>
      <c r="O263" s="91">
        <f t="shared" si="116"/>
        <v>5.5408282488960021E-3</v>
      </c>
      <c r="P263" s="91">
        <f t="shared" si="116"/>
        <v>5.7183200916080682E-3</v>
      </c>
      <c r="Q263" s="91">
        <f t="shared" si="116"/>
        <v>5.7181742216202008E-3</v>
      </c>
      <c r="R263" s="91">
        <f t="shared" si="116"/>
        <v>5.9298931068545151E-3</v>
      </c>
      <c r="S263" s="91">
        <f t="shared" si="116"/>
        <v>6.1009499594334741E-3</v>
      </c>
      <c r="T263" s="91">
        <f t="shared" si="116"/>
        <v>5.8471134978786065E-3</v>
      </c>
      <c r="U263" s="91">
        <f t="shared" si="116"/>
        <v>5.9726004391320872E-3</v>
      </c>
      <c r="V263" s="91">
        <f t="shared" si="116"/>
        <v>5.9086382386142663E-3</v>
      </c>
      <c r="W263" s="91">
        <f t="shared" si="116"/>
        <v>6.0312088401235503E-3</v>
      </c>
      <c r="X263" s="91">
        <f t="shared" si="116"/>
        <v>6.4315199999999996E-3</v>
      </c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L263" s="14"/>
      <c r="AM263" s="14"/>
      <c r="AN263" s="14"/>
    </row>
    <row r="264" spans="2:40">
      <c r="B264" s="71" t="s">
        <v>479</v>
      </c>
      <c r="C264" s="91">
        <f t="shared" ref="C264:G264" si="118">IFERROR(C250/C$259,"na")</f>
        <v>1.2770809298215469E-3</v>
      </c>
      <c r="D264" s="91">
        <f t="shared" si="118"/>
        <v>1.399601142986777E-3</v>
      </c>
      <c r="E264" s="91">
        <f t="shared" si="118"/>
        <v>1.4491999463770214E-3</v>
      </c>
      <c r="F264" s="91">
        <f t="shared" si="118"/>
        <v>1.7186253089331491E-3</v>
      </c>
      <c r="G264" s="91">
        <f t="shared" si="118"/>
        <v>2.0269141964137601E-3</v>
      </c>
      <c r="H264" s="91">
        <f t="shared" si="116"/>
        <v>2.0848483936795484E-3</v>
      </c>
      <c r="I264" s="91">
        <f t="shared" si="116"/>
        <v>1.8450431545074619E-3</v>
      </c>
      <c r="J264" s="91">
        <f t="shared" si="116"/>
        <v>2.0843854362580213E-3</v>
      </c>
      <c r="K264" s="91">
        <f t="shared" si="116"/>
        <v>2.4678307872646756E-3</v>
      </c>
      <c r="L264" s="91">
        <f t="shared" si="116"/>
        <v>2.7858711882846957E-3</v>
      </c>
      <c r="M264" s="91">
        <f t="shared" si="116"/>
        <v>2.8867825722487372E-3</v>
      </c>
      <c r="N264" s="91">
        <f t="shared" si="116"/>
        <v>3.0797173105817804E-3</v>
      </c>
      <c r="O264" s="91">
        <f t="shared" si="116"/>
        <v>3.2830515150334898E-3</v>
      </c>
      <c r="P264" s="91">
        <f t="shared" si="116"/>
        <v>3.8604713932862112E-3</v>
      </c>
      <c r="Q264" s="91">
        <f t="shared" si="116"/>
        <v>4.5661090870059906E-3</v>
      </c>
      <c r="R264" s="91">
        <f t="shared" si="116"/>
        <v>5.0248332036488255E-3</v>
      </c>
      <c r="S264" s="91">
        <f t="shared" si="116"/>
        <v>5.3270642263153149E-3</v>
      </c>
      <c r="T264" s="91">
        <f t="shared" si="116"/>
        <v>5.3767549461736465E-3</v>
      </c>
      <c r="U264" s="91">
        <f t="shared" si="116"/>
        <v>6.451483883125911E-3</v>
      </c>
      <c r="V264" s="91">
        <f t="shared" si="116"/>
        <v>7.0226502604493982E-3</v>
      </c>
      <c r="W264" s="91">
        <f t="shared" si="116"/>
        <v>6.9643181801640371E-3</v>
      </c>
      <c r="X264" s="91">
        <f t="shared" si="116"/>
        <v>6.2258399999999998E-3</v>
      </c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L264" s="14"/>
      <c r="AM264" s="14"/>
      <c r="AN264" s="14"/>
    </row>
    <row r="265" spans="2:40">
      <c r="B265" s="71" t="s">
        <v>480</v>
      </c>
      <c r="C265" s="91">
        <f t="shared" ref="C265:G265" si="119">IFERROR(C251/C$259,"na")</f>
        <v>1.1200569478877734E-3</v>
      </c>
      <c r="D265" s="91">
        <f t="shared" si="119"/>
        <v>1.4210329259220272E-3</v>
      </c>
      <c r="E265" s="91">
        <f t="shared" si="119"/>
        <v>1.5936507164894275E-3</v>
      </c>
      <c r="F265" s="91">
        <f t="shared" si="119"/>
        <v>1.5269696736217953E-3</v>
      </c>
      <c r="G265" s="91">
        <f t="shared" si="119"/>
        <v>1.4394909791347822E-3</v>
      </c>
      <c r="H265" s="91">
        <f t="shared" si="116"/>
        <v>1.559193946371212E-3</v>
      </c>
      <c r="I265" s="91">
        <f t="shared" si="116"/>
        <v>1.5470930516681182E-3</v>
      </c>
      <c r="J265" s="91">
        <f t="shared" si="116"/>
        <v>1.5106697567403343E-3</v>
      </c>
      <c r="K265" s="91">
        <f t="shared" si="116"/>
        <v>1.5097694968205196E-3</v>
      </c>
      <c r="L265" s="91">
        <f t="shared" si="116"/>
        <v>1.6116013937321906E-3</v>
      </c>
      <c r="M265" s="91">
        <f t="shared" si="116"/>
        <v>1.4471992120312313E-3</v>
      </c>
      <c r="N265" s="91">
        <f t="shared" si="116"/>
        <v>1.7054704628539738E-3</v>
      </c>
      <c r="O265" s="91">
        <f t="shared" si="116"/>
        <v>1.824037886034752E-3</v>
      </c>
      <c r="P265" s="91">
        <f t="shared" si="116"/>
        <v>2.1476361633895749E-3</v>
      </c>
      <c r="Q265" s="91">
        <f t="shared" si="116"/>
        <v>2.3861131651868703E-3</v>
      </c>
      <c r="R265" s="91">
        <f t="shared" si="116"/>
        <v>2.5673807592338127E-3</v>
      </c>
      <c r="S265" s="91">
        <f t="shared" si="116"/>
        <v>2.8051244007022548E-3</v>
      </c>
      <c r="T265" s="91">
        <f t="shared" si="116"/>
        <v>2.7415476513857947E-3</v>
      </c>
      <c r="U265" s="91">
        <f t="shared" si="116"/>
        <v>2.6383865765302623E-3</v>
      </c>
      <c r="V265" s="91">
        <f t="shared" si="116"/>
        <v>2.7789653751293807E-3</v>
      </c>
      <c r="W265" s="91">
        <f t="shared" si="116"/>
        <v>2.9656002283357302E-3</v>
      </c>
      <c r="X265" s="91">
        <f t="shared" si="116"/>
        <v>2.8909600000000001E-3</v>
      </c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L265" s="14"/>
      <c r="AM265" s="14"/>
      <c r="AN265" s="14"/>
    </row>
    <row r="266" spans="2:40">
      <c r="B266" s="71" t="s">
        <v>481</v>
      </c>
      <c r="C266" s="91">
        <f t="shared" ref="C266:G266" si="120">IFERROR(C252/C$259,"na")</f>
        <v>5.5057807015390658E-4</v>
      </c>
      <c r="D266" s="91">
        <f t="shared" si="120"/>
        <v>7.1758030173115221E-4</v>
      </c>
      <c r="E266" s="91">
        <f t="shared" si="120"/>
        <v>8.4117880649832802E-4</v>
      </c>
      <c r="F266" s="91">
        <f t="shared" si="120"/>
        <v>9.4784240403011401E-4</v>
      </c>
      <c r="G266" s="91">
        <f t="shared" si="120"/>
        <v>9.5132954793635091E-4</v>
      </c>
      <c r="H266" s="91">
        <f t="shared" si="116"/>
        <v>9.4751306027068708E-4</v>
      </c>
      <c r="I266" s="91">
        <f t="shared" si="116"/>
        <v>9.7038254541190248E-4</v>
      </c>
      <c r="J266" s="91">
        <f t="shared" si="116"/>
        <v>1.0201678615924653E-3</v>
      </c>
      <c r="K266" s="91">
        <f t="shared" si="116"/>
        <v>7.8950111279819696E-4</v>
      </c>
      <c r="L266" s="91">
        <f t="shared" si="116"/>
        <v>7.8983522875903593E-4</v>
      </c>
      <c r="M266" s="91">
        <f t="shared" si="116"/>
        <v>8.2985454483775693E-4</v>
      </c>
      <c r="N266" s="91">
        <f t="shared" si="116"/>
        <v>9.4738233781743091E-4</v>
      </c>
      <c r="O266" s="91">
        <f t="shared" si="116"/>
        <v>1.0681232173682749E-3</v>
      </c>
      <c r="P266" s="91">
        <f t="shared" si="116"/>
        <v>1.2762515620212229E-3</v>
      </c>
      <c r="Q266" s="91">
        <f t="shared" si="116"/>
        <v>1.59317392463136E-3</v>
      </c>
      <c r="R266" s="91">
        <f t="shared" si="116"/>
        <v>1.6986187220281552E-3</v>
      </c>
      <c r="S266" s="91">
        <f t="shared" si="116"/>
        <v>2.6602976353094819E-3</v>
      </c>
      <c r="T266" s="91">
        <f t="shared" si="116"/>
        <v>2.9401748582590552E-3</v>
      </c>
      <c r="U266" s="91">
        <f t="shared" si="116"/>
        <v>3.3137948684121453E-3</v>
      </c>
      <c r="V266" s="91">
        <f t="shared" si="116"/>
        <v>3.7589579230302202E-3</v>
      </c>
      <c r="W266" s="91">
        <f t="shared" si="116"/>
        <v>4.1763608755343105E-3</v>
      </c>
      <c r="X266" s="91">
        <f t="shared" si="116"/>
        <v>4.8861333333333331E-3</v>
      </c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L266" s="14"/>
      <c r="AM266" s="14"/>
      <c r="AN266" s="14"/>
    </row>
    <row r="267" spans="2:40">
      <c r="B267" s="71" t="s">
        <v>482</v>
      </c>
      <c r="C267" s="91">
        <f t="shared" ref="C267:G267" si="121">IFERROR(C253/C$259,"na")</f>
        <v>1.7151383195463808E-3</v>
      </c>
      <c r="D267" s="91">
        <f t="shared" si="121"/>
        <v>1.713077008408539E-3</v>
      </c>
      <c r="E267" s="91">
        <f t="shared" si="121"/>
        <v>1.7236024487701836E-3</v>
      </c>
      <c r="F267" s="91">
        <f t="shared" si="121"/>
        <v>1.810641396757264E-3</v>
      </c>
      <c r="G267" s="91">
        <f t="shared" si="121"/>
        <v>1.5985393438834954E-3</v>
      </c>
      <c r="H267" s="91">
        <f t="shared" si="116"/>
        <v>1.5992220953502006E-3</v>
      </c>
      <c r="I267" s="91">
        <f t="shared" si="116"/>
        <v>1.3900184517909096E-3</v>
      </c>
      <c r="J267" s="91">
        <f t="shared" si="116"/>
        <v>1.5676294422549844E-3</v>
      </c>
      <c r="K267" s="91">
        <f t="shared" si="116"/>
        <v>1.7418036324342604E-3</v>
      </c>
      <c r="L267" s="91">
        <f t="shared" si="116"/>
        <v>1.8835816871885676E-3</v>
      </c>
      <c r="M267" s="91">
        <f t="shared" si="116"/>
        <v>2.1355659941594335E-3</v>
      </c>
      <c r="N267" s="91">
        <f t="shared" si="116"/>
        <v>2.446142334111237E-3</v>
      </c>
      <c r="O267" s="91">
        <f t="shared" si="116"/>
        <v>2.6097731161760862E-3</v>
      </c>
      <c r="P267" s="91">
        <f t="shared" si="116"/>
        <v>2.7288075720764832E-3</v>
      </c>
      <c r="Q267" s="91">
        <f t="shared" si="116"/>
        <v>2.9923617265379867E-3</v>
      </c>
      <c r="R267" s="91">
        <f t="shared" si="116"/>
        <v>3.0382872815367889E-3</v>
      </c>
      <c r="S267" s="91">
        <f t="shared" si="116"/>
        <v>3.1438319420068056E-3</v>
      </c>
      <c r="T267" s="91">
        <f t="shared" si="116"/>
        <v>3.0872120967608651E-3</v>
      </c>
      <c r="U267" s="91">
        <f t="shared" si="116"/>
        <v>3.1499327588874657E-3</v>
      </c>
      <c r="V267" s="91">
        <f t="shared" si="116"/>
        <v>3.4699162942501936E-3</v>
      </c>
      <c r="W267" s="91">
        <f t="shared" si="116"/>
        <v>3.9735994531666088E-3</v>
      </c>
      <c r="X267" s="91">
        <f t="shared" si="116"/>
        <v>4.2406666666666669E-3</v>
      </c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L267" s="14"/>
      <c r="AM267" s="14"/>
      <c r="AN267" s="14"/>
    </row>
    <row r="268" spans="2:40">
      <c r="B268" s="71" t="s">
        <v>483</v>
      </c>
      <c r="C268" s="91" t="str">
        <f t="shared" ref="C268:G268" si="122">IFERROR(C254/C$259,"na")</f>
        <v>na</v>
      </c>
      <c r="D268" s="91" t="str">
        <f t="shared" si="122"/>
        <v>na</v>
      </c>
      <c r="E268" s="91" t="str">
        <f t="shared" si="122"/>
        <v>na</v>
      </c>
      <c r="F268" s="91" t="str">
        <f t="shared" si="122"/>
        <v>na</v>
      </c>
      <c r="G268" s="91" t="str">
        <f t="shared" si="122"/>
        <v>na</v>
      </c>
      <c r="H268" s="91" t="str">
        <f t="shared" si="116"/>
        <v>na</v>
      </c>
      <c r="I268" s="91" t="str">
        <f t="shared" si="116"/>
        <v>na</v>
      </c>
      <c r="J268" s="91" t="str">
        <f t="shared" si="116"/>
        <v>na</v>
      </c>
      <c r="K268" s="91" t="str">
        <f t="shared" si="116"/>
        <v>na</v>
      </c>
      <c r="L268" s="91" t="str">
        <f t="shared" si="116"/>
        <v>na</v>
      </c>
      <c r="M268" s="91" t="str">
        <f t="shared" si="116"/>
        <v>na</v>
      </c>
      <c r="N268" s="91" t="str">
        <f t="shared" si="116"/>
        <v>na</v>
      </c>
      <c r="O268" s="91" t="str">
        <f t="shared" si="116"/>
        <v>na</v>
      </c>
      <c r="P268" s="91" t="str">
        <f t="shared" si="116"/>
        <v>na</v>
      </c>
      <c r="Q268" s="91" t="str">
        <f t="shared" si="116"/>
        <v>na</v>
      </c>
      <c r="R268" s="91" t="str">
        <f t="shared" si="116"/>
        <v>na</v>
      </c>
      <c r="S268" s="91" t="str">
        <f t="shared" si="116"/>
        <v>na</v>
      </c>
      <c r="T268" s="91" t="str">
        <f t="shared" si="116"/>
        <v>na</v>
      </c>
      <c r="U268" s="91" t="str">
        <f t="shared" si="116"/>
        <v>na</v>
      </c>
      <c r="V268" s="91" t="str">
        <f t="shared" si="116"/>
        <v>na</v>
      </c>
      <c r="W268" s="91">
        <f t="shared" si="116"/>
        <v>2.024918579918204E-4</v>
      </c>
      <c r="X268" s="91">
        <f t="shared" si="116"/>
        <v>2.5325333333333332E-4</v>
      </c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</row>
    <row r="269" spans="2:40">
      <c r="B269" s="71" t="s">
        <v>484</v>
      </c>
      <c r="C269" s="91" t="str">
        <f t="shared" ref="C269:G269" si="123">IFERROR(C255/C$259,"na")</f>
        <v>na</v>
      </c>
      <c r="D269" s="91" t="str">
        <f t="shared" si="123"/>
        <v>na</v>
      </c>
      <c r="E269" s="91" t="str">
        <f t="shared" si="123"/>
        <v>na</v>
      </c>
      <c r="F269" s="91" t="str">
        <f t="shared" si="123"/>
        <v>na</v>
      </c>
      <c r="G269" s="91" t="str">
        <f t="shared" si="123"/>
        <v>na</v>
      </c>
      <c r="H269" s="91" t="str">
        <f t="shared" si="116"/>
        <v>na</v>
      </c>
      <c r="I269" s="91" t="str">
        <f t="shared" si="116"/>
        <v>na</v>
      </c>
      <c r="J269" s="91" t="str">
        <f t="shared" si="116"/>
        <v>na</v>
      </c>
      <c r="K269" s="91" t="str">
        <f t="shared" si="116"/>
        <v>na</v>
      </c>
      <c r="L269" s="91" t="str">
        <f t="shared" si="116"/>
        <v>na</v>
      </c>
      <c r="M269" s="91" t="str">
        <f t="shared" si="116"/>
        <v>na</v>
      </c>
      <c r="N269" s="91" t="str">
        <f t="shared" si="116"/>
        <v>na</v>
      </c>
      <c r="O269" s="91" t="str">
        <f t="shared" si="116"/>
        <v>na</v>
      </c>
      <c r="P269" s="91" t="str">
        <f t="shared" si="116"/>
        <v>na</v>
      </c>
      <c r="Q269" s="91" t="str">
        <f t="shared" si="116"/>
        <v>na</v>
      </c>
      <c r="R269" s="91" t="str">
        <f t="shared" si="116"/>
        <v>na</v>
      </c>
      <c r="S269" s="91" t="str">
        <f t="shared" si="116"/>
        <v>na</v>
      </c>
      <c r="T269" s="91" t="str">
        <f t="shared" si="116"/>
        <v>na</v>
      </c>
      <c r="U269" s="91" t="str">
        <f t="shared" si="116"/>
        <v>na</v>
      </c>
      <c r="V269" s="91">
        <f t="shared" si="116"/>
        <v>2.4870156828385405E-4</v>
      </c>
      <c r="W269" s="91">
        <f t="shared" si="116"/>
        <v>4.6426337282524959E-4</v>
      </c>
      <c r="X269" s="91">
        <f t="shared" si="116"/>
        <v>9.1967999999999998E-4</v>
      </c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</row>
    <row r="270" spans="2:40">
      <c r="B270" s="71" t="s">
        <v>485</v>
      </c>
      <c r="C270" s="91">
        <f t="shared" ref="C270:G270" si="124">IFERROR(C256/C$259,"na")</f>
        <v>0.53947007211125575</v>
      </c>
      <c r="D270" s="91">
        <f t="shared" si="124"/>
        <v>0.53847091797610958</v>
      </c>
      <c r="E270" s="91">
        <f t="shared" si="124"/>
        <v>0.53786581495463892</v>
      </c>
      <c r="F270" s="91">
        <f t="shared" si="124"/>
        <v>0.53713558974526954</v>
      </c>
      <c r="G270" s="91">
        <f t="shared" si="124"/>
        <v>0.53649803866754053</v>
      </c>
      <c r="H270" s="91">
        <f t="shared" si="116"/>
        <v>0.53547055952759859</v>
      </c>
      <c r="I270" s="91">
        <f t="shared" si="116"/>
        <v>0.53562821744515365</v>
      </c>
      <c r="J270" s="91">
        <f t="shared" si="116"/>
        <v>0.53387410805578839</v>
      </c>
      <c r="K270" s="91">
        <f t="shared" si="116"/>
        <v>0.5326529013165241</v>
      </c>
      <c r="L270" s="91">
        <f t="shared" si="116"/>
        <v>0.53166249804928656</v>
      </c>
      <c r="M270" s="91">
        <f t="shared" si="116"/>
        <v>0.53094365167255153</v>
      </c>
      <c r="N270" s="91">
        <f t="shared" si="116"/>
        <v>0.52931151171263524</v>
      </c>
      <c r="O270" s="91">
        <f t="shared" si="116"/>
        <v>0.52774737674718852</v>
      </c>
      <c r="P270" s="91">
        <f t="shared" si="116"/>
        <v>0.52547536620344426</v>
      </c>
      <c r="Q270" s="91">
        <f t="shared" si="116"/>
        <v>0.53205913133643523</v>
      </c>
      <c r="R270" s="91">
        <f t="shared" si="116"/>
        <v>0.50395595374996227</v>
      </c>
      <c r="S270" s="91">
        <f t="shared" si="116"/>
        <v>0.51314723176743626</v>
      </c>
      <c r="T270" s="91">
        <f t="shared" si="116"/>
        <v>0.53713126643256404</v>
      </c>
      <c r="U270" s="91">
        <f t="shared" si="116"/>
        <v>0.50894084623760216</v>
      </c>
      <c r="V270" s="91">
        <f t="shared" si="116"/>
        <v>0.47966700871387796</v>
      </c>
      <c r="W270" s="91">
        <f t="shared" si="116"/>
        <v>0.51410121882552318</v>
      </c>
      <c r="X270" s="91">
        <f t="shared" si="116"/>
        <v>0.50759269333333334</v>
      </c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</row>
    <row r="271" spans="2:40">
      <c r="B271" s="321" t="s">
        <v>486</v>
      </c>
      <c r="C271" s="292">
        <f t="shared" ref="C271:G271" si="125">+C257/C$259</f>
        <v>0.55312602881122386</v>
      </c>
      <c r="D271" s="292">
        <f t="shared" si="125"/>
        <v>0.55312602881122375</v>
      </c>
      <c r="E271" s="292">
        <f t="shared" si="125"/>
        <v>0.55312602881122397</v>
      </c>
      <c r="F271" s="292">
        <f t="shared" si="125"/>
        <v>0.55312602881122375</v>
      </c>
      <c r="G271" s="292">
        <f t="shared" si="125"/>
        <v>0.55312602881122386</v>
      </c>
      <c r="H271" s="292">
        <f t="shared" ref="H271:AI273" si="126">+H257/H$259</f>
        <v>0.55312602881122386</v>
      </c>
      <c r="I271" s="292">
        <f t="shared" si="126"/>
        <v>0.55312602881122386</v>
      </c>
      <c r="J271" s="292">
        <f t="shared" si="126"/>
        <v>0.55312602881122386</v>
      </c>
      <c r="K271" s="292">
        <f t="shared" si="126"/>
        <v>0.55312602881122386</v>
      </c>
      <c r="L271" s="292">
        <f t="shared" si="126"/>
        <v>0.55312602881122386</v>
      </c>
      <c r="M271" s="292">
        <f t="shared" si="126"/>
        <v>0.55312602881122386</v>
      </c>
      <c r="N271" s="292">
        <f t="shared" si="126"/>
        <v>0.55312602881122397</v>
      </c>
      <c r="O271" s="292">
        <f t="shared" si="126"/>
        <v>0.55312602881122375</v>
      </c>
      <c r="P271" s="292">
        <f t="shared" si="126"/>
        <v>0.55312602881122375</v>
      </c>
      <c r="Q271" s="292">
        <f t="shared" si="126"/>
        <v>0.5641025641025641</v>
      </c>
      <c r="R271" s="292">
        <f t="shared" si="126"/>
        <v>0.53846153846153844</v>
      </c>
      <c r="S271" s="292">
        <f t="shared" si="126"/>
        <v>0.55000000000000004</v>
      </c>
      <c r="T271" s="292">
        <f t="shared" si="126"/>
        <v>0.57499999999999984</v>
      </c>
      <c r="U271" s="292">
        <f t="shared" si="126"/>
        <v>0.55000000000000016</v>
      </c>
      <c r="V271" s="292">
        <f t="shared" si="126"/>
        <v>0.52380952380952384</v>
      </c>
      <c r="W271" s="292">
        <f t="shared" si="126"/>
        <v>0.56363460411616473</v>
      </c>
      <c r="X271" s="292">
        <f t="shared" si="126"/>
        <v>0.56000000000000005</v>
      </c>
      <c r="Y271" s="292">
        <f t="shared" si="126"/>
        <v>0.56000000000000005</v>
      </c>
      <c r="Z271" s="292">
        <f t="shared" si="126"/>
        <v>0.56000000000000005</v>
      </c>
      <c r="AA271" s="292">
        <f t="shared" si="126"/>
        <v>0.56000000000000016</v>
      </c>
      <c r="AB271" s="292">
        <f t="shared" si="126"/>
        <v>0.56000000000000005</v>
      </c>
      <c r="AC271" s="292">
        <f t="shared" si="126"/>
        <v>0.56000000000000005</v>
      </c>
      <c r="AD271" s="292">
        <f t="shared" si="126"/>
        <v>0.56000000000000005</v>
      </c>
      <c r="AE271" s="292">
        <f t="shared" si="126"/>
        <v>0.56000000000000005</v>
      </c>
      <c r="AF271" s="292">
        <f t="shared" si="126"/>
        <v>0.56000000000000005</v>
      </c>
      <c r="AG271" s="292">
        <f t="shared" si="126"/>
        <v>0.56000000000000005</v>
      </c>
      <c r="AH271" s="292">
        <f t="shared" si="126"/>
        <v>0.56000000000000005</v>
      </c>
      <c r="AI271" s="292">
        <f t="shared" si="126"/>
        <v>0.56000000000000005</v>
      </c>
    </row>
    <row r="272" spans="2:40">
      <c r="B272" s="164" t="s">
        <v>487</v>
      </c>
      <c r="C272" s="14">
        <f t="shared" ref="C272:G272" si="127">+C258/C$259</f>
        <v>0.4468739711887762</v>
      </c>
      <c r="D272" s="14">
        <f t="shared" si="127"/>
        <v>0.44687397118877625</v>
      </c>
      <c r="E272" s="14">
        <f t="shared" si="127"/>
        <v>0.44687397118877609</v>
      </c>
      <c r="F272" s="14">
        <f t="shared" si="127"/>
        <v>0.4468739711887762</v>
      </c>
      <c r="G272" s="14">
        <f t="shared" si="127"/>
        <v>0.4468739711887762</v>
      </c>
      <c r="H272" s="14">
        <f t="shared" si="126"/>
        <v>0.44687397118877609</v>
      </c>
      <c r="I272" s="14">
        <f t="shared" si="126"/>
        <v>0.44687397118877609</v>
      </c>
      <c r="J272" s="14">
        <f t="shared" si="126"/>
        <v>0.44687397118877614</v>
      </c>
      <c r="K272" s="14">
        <f t="shared" si="126"/>
        <v>0.44687397118877614</v>
      </c>
      <c r="L272" s="14">
        <f t="shared" si="126"/>
        <v>0.44687397118877614</v>
      </c>
      <c r="M272" s="14">
        <f t="shared" si="126"/>
        <v>0.44687397118877614</v>
      </c>
      <c r="N272" s="14">
        <f t="shared" si="126"/>
        <v>0.44687397118877609</v>
      </c>
      <c r="O272" s="14">
        <f t="shared" si="126"/>
        <v>0.44687397118877625</v>
      </c>
      <c r="P272" s="14">
        <f t="shared" si="126"/>
        <v>0.4468739711887762</v>
      </c>
      <c r="Q272" s="14">
        <f t="shared" si="126"/>
        <v>0.4358974358974359</v>
      </c>
      <c r="R272" s="14">
        <f t="shared" si="126"/>
        <v>0.46153846153846162</v>
      </c>
      <c r="S272" s="14">
        <f t="shared" si="126"/>
        <v>0.44999999999999996</v>
      </c>
      <c r="T272" s="14">
        <f t="shared" si="126"/>
        <v>0.4250000000000001</v>
      </c>
      <c r="U272" s="14">
        <f t="shared" si="126"/>
        <v>0.44999999999999984</v>
      </c>
      <c r="V272" s="14">
        <f t="shared" si="126"/>
        <v>0.47619047619047616</v>
      </c>
      <c r="W272" s="14">
        <f t="shared" si="126"/>
        <v>0.43636539588383527</v>
      </c>
      <c r="X272" s="14">
        <f t="shared" si="126"/>
        <v>0.43999999999999989</v>
      </c>
      <c r="Y272" s="14">
        <f t="shared" si="126"/>
        <v>0.44</v>
      </c>
      <c r="Z272" s="14">
        <f t="shared" si="126"/>
        <v>0.43999999999999995</v>
      </c>
      <c r="AA272" s="14">
        <f t="shared" si="126"/>
        <v>0.43999999999999984</v>
      </c>
      <c r="AB272" s="14">
        <f t="shared" si="126"/>
        <v>0.43999999999999989</v>
      </c>
      <c r="AC272" s="14">
        <f t="shared" si="126"/>
        <v>0.44</v>
      </c>
      <c r="AD272" s="14">
        <f t="shared" si="126"/>
        <v>0.43999999999999995</v>
      </c>
      <c r="AE272" s="14">
        <f t="shared" si="126"/>
        <v>0.43999999999999995</v>
      </c>
      <c r="AF272" s="14">
        <f t="shared" si="126"/>
        <v>0.43999999999999995</v>
      </c>
      <c r="AG272" s="14">
        <f t="shared" si="126"/>
        <v>0.43999999999999995</v>
      </c>
      <c r="AH272" s="14">
        <f t="shared" si="126"/>
        <v>0.43999999999999995</v>
      </c>
      <c r="AI272" s="14">
        <f t="shared" si="126"/>
        <v>0.43999999999999989</v>
      </c>
    </row>
    <row r="273" spans="2:35">
      <c r="B273" s="321" t="s">
        <v>488</v>
      </c>
      <c r="C273" s="292">
        <f t="shared" ref="C273:G273" si="128">+C259/C$259</f>
        <v>1</v>
      </c>
      <c r="D273" s="292">
        <f t="shared" si="128"/>
        <v>1</v>
      </c>
      <c r="E273" s="292">
        <f t="shared" si="128"/>
        <v>1</v>
      </c>
      <c r="F273" s="292">
        <f t="shared" si="128"/>
        <v>1</v>
      </c>
      <c r="G273" s="292">
        <f t="shared" si="128"/>
        <v>1</v>
      </c>
      <c r="H273" s="292">
        <f t="shared" si="126"/>
        <v>1</v>
      </c>
      <c r="I273" s="292">
        <f t="shared" si="126"/>
        <v>1</v>
      </c>
      <c r="J273" s="292">
        <f t="shared" si="126"/>
        <v>1</v>
      </c>
      <c r="K273" s="292">
        <f t="shared" si="126"/>
        <v>1</v>
      </c>
      <c r="L273" s="292">
        <f t="shared" si="126"/>
        <v>1</v>
      </c>
      <c r="M273" s="292">
        <f t="shared" si="126"/>
        <v>1</v>
      </c>
      <c r="N273" s="292">
        <f t="shared" si="126"/>
        <v>1</v>
      </c>
      <c r="O273" s="292">
        <f t="shared" si="126"/>
        <v>1</v>
      </c>
      <c r="P273" s="292">
        <f t="shared" si="126"/>
        <v>1</v>
      </c>
      <c r="Q273" s="292">
        <f t="shared" si="126"/>
        <v>1</v>
      </c>
      <c r="R273" s="292">
        <f t="shared" si="126"/>
        <v>1</v>
      </c>
      <c r="S273" s="292">
        <f t="shared" si="126"/>
        <v>1</v>
      </c>
      <c r="T273" s="292">
        <f t="shared" si="126"/>
        <v>1</v>
      </c>
      <c r="U273" s="292">
        <f t="shared" si="126"/>
        <v>1</v>
      </c>
      <c r="V273" s="292">
        <f t="shared" si="126"/>
        <v>1</v>
      </c>
      <c r="W273" s="292">
        <f t="shared" si="126"/>
        <v>1</v>
      </c>
      <c r="X273" s="292">
        <f t="shared" si="126"/>
        <v>1</v>
      </c>
      <c r="Y273" s="292">
        <f t="shared" si="126"/>
        <v>1</v>
      </c>
      <c r="Z273" s="292">
        <f t="shared" si="126"/>
        <v>1</v>
      </c>
      <c r="AA273" s="292">
        <f t="shared" si="126"/>
        <v>1</v>
      </c>
      <c r="AB273" s="292">
        <f t="shared" si="126"/>
        <v>1</v>
      </c>
      <c r="AC273" s="292">
        <f t="shared" si="126"/>
        <v>1</v>
      </c>
      <c r="AD273" s="292">
        <f t="shared" si="126"/>
        <v>1</v>
      </c>
      <c r="AE273" s="292">
        <f t="shared" si="126"/>
        <v>1</v>
      </c>
      <c r="AF273" s="292">
        <f t="shared" si="126"/>
        <v>1</v>
      </c>
      <c r="AG273" s="292">
        <f t="shared" si="126"/>
        <v>1</v>
      </c>
      <c r="AH273" s="292">
        <f t="shared" si="126"/>
        <v>1</v>
      </c>
      <c r="AI273" s="292">
        <f t="shared" si="126"/>
        <v>1</v>
      </c>
    </row>
    <row r="275" spans="2:35">
      <c r="B275" s="120" t="s">
        <v>617</v>
      </c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  <c r="AA275" s="119"/>
      <c r="AB275" s="119"/>
      <c r="AC275" s="119"/>
      <c r="AD275" s="119"/>
      <c r="AE275" s="119"/>
      <c r="AF275" s="119"/>
      <c r="AG275" s="119"/>
      <c r="AH275" s="119"/>
      <c r="AI275" s="119"/>
    </row>
    <row r="277" spans="2:35">
      <c r="B277" s="262" t="s">
        <v>489</v>
      </c>
    </row>
    <row r="278" spans="2:35">
      <c r="B278" s="71" t="s">
        <v>476</v>
      </c>
      <c r="H278" s="7">
        <f>+Model!L81</f>
        <v>15663</v>
      </c>
      <c r="I278" s="7">
        <f>+Model!M81</f>
        <v>16298</v>
      </c>
      <c r="J278" s="7">
        <f>+Model!N81</f>
        <v>17249</v>
      </c>
      <c r="K278" s="7">
        <f>+Model!O81</f>
        <v>17298</v>
      </c>
      <c r="L278" s="7">
        <f>+Model!P81</f>
        <v>16291</v>
      </c>
      <c r="M278" s="7">
        <f>+Model!Q81</f>
        <v>17152</v>
      </c>
      <c r="N278" s="7">
        <f>+Model!R81</f>
        <v>18019</v>
      </c>
      <c r="O278" s="7">
        <f>+Model!S81</f>
        <v>18995</v>
      </c>
      <c r="P278" s="7">
        <f>+Model!T81</f>
        <v>19351</v>
      </c>
      <c r="Q278" s="7">
        <f>+Model!U81</f>
        <v>19408</v>
      </c>
      <c r="R278" s="7">
        <f>+Model!V81</f>
        <v>19897</v>
      </c>
      <c r="S278" s="7">
        <f>+Model!W81</f>
        <v>19917</v>
      </c>
      <c r="T278" s="7">
        <f>+Model!X81</f>
        <v>19586</v>
      </c>
      <c r="U278" s="7">
        <f>+Model!Y81</f>
        <v>19757</v>
      </c>
      <c r="V278" s="7">
        <f>+Model!Z81</f>
        <v>20077</v>
      </c>
      <c r="W278" s="7">
        <f>+Model!AA81</f>
        <v>20418</v>
      </c>
      <c r="X278" s="7">
        <f>+Model!AB81</f>
        <v>20690</v>
      </c>
    </row>
    <row r="279" spans="2:35">
      <c r="B279" s="71" t="s">
        <v>477</v>
      </c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>
        <v>19159</v>
      </c>
      <c r="T279" s="81">
        <v>18229</v>
      </c>
      <c r="U279" s="81">
        <v>18009</v>
      </c>
      <c r="V279" s="81">
        <v>18968</v>
      </c>
      <c r="W279" s="81">
        <v>19266</v>
      </c>
      <c r="X279" s="81">
        <v>19420</v>
      </c>
    </row>
    <row r="280" spans="2:35">
      <c r="B280" s="71" t="s">
        <v>478</v>
      </c>
      <c r="H280" s="81">
        <v>14755</v>
      </c>
      <c r="I280" s="81">
        <v>15262</v>
      </c>
      <c r="J280" s="81">
        <v>16129</v>
      </c>
      <c r="K280" s="81">
        <v>16433</v>
      </c>
      <c r="L280" s="81">
        <v>15705</v>
      </c>
      <c r="M280" s="81">
        <v>16303</v>
      </c>
      <c r="N280" s="81">
        <v>17266</v>
      </c>
      <c r="O280" s="81">
        <v>17812</v>
      </c>
      <c r="P280" s="81">
        <v>17850</v>
      </c>
      <c r="Q280" s="81">
        <v>18076</v>
      </c>
      <c r="R280" s="81">
        <v>18561</v>
      </c>
      <c r="S280" s="81">
        <v>19228</v>
      </c>
      <c r="T280" s="81">
        <v>19856</v>
      </c>
      <c r="U280" s="81">
        <v>19548</v>
      </c>
      <c r="V280" s="81">
        <v>20224</v>
      </c>
      <c r="W280" s="81">
        <v>20967</v>
      </c>
      <c r="X280" s="81">
        <v>21811</v>
      </c>
    </row>
    <row r="281" spans="2:35">
      <c r="B281" s="71" t="s">
        <v>479</v>
      </c>
      <c r="H281" s="81">
        <v>26072</v>
      </c>
      <c r="I281" s="81">
        <v>26882</v>
      </c>
      <c r="J281" s="81">
        <v>28813</v>
      </c>
      <c r="K281" s="81">
        <v>30928</v>
      </c>
      <c r="L281" s="81">
        <v>27913</v>
      </c>
      <c r="M281" s="81">
        <v>25410</v>
      </c>
      <c r="N281" s="81">
        <v>26429</v>
      </c>
      <c r="O281" s="81">
        <v>26651</v>
      </c>
      <c r="P281" s="81">
        <v>25693</v>
      </c>
      <c r="Q281" s="81">
        <v>25652</v>
      </c>
      <c r="R281" s="81">
        <v>27297</v>
      </c>
      <c r="S281" s="81">
        <v>27338</v>
      </c>
      <c r="T281" s="81">
        <v>27287</v>
      </c>
      <c r="U281" s="81">
        <v>25252</v>
      </c>
      <c r="V281" s="81">
        <v>25667</v>
      </c>
      <c r="W281" s="81">
        <v>25480</v>
      </c>
      <c r="X281" s="81">
        <v>27476</v>
      </c>
    </row>
    <row r="282" spans="2:35">
      <c r="B282" s="71" t="s">
        <v>480</v>
      </c>
      <c r="H282" s="81">
        <f>987542/H251</f>
        <v>14886.969368065606</v>
      </c>
      <c r="I282" s="81">
        <f>1037638/I251</f>
        <v>15195.471985472865</v>
      </c>
      <c r="J282" s="81">
        <f>1021194/J251</f>
        <v>15881.098209586939</v>
      </c>
      <c r="K282" s="81">
        <f>1113970/K251</f>
        <v>17814.262284176159</v>
      </c>
      <c r="L282" s="81">
        <f>1068824/L251</f>
        <v>18154.90946953966</v>
      </c>
      <c r="M282" s="81">
        <f>962757/M251</f>
        <v>18743.936616653995</v>
      </c>
      <c r="N282" s="81">
        <f>1261856/N251</f>
        <v>20045.074081395127</v>
      </c>
      <c r="O282" s="81">
        <f>1409253/O251</f>
        <v>20925.874229712674</v>
      </c>
      <c r="P282" s="81">
        <f>1562637/P251</f>
        <v>19360.172956364448</v>
      </c>
      <c r="Q282" s="81">
        <f>1662671/Q251</f>
        <v>19477.197914836292</v>
      </c>
      <c r="R282" s="81">
        <f>1864698/R251</f>
        <v>20040.495881091712</v>
      </c>
      <c r="S282" s="81">
        <f>2155468/S251</f>
        <v>20625.599854551718</v>
      </c>
      <c r="T282" s="81">
        <f>2217717/T251</f>
        <v>20955.367309046072</v>
      </c>
      <c r="U282" s="81">
        <f>2141315/U251</f>
        <v>20702.135167666493</v>
      </c>
      <c r="V282" s="81">
        <f>2255446/V251</f>
        <v>20172.852977478848</v>
      </c>
      <c r="W282" s="81">
        <v>21234</v>
      </c>
      <c r="X282" s="81">
        <v>22165</v>
      </c>
    </row>
    <row r="283" spans="2:35">
      <c r="B283" s="71" t="s">
        <v>481</v>
      </c>
      <c r="H283" s="81">
        <v>15023</v>
      </c>
      <c r="I283" s="81">
        <v>15553</v>
      </c>
      <c r="J283" s="81">
        <v>16298</v>
      </c>
      <c r="K283" s="81">
        <v>16896</v>
      </c>
      <c r="L283" s="81">
        <v>16571</v>
      </c>
      <c r="M283" s="81">
        <v>16204</v>
      </c>
      <c r="N283" s="81">
        <v>16790</v>
      </c>
      <c r="O283" s="81">
        <v>17207</v>
      </c>
      <c r="P283" s="81">
        <v>17377</v>
      </c>
      <c r="Q283" s="81">
        <v>18090</v>
      </c>
      <c r="R283" s="81">
        <v>19009</v>
      </c>
      <c r="S283" s="81">
        <v>19443</v>
      </c>
      <c r="T283" s="81">
        <v>19677</v>
      </c>
      <c r="U283" s="81">
        <v>19642</v>
      </c>
      <c r="V283" s="81">
        <v>20480</v>
      </c>
      <c r="W283" s="81">
        <v>20745</v>
      </c>
      <c r="X283" s="81">
        <v>21774</v>
      </c>
    </row>
    <row r="284" spans="2:35">
      <c r="B284" s="71" t="s">
        <v>482</v>
      </c>
      <c r="H284" s="81">
        <v>17640</v>
      </c>
      <c r="I284" s="81">
        <v>18514</v>
      </c>
      <c r="J284" s="81">
        <v>19211</v>
      </c>
      <c r="K284" s="81">
        <v>20100</v>
      </c>
      <c r="L284" s="81">
        <v>19890</v>
      </c>
      <c r="M284" s="81">
        <v>19155</v>
      </c>
      <c r="N284" s="81">
        <v>19676</v>
      </c>
      <c r="O284" s="81">
        <v>20039</v>
      </c>
      <c r="P284" s="81">
        <v>20023</v>
      </c>
      <c r="Q284" s="81">
        <v>20327</v>
      </c>
      <c r="R284" s="81">
        <v>20981</v>
      </c>
      <c r="S284" s="81">
        <v>21448</v>
      </c>
      <c r="T284" s="81">
        <v>21256</v>
      </c>
      <c r="U284" s="81">
        <v>21233</v>
      </c>
      <c r="V284" s="81">
        <v>21299</v>
      </c>
      <c r="W284" s="81">
        <v>21523</v>
      </c>
      <c r="X284" s="81">
        <v>22417</v>
      </c>
    </row>
    <row r="285" spans="2:35">
      <c r="B285" s="71"/>
    </row>
    <row r="286" spans="2:35">
      <c r="B286" s="262" t="s">
        <v>490</v>
      </c>
      <c r="N286" s="1"/>
      <c r="O286" s="1"/>
      <c r="P286" s="1"/>
      <c r="Q286" s="1"/>
      <c r="R286" s="1"/>
      <c r="S286" s="1"/>
      <c r="T286" s="1"/>
      <c r="U286" s="1"/>
      <c r="V286" s="7"/>
      <c r="W286" s="7"/>
      <c r="X286" s="1"/>
    </row>
    <row r="287" spans="2:35">
      <c r="B287" s="71" t="s">
        <v>476</v>
      </c>
      <c r="E287" s="7"/>
      <c r="H287" s="7">
        <f>+Model!L90</f>
        <v>1817</v>
      </c>
      <c r="I287" s="7">
        <f>+Model!M90</f>
        <v>1808</v>
      </c>
      <c r="J287" s="7">
        <f>+Model!N90</f>
        <v>1903</v>
      </c>
      <c r="K287" s="7">
        <f>+Model!O90</f>
        <v>1878.3598943919583</v>
      </c>
      <c r="L287" s="7">
        <f>+Model!P90</f>
        <v>1865.3119708219356</v>
      </c>
      <c r="M287" s="7">
        <f>+Model!Q90</f>
        <v>2071.800385854971</v>
      </c>
      <c r="N287" s="7">
        <f>+Model!R90</f>
        <v>2155.5804039062955</v>
      </c>
      <c r="O287" s="7">
        <f>+Model!S90</f>
        <v>2177.5142128994316</v>
      </c>
      <c r="P287" s="7">
        <f>+Model!T90</f>
        <v>2169.8441911160348</v>
      </c>
      <c r="Q287" s="7">
        <f>+Model!U90</f>
        <v>2170.8807068884048</v>
      </c>
      <c r="R287" s="7">
        <f>+Model!V90</f>
        <v>2178.4977038617026</v>
      </c>
      <c r="S287" s="7">
        <f>+Model!W90</f>
        <v>2159.255148918598</v>
      </c>
      <c r="T287" s="7">
        <f>+Model!X90</f>
        <v>2162.5398111706645</v>
      </c>
      <c r="U287" s="7">
        <f>+Model!Y90</f>
        <v>2172.6596369845547</v>
      </c>
      <c r="V287" s="7">
        <f>+Model!Z90</f>
        <v>2174.6125632709845</v>
      </c>
      <c r="W287" s="7">
        <f>+Model!AA90</f>
        <v>2185.9387009992311</v>
      </c>
      <c r="X287" s="7">
        <f>+Model!AB90</f>
        <v>2113.2867467700194</v>
      </c>
    </row>
    <row r="288" spans="2:35">
      <c r="B288" s="71" t="s">
        <v>477</v>
      </c>
      <c r="E288" s="7"/>
      <c r="H288" s="189" t="s">
        <v>41</v>
      </c>
      <c r="I288" s="189" t="s">
        <v>41</v>
      </c>
      <c r="J288" s="189" t="s">
        <v>41</v>
      </c>
      <c r="K288" s="189" t="s">
        <v>41</v>
      </c>
      <c r="L288" s="189" t="s">
        <v>41</v>
      </c>
      <c r="M288" s="189" t="s">
        <v>41</v>
      </c>
      <c r="N288" s="189" t="s">
        <v>41</v>
      </c>
      <c r="O288" s="189" t="s">
        <v>41</v>
      </c>
      <c r="P288" s="189" t="s">
        <v>41</v>
      </c>
      <c r="Q288" s="189" t="s">
        <v>41</v>
      </c>
      <c r="R288" s="189" t="s">
        <v>41</v>
      </c>
      <c r="S288" s="81">
        <v>-3.3000000000000002E-2</v>
      </c>
      <c r="T288" s="81">
        <v>317</v>
      </c>
      <c r="U288" s="81">
        <v>741</v>
      </c>
      <c r="V288" s="81">
        <v>1002</v>
      </c>
      <c r="W288" s="81">
        <v>1340</v>
      </c>
      <c r="X288" s="81">
        <v>1472</v>
      </c>
    </row>
    <row r="289" spans="2:27">
      <c r="B289" s="71" t="s">
        <v>478</v>
      </c>
      <c r="E289" s="7"/>
      <c r="H289" s="81">
        <v>1689</v>
      </c>
      <c r="I289" s="81">
        <v>1820</v>
      </c>
      <c r="J289" s="81">
        <v>1829</v>
      </c>
      <c r="K289" s="81">
        <v>1745</v>
      </c>
      <c r="L289" s="81">
        <v>1606</v>
      </c>
      <c r="M289" s="81">
        <v>1670</v>
      </c>
      <c r="N289" s="81">
        <v>1612</v>
      </c>
      <c r="O289" s="81">
        <v>1640</v>
      </c>
      <c r="P289" s="81">
        <v>1623</v>
      </c>
      <c r="Q289" s="81">
        <v>1590</v>
      </c>
      <c r="R289" s="81">
        <v>1690</v>
      </c>
      <c r="S289" s="81">
        <v>1577</v>
      </c>
      <c r="T289" s="81">
        <v>1484</v>
      </c>
      <c r="U289" s="81">
        <v>1315</v>
      </c>
      <c r="V289" s="81">
        <v>1378</v>
      </c>
      <c r="W289" s="81">
        <v>1409</v>
      </c>
      <c r="X289" s="81">
        <v>1719</v>
      </c>
      <c r="Y289" s="7"/>
      <c r="AA289" s="81"/>
    </row>
    <row r="290" spans="2:27">
      <c r="B290" s="71" t="s">
        <v>479</v>
      </c>
      <c r="E290" s="7"/>
      <c r="H290" s="81">
        <v>2202</v>
      </c>
      <c r="I290" s="81">
        <v>2388</v>
      </c>
      <c r="J290" s="81">
        <v>2403</v>
      </c>
      <c r="K290" s="81">
        <v>2420</v>
      </c>
      <c r="L290" s="81">
        <v>2092</v>
      </c>
      <c r="M290" s="81">
        <v>2190</v>
      </c>
      <c r="N290" s="81">
        <v>2061</v>
      </c>
      <c r="O290" s="81">
        <v>2089</v>
      </c>
      <c r="P290" s="81">
        <v>1957</v>
      </c>
      <c r="Q290" s="81">
        <v>1878</v>
      </c>
      <c r="R290" s="81">
        <v>1842</v>
      </c>
      <c r="S290" s="81">
        <v>1654</v>
      </c>
      <c r="T290" s="81">
        <v>1592</v>
      </c>
      <c r="U290" s="81">
        <v>1415</v>
      </c>
      <c r="V290" s="81">
        <v>1448</v>
      </c>
      <c r="W290" s="81">
        <v>1288</v>
      </c>
      <c r="X290" s="81">
        <v>1666</v>
      </c>
      <c r="Y290" s="7"/>
    </row>
    <row r="291" spans="2:27">
      <c r="B291" s="71" t="s">
        <v>480</v>
      </c>
      <c r="E291" s="7"/>
      <c r="H291" s="81">
        <v>1818</v>
      </c>
      <c r="I291" s="81">
        <v>1998</v>
      </c>
      <c r="J291" s="81">
        <v>2114</v>
      </c>
      <c r="K291" s="81">
        <v>2011</v>
      </c>
      <c r="L291" s="81">
        <v>1855</v>
      </c>
      <c r="M291" s="81">
        <v>1819</v>
      </c>
      <c r="N291" s="81">
        <v>1747</v>
      </c>
      <c r="O291" s="81">
        <v>1766</v>
      </c>
      <c r="P291" s="81">
        <v>1676</v>
      </c>
      <c r="Q291" s="81">
        <v>1715</v>
      </c>
      <c r="R291" s="81">
        <v>1605</v>
      </c>
      <c r="S291" s="81">
        <v>1502</v>
      </c>
      <c r="T291" s="81">
        <v>1474</v>
      </c>
      <c r="U291" s="81">
        <v>1426</v>
      </c>
      <c r="V291" s="81">
        <v>1268</v>
      </c>
      <c r="W291" s="81">
        <v>1270</v>
      </c>
      <c r="X291" s="81">
        <v>1490</v>
      </c>
    </row>
    <row r="292" spans="2:27">
      <c r="B292" s="71" t="s">
        <v>481</v>
      </c>
      <c r="E292" s="7"/>
      <c r="H292" s="81">
        <f>0.126*H283</f>
        <v>1892.8979999999999</v>
      </c>
      <c r="I292" s="81">
        <f>0.134*I283</f>
        <v>2084.1020000000003</v>
      </c>
      <c r="J292" s="81">
        <f>0.149*J283</f>
        <v>2428.402</v>
      </c>
      <c r="K292" s="81">
        <f>0.141*K283</f>
        <v>2382.3359999999998</v>
      </c>
      <c r="L292" s="81">
        <f>0.114*L283</f>
        <v>1889.0940000000001</v>
      </c>
      <c r="M292" s="81">
        <f>0.141*M283</f>
        <v>2284.7639999999997</v>
      </c>
      <c r="N292" s="81">
        <f>0.141*N283</f>
        <v>2367.39</v>
      </c>
      <c r="O292" s="81">
        <f>0.145*O283</f>
        <v>2495.0149999999999</v>
      </c>
      <c r="P292" s="81">
        <v>2538</v>
      </c>
      <c r="Q292" s="81">
        <v>2644</v>
      </c>
      <c r="R292" s="81">
        <v>2501</v>
      </c>
      <c r="S292" s="81">
        <v>2439</v>
      </c>
      <c r="T292" s="81">
        <v>2349</v>
      </c>
      <c r="U292" s="81">
        <v>2233</v>
      </c>
      <c r="V292" s="81">
        <v>2186</v>
      </c>
      <c r="W292" s="81">
        <v>2186</v>
      </c>
      <c r="X292" s="81">
        <v>2459</v>
      </c>
    </row>
    <row r="293" spans="2:27">
      <c r="B293" s="71" t="s">
        <v>482</v>
      </c>
      <c r="E293" s="7"/>
      <c r="H293" s="81">
        <f>+H284*0.103</f>
        <v>1816.9199999999998</v>
      </c>
      <c r="I293" s="81">
        <f>+I284*0.101</f>
        <v>1869.9140000000002</v>
      </c>
      <c r="J293" s="81">
        <f>+J284*0.097</f>
        <v>1863.4670000000001</v>
      </c>
      <c r="K293" s="81">
        <v>1875</v>
      </c>
      <c r="L293" s="81">
        <v>1733</v>
      </c>
      <c r="M293" s="81">
        <v>1636</v>
      </c>
      <c r="N293" s="81">
        <v>1546</v>
      </c>
      <c r="O293" s="81">
        <v>1451</v>
      </c>
      <c r="P293" s="81">
        <v>1399</v>
      </c>
      <c r="Q293" s="81">
        <v>1405</v>
      </c>
      <c r="R293" s="81">
        <v>1428</v>
      </c>
      <c r="S293" s="81">
        <v>1384</v>
      </c>
      <c r="T293" s="81">
        <v>1331</v>
      </c>
      <c r="U293" s="81">
        <v>1254</v>
      </c>
      <c r="V293" s="81">
        <v>1024</v>
      </c>
      <c r="W293" s="81">
        <v>909</v>
      </c>
      <c r="X293" s="81">
        <v>667</v>
      </c>
    </row>
    <row r="294" spans="2:27">
      <c r="B294" s="71"/>
    </row>
    <row r="295" spans="2:27">
      <c r="B295" s="262" t="s">
        <v>513</v>
      </c>
      <c r="N295" s="1"/>
      <c r="O295" s="1"/>
      <c r="P295" s="1"/>
      <c r="Q295" s="1"/>
      <c r="R295" s="1"/>
      <c r="S295" s="1"/>
      <c r="T295" s="1"/>
      <c r="U295" s="1"/>
      <c r="V295" s="7"/>
      <c r="W295" s="7"/>
      <c r="X295" s="1"/>
    </row>
    <row r="296" spans="2:27">
      <c r="B296" s="71" t="s">
        <v>476</v>
      </c>
      <c r="H296" s="7"/>
      <c r="I296" s="75">
        <f>IFERROR(I287/H287-1,"na")</f>
        <v>-4.953219592735314E-3</v>
      </c>
      <c r="J296" s="75">
        <f t="shared" ref="J296:X296" si="129">IFERROR(J287/I287-1,"na")</f>
        <v>5.2544247787610576E-2</v>
      </c>
      <c r="K296" s="75">
        <f t="shared" si="129"/>
        <v>-1.2948032374167973E-2</v>
      </c>
      <c r="L296" s="75">
        <f t="shared" si="129"/>
        <v>-6.9464449326130939E-3</v>
      </c>
      <c r="M296" s="75">
        <f t="shared" si="129"/>
        <v>0.110699131439149</v>
      </c>
      <c r="N296" s="75">
        <f t="shared" si="129"/>
        <v>4.0438267423505092E-2</v>
      </c>
      <c r="O296" s="75">
        <f t="shared" si="129"/>
        <v>1.0175361101533609E-2</v>
      </c>
      <c r="P296" s="75">
        <f t="shared" si="129"/>
        <v>-3.5223750724381331E-3</v>
      </c>
      <c r="Q296" s="75">
        <f t="shared" si="129"/>
        <v>4.7769133683139842E-4</v>
      </c>
      <c r="R296" s="75">
        <f t="shared" si="129"/>
        <v>3.5087128229240871E-3</v>
      </c>
      <c r="S296" s="75">
        <f t="shared" si="129"/>
        <v>-8.8329470850460057E-3</v>
      </c>
      <c r="T296" s="75">
        <f t="shared" si="129"/>
        <v>1.5212015373502474E-3</v>
      </c>
      <c r="U296" s="75">
        <f t="shared" si="129"/>
        <v>4.6796020871457955E-3</v>
      </c>
      <c r="V296" s="75">
        <f t="shared" si="129"/>
        <v>8.9886434726627051E-4</v>
      </c>
      <c r="W296" s="75">
        <f t="shared" si="129"/>
        <v>5.2083474176245481E-3</v>
      </c>
      <c r="X296" s="75">
        <f t="shared" si="129"/>
        <v>-3.3236043717054464E-2</v>
      </c>
    </row>
    <row r="297" spans="2:27">
      <c r="B297" s="71" t="s">
        <v>477</v>
      </c>
      <c r="H297" s="189"/>
      <c r="I297" s="75" t="s">
        <v>41</v>
      </c>
      <c r="J297" s="75" t="s">
        <v>41</v>
      </c>
      <c r="K297" s="75" t="s">
        <v>41</v>
      </c>
      <c r="L297" s="75" t="s">
        <v>41</v>
      </c>
      <c r="M297" s="75" t="s">
        <v>41</v>
      </c>
      <c r="N297" s="75" t="s">
        <v>41</v>
      </c>
      <c r="O297" s="75" t="s">
        <v>41</v>
      </c>
      <c r="P297" s="75" t="s">
        <v>41</v>
      </c>
      <c r="Q297" s="75" t="s">
        <v>41</v>
      </c>
      <c r="R297" s="75" t="s">
        <v>41</v>
      </c>
      <c r="S297" s="75" t="s">
        <v>41</v>
      </c>
      <c r="T297" s="75" t="s">
        <v>41</v>
      </c>
      <c r="U297" s="75">
        <f t="shared" ref="U297:X297" si="130">IFERROR(U288/T288-1,"na")</f>
        <v>1.3375394321766563</v>
      </c>
      <c r="V297" s="75">
        <f t="shared" si="130"/>
        <v>0.35222672064777338</v>
      </c>
      <c r="W297" s="75">
        <f t="shared" si="130"/>
        <v>0.33732534930139724</v>
      </c>
      <c r="X297" s="75">
        <f t="shared" si="130"/>
        <v>9.8507462686567182E-2</v>
      </c>
    </row>
    <row r="298" spans="2:27">
      <c r="B298" s="71" t="s">
        <v>478</v>
      </c>
      <c r="H298" s="81"/>
      <c r="I298" s="75">
        <f t="shared" ref="I298:X298" si="131">IFERROR(I289/H289-1,"na")</f>
        <v>7.7560686796921186E-2</v>
      </c>
      <c r="J298" s="75">
        <f t="shared" si="131"/>
        <v>4.9450549450549275E-3</v>
      </c>
      <c r="K298" s="75">
        <f t="shared" si="131"/>
        <v>-4.5926735921268502E-2</v>
      </c>
      <c r="L298" s="75">
        <f t="shared" si="131"/>
        <v>-7.9656160458452696E-2</v>
      </c>
      <c r="M298" s="75">
        <f t="shared" si="131"/>
        <v>3.9850560398505541E-2</v>
      </c>
      <c r="N298" s="75">
        <f t="shared" si="131"/>
        <v>-3.4730538922155718E-2</v>
      </c>
      <c r="O298" s="75">
        <f t="shared" si="131"/>
        <v>1.7369727047146455E-2</v>
      </c>
      <c r="P298" s="75">
        <f t="shared" si="131"/>
        <v>-1.0365853658536595E-2</v>
      </c>
      <c r="Q298" s="75">
        <f t="shared" si="131"/>
        <v>-2.0332717190388205E-2</v>
      </c>
      <c r="R298" s="75">
        <f t="shared" si="131"/>
        <v>6.2893081761006275E-2</v>
      </c>
      <c r="S298" s="75">
        <f t="shared" si="131"/>
        <v>-6.686390532544384E-2</v>
      </c>
      <c r="T298" s="75">
        <f t="shared" si="131"/>
        <v>-5.8972733037412794E-2</v>
      </c>
      <c r="U298" s="75">
        <f t="shared" si="131"/>
        <v>-0.11388140161725069</v>
      </c>
      <c r="V298" s="75">
        <f t="shared" si="131"/>
        <v>4.7908745247148277E-2</v>
      </c>
      <c r="W298" s="75">
        <f t="shared" si="131"/>
        <v>2.2496371552975347E-2</v>
      </c>
      <c r="X298" s="75">
        <f t="shared" si="131"/>
        <v>0.22001419446415893</v>
      </c>
      <c r="Y298" s="7"/>
    </row>
    <row r="299" spans="2:27">
      <c r="B299" s="71" t="s">
        <v>479</v>
      </c>
      <c r="H299" s="81"/>
      <c r="I299" s="75">
        <f t="shared" ref="I299:X299" si="132">IFERROR(I290/H290-1,"na")</f>
        <v>8.4468664850136266E-2</v>
      </c>
      <c r="J299" s="75">
        <f t="shared" si="132"/>
        <v>6.2814070351759899E-3</v>
      </c>
      <c r="K299" s="75">
        <f t="shared" si="132"/>
        <v>7.0744902205577276E-3</v>
      </c>
      <c r="L299" s="75">
        <f t="shared" si="132"/>
        <v>-0.13553719008264464</v>
      </c>
      <c r="M299" s="75">
        <f t="shared" si="132"/>
        <v>4.684512428298282E-2</v>
      </c>
      <c r="N299" s="75">
        <f t="shared" si="132"/>
        <v>-5.8904109589041131E-2</v>
      </c>
      <c r="O299" s="75">
        <f t="shared" si="132"/>
        <v>1.3585638039786518E-2</v>
      </c>
      <c r="P299" s="75">
        <f t="shared" si="132"/>
        <v>-6.3188128291048362E-2</v>
      </c>
      <c r="Q299" s="75">
        <f t="shared" si="132"/>
        <v>-4.0367910066428259E-2</v>
      </c>
      <c r="R299" s="75">
        <f t="shared" si="132"/>
        <v>-1.9169329073482455E-2</v>
      </c>
      <c r="S299" s="75">
        <f t="shared" si="132"/>
        <v>-0.10206297502714445</v>
      </c>
      <c r="T299" s="75">
        <f t="shared" si="132"/>
        <v>-3.7484885126964906E-2</v>
      </c>
      <c r="U299" s="75">
        <f t="shared" si="132"/>
        <v>-0.11118090452261309</v>
      </c>
      <c r="V299" s="75">
        <f t="shared" si="132"/>
        <v>2.3321554770318054E-2</v>
      </c>
      <c r="W299" s="75">
        <f t="shared" si="132"/>
        <v>-0.11049723756906082</v>
      </c>
      <c r="X299" s="75">
        <f t="shared" si="132"/>
        <v>0.29347826086956519</v>
      </c>
      <c r="Y299" s="7"/>
    </row>
    <row r="300" spans="2:27">
      <c r="B300" s="71" t="s">
        <v>480</v>
      </c>
      <c r="H300" s="81"/>
      <c r="I300" s="75">
        <f t="shared" ref="I300:X300" si="133">IFERROR(I291/H291-1,"na")</f>
        <v>9.9009900990099098E-2</v>
      </c>
      <c r="J300" s="75">
        <f t="shared" si="133"/>
        <v>5.8058058058058082E-2</v>
      </c>
      <c r="K300" s="75">
        <f t="shared" si="133"/>
        <v>-4.8722800378429465E-2</v>
      </c>
      <c r="L300" s="75">
        <f t="shared" si="133"/>
        <v>-7.7573346593734493E-2</v>
      </c>
      <c r="M300" s="75">
        <f t="shared" si="133"/>
        <v>-1.9407008086253397E-2</v>
      </c>
      <c r="N300" s="75">
        <f t="shared" si="133"/>
        <v>-3.9582188015393038E-2</v>
      </c>
      <c r="O300" s="75">
        <f t="shared" si="133"/>
        <v>1.0875787063537423E-2</v>
      </c>
      <c r="P300" s="75">
        <f t="shared" si="133"/>
        <v>-5.0962627406568539E-2</v>
      </c>
      <c r="Q300" s="75">
        <f t="shared" si="133"/>
        <v>2.3269689737470234E-2</v>
      </c>
      <c r="R300" s="75">
        <f t="shared" si="133"/>
        <v>-6.4139941690962154E-2</v>
      </c>
      <c r="S300" s="75">
        <f t="shared" si="133"/>
        <v>-6.4174454828660465E-2</v>
      </c>
      <c r="T300" s="75">
        <f t="shared" si="133"/>
        <v>-1.8641810918774926E-2</v>
      </c>
      <c r="U300" s="75">
        <f t="shared" si="133"/>
        <v>-3.2564450474898199E-2</v>
      </c>
      <c r="V300" s="75">
        <f t="shared" si="133"/>
        <v>-0.1107994389901823</v>
      </c>
      <c r="W300" s="75">
        <f t="shared" si="133"/>
        <v>1.577287066246047E-3</v>
      </c>
      <c r="X300" s="75">
        <f t="shared" si="133"/>
        <v>0.17322834645669283</v>
      </c>
    </row>
    <row r="301" spans="2:27">
      <c r="B301" s="71" t="s">
        <v>481</v>
      </c>
      <c r="H301" s="81"/>
      <c r="I301" s="75">
        <f t="shared" ref="I301:X301" si="134">IFERROR(I292/H292-1,"na")</f>
        <v>0.10101125364388386</v>
      </c>
      <c r="J301" s="75">
        <f t="shared" si="134"/>
        <v>0.1652030466838954</v>
      </c>
      <c r="K301" s="75">
        <f t="shared" si="134"/>
        <v>-1.8969676355068188E-2</v>
      </c>
      <c r="L301" s="75">
        <f t="shared" si="134"/>
        <v>-0.2070413241457123</v>
      </c>
      <c r="M301" s="75">
        <f t="shared" si="134"/>
        <v>0.2094496091777327</v>
      </c>
      <c r="N301" s="75">
        <f t="shared" si="134"/>
        <v>3.6163910145643241E-2</v>
      </c>
      <c r="O301" s="75">
        <f t="shared" si="134"/>
        <v>5.3909579748161462E-2</v>
      </c>
      <c r="P301" s="75">
        <f t="shared" si="134"/>
        <v>1.7228353336553148E-2</v>
      </c>
      <c r="Q301" s="75">
        <f t="shared" si="134"/>
        <v>4.1765169424743842E-2</v>
      </c>
      <c r="R301" s="75">
        <f t="shared" si="134"/>
        <v>-5.4084720121028718E-2</v>
      </c>
      <c r="S301" s="75">
        <f t="shared" si="134"/>
        <v>-2.4790083966413468E-2</v>
      </c>
      <c r="T301" s="75">
        <f t="shared" si="134"/>
        <v>-3.6900369003690092E-2</v>
      </c>
      <c r="U301" s="75">
        <f t="shared" si="134"/>
        <v>-4.9382716049382713E-2</v>
      </c>
      <c r="V301" s="75">
        <f t="shared" si="134"/>
        <v>-2.1047917599641752E-2</v>
      </c>
      <c r="W301" s="75">
        <f t="shared" si="134"/>
        <v>0</v>
      </c>
      <c r="X301" s="75">
        <f t="shared" si="134"/>
        <v>0.12488563586459289</v>
      </c>
    </row>
    <row r="302" spans="2:27">
      <c r="B302" s="71" t="s">
        <v>482</v>
      </c>
      <c r="H302" s="81"/>
      <c r="I302" s="75">
        <f t="shared" ref="I302:X302" si="135">IFERROR(I293/H293-1,"na")</f>
        <v>2.9166941857649453E-2</v>
      </c>
      <c r="J302" s="75">
        <f t="shared" si="135"/>
        <v>-3.4477521426119484E-3</v>
      </c>
      <c r="K302" s="75">
        <f t="shared" si="135"/>
        <v>6.1890014687675521E-3</v>
      </c>
      <c r="L302" s="75">
        <f t="shared" si="135"/>
        <v>-7.5733333333333319E-2</v>
      </c>
      <c r="M302" s="75">
        <f t="shared" si="135"/>
        <v>-5.597230236583961E-2</v>
      </c>
      <c r="N302" s="75">
        <f t="shared" si="135"/>
        <v>-5.5012224938875254E-2</v>
      </c>
      <c r="O302" s="75">
        <f t="shared" si="135"/>
        <v>-6.144890038809836E-2</v>
      </c>
      <c r="P302" s="75">
        <f t="shared" si="135"/>
        <v>-3.5837353549276307E-2</v>
      </c>
      <c r="Q302" s="75">
        <f t="shared" si="135"/>
        <v>4.2887776983560055E-3</v>
      </c>
      <c r="R302" s="75">
        <f t="shared" si="135"/>
        <v>1.6370106761565806E-2</v>
      </c>
      <c r="S302" s="75">
        <f t="shared" si="135"/>
        <v>-3.081232492997199E-2</v>
      </c>
      <c r="T302" s="75">
        <f t="shared" si="135"/>
        <v>-3.8294797687861259E-2</v>
      </c>
      <c r="U302" s="75">
        <f t="shared" si="135"/>
        <v>-5.7851239669421517E-2</v>
      </c>
      <c r="V302" s="75">
        <f t="shared" si="135"/>
        <v>-0.18341307814992025</v>
      </c>
      <c r="W302" s="75">
        <f t="shared" si="135"/>
        <v>-0.1123046875</v>
      </c>
      <c r="X302" s="75">
        <f t="shared" si="135"/>
        <v>-0.26622662266226627</v>
      </c>
    </row>
    <row r="303" spans="2:27">
      <c r="B303" s="71"/>
    </row>
    <row r="304" spans="2:27">
      <c r="B304" s="262" t="s">
        <v>491</v>
      </c>
    </row>
    <row r="305" spans="2:40">
      <c r="B305" s="71" t="s">
        <v>476</v>
      </c>
      <c r="H305" s="75">
        <f t="shared" ref="H305:X305" si="136">IFERROR(H287/H278,"na")</f>
        <v>0.11600587371512482</v>
      </c>
      <c r="I305" s="75">
        <f t="shared" si="136"/>
        <v>0.11093385691495888</v>
      </c>
      <c r="J305" s="75">
        <f t="shared" si="136"/>
        <v>0.11032523624557945</v>
      </c>
      <c r="K305" s="75">
        <f t="shared" si="136"/>
        <v>0.10858826999606649</v>
      </c>
      <c r="L305" s="75">
        <f t="shared" si="136"/>
        <v>0.11449953783205055</v>
      </c>
      <c r="M305" s="75">
        <f t="shared" si="136"/>
        <v>0.12079060085441762</v>
      </c>
      <c r="N305" s="75">
        <f t="shared" si="136"/>
        <v>0.11962819268029833</v>
      </c>
      <c r="O305" s="75">
        <f t="shared" si="136"/>
        <v>0.11463617862065974</v>
      </c>
      <c r="P305" s="75">
        <f t="shared" si="136"/>
        <v>0.1121308558274009</v>
      </c>
      <c r="Q305" s="75">
        <f t="shared" si="136"/>
        <v>0.11185494161626158</v>
      </c>
      <c r="R305" s="75">
        <f t="shared" si="136"/>
        <v>0.10948875226726153</v>
      </c>
      <c r="S305" s="75">
        <f t="shared" si="136"/>
        <v>0.10841267002654004</v>
      </c>
      <c r="T305" s="75">
        <f t="shared" si="136"/>
        <v>0.11041252992804373</v>
      </c>
      <c r="U305" s="75">
        <f t="shared" si="136"/>
        <v>0.10996910649311914</v>
      </c>
      <c r="V305" s="75">
        <f t="shared" si="136"/>
        <v>0.10831362072376274</v>
      </c>
      <c r="W305" s="75">
        <f t="shared" si="136"/>
        <v>0.10705939372118871</v>
      </c>
      <c r="X305" s="75">
        <f t="shared" si="136"/>
        <v>0.10214049041904395</v>
      </c>
      <c r="AM305" s="66"/>
      <c r="AN305" s="14"/>
    </row>
    <row r="306" spans="2:40">
      <c r="B306" s="71" t="s">
        <v>477</v>
      </c>
      <c r="H306" s="75" t="str">
        <f t="shared" ref="H306:X306" si="137">IFERROR(H288/H279,"na")</f>
        <v>na</v>
      </c>
      <c r="I306" s="75" t="str">
        <f t="shared" si="137"/>
        <v>na</v>
      </c>
      <c r="J306" s="75" t="str">
        <f t="shared" si="137"/>
        <v>na</v>
      </c>
      <c r="K306" s="75" t="str">
        <f t="shared" si="137"/>
        <v>na</v>
      </c>
      <c r="L306" s="75" t="str">
        <f t="shared" si="137"/>
        <v>na</v>
      </c>
      <c r="M306" s="75" t="str">
        <f t="shared" si="137"/>
        <v>na</v>
      </c>
      <c r="N306" s="75" t="str">
        <f t="shared" si="137"/>
        <v>na</v>
      </c>
      <c r="O306" s="75" t="str">
        <f t="shared" si="137"/>
        <v>na</v>
      </c>
      <c r="P306" s="75" t="str">
        <f t="shared" si="137"/>
        <v>na</v>
      </c>
      <c r="Q306" s="75" t="str">
        <f t="shared" si="137"/>
        <v>na</v>
      </c>
      <c r="R306" s="75" t="str">
        <f t="shared" si="137"/>
        <v>na</v>
      </c>
      <c r="S306" s="75">
        <f t="shared" si="137"/>
        <v>-1.7224281016754529E-6</v>
      </c>
      <c r="T306" s="75">
        <f t="shared" si="137"/>
        <v>1.7389873278841405E-2</v>
      </c>
      <c r="U306" s="75">
        <f t="shared" si="137"/>
        <v>4.1146093619856737E-2</v>
      </c>
      <c r="V306" s="75">
        <f t="shared" si="137"/>
        <v>5.2825811893715734E-2</v>
      </c>
      <c r="W306" s="75">
        <f t="shared" si="137"/>
        <v>6.9552579674037163E-2</v>
      </c>
      <c r="X306" s="75">
        <f t="shared" si="137"/>
        <v>7.579814624098867E-2</v>
      </c>
      <c r="AM306" s="66"/>
      <c r="AN306" s="14"/>
    </row>
    <row r="307" spans="2:40">
      <c r="B307" s="71" t="s">
        <v>478</v>
      </c>
      <c r="H307" s="75">
        <f t="shared" ref="H307:X307" si="138">IFERROR(H289/H280,"na")</f>
        <v>0.11446967129786513</v>
      </c>
      <c r="I307" s="75">
        <f t="shared" si="138"/>
        <v>0.11925042589437819</v>
      </c>
      <c r="J307" s="75">
        <f t="shared" si="138"/>
        <v>0.11339822679645359</v>
      </c>
      <c r="K307" s="75">
        <f t="shared" si="138"/>
        <v>0.10618876650642001</v>
      </c>
      <c r="L307" s="75">
        <f t="shared" si="138"/>
        <v>0.10226042661572747</v>
      </c>
      <c r="M307" s="75">
        <f t="shared" si="138"/>
        <v>0.10243513463779673</v>
      </c>
      <c r="N307" s="75">
        <f t="shared" si="138"/>
        <v>9.3362678095679372E-2</v>
      </c>
      <c r="O307" s="75">
        <f t="shared" si="138"/>
        <v>9.2072759937121038E-2</v>
      </c>
      <c r="P307" s="75">
        <f t="shared" si="138"/>
        <v>9.0924369747899164E-2</v>
      </c>
      <c r="Q307" s="75">
        <f t="shared" si="138"/>
        <v>8.7961938481965041E-2</v>
      </c>
      <c r="R307" s="75">
        <f t="shared" si="138"/>
        <v>9.1051128710737561E-2</v>
      </c>
      <c r="S307" s="75">
        <f t="shared" si="138"/>
        <v>8.201581027667984E-2</v>
      </c>
      <c r="T307" s="75">
        <f t="shared" si="138"/>
        <v>7.4738114423851726E-2</v>
      </c>
      <c r="U307" s="75">
        <f t="shared" si="138"/>
        <v>6.7270308983016169E-2</v>
      </c>
      <c r="V307" s="75">
        <f t="shared" si="138"/>
        <v>6.8136867088607597E-2</v>
      </c>
      <c r="W307" s="75">
        <f t="shared" si="138"/>
        <v>6.7200839414317731E-2</v>
      </c>
      <c r="X307" s="75">
        <f t="shared" si="138"/>
        <v>7.8813442758241259E-2</v>
      </c>
      <c r="AM307" s="66"/>
      <c r="AN307" s="14"/>
    </row>
    <row r="308" spans="2:40">
      <c r="B308" s="71" t="s">
        <v>479</v>
      </c>
      <c r="H308" s="75">
        <f t="shared" ref="H308:X308" si="139">IFERROR(H290/H281,"na")</f>
        <v>8.4458422829088678E-2</v>
      </c>
      <c r="I308" s="75">
        <f t="shared" si="139"/>
        <v>8.883267614016814E-2</v>
      </c>
      <c r="J308" s="75">
        <f t="shared" si="139"/>
        <v>8.3399854232464515E-2</v>
      </c>
      <c r="K308" s="75">
        <f t="shared" si="139"/>
        <v>7.824624935333678E-2</v>
      </c>
      <c r="L308" s="75">
        <f t="shared" si="139"/>
        <v>7.494715723856267E-2</v>
      </c>
      <c r="M308" s="75">
        <f t="shared" si="139"/>
        <v>8.6186540731995276E-2</v>
      </c>
      <c r="N308" s="75">
        <f t="shared" si="139"/>
        <v>7.7982519202391312E-2</v>
      </c>
      <c r="O308" s="75">
        <f t="shared" si="139"/>
        <v>7.8383550335822297E-2</v>
      </c>
      <c r="P308" s="75">
        <f t="shared" si="139"/>
        <v>7.6168606235161335E-2</v>
      </c>
      <c r="Q308" s="75">
        <f t="shared" si="139"/>
        <v>7.3210665835022615E-2</v>
      </c>
      <c r="R308" s="75">
        <f t="shared" si="139"/>
        <v>6.7479942850862729E-2</v>
      </c>
      <c r="S308" s="75">
        <f t="shared" si="139"/>
        <v>6.0501865535152535E-2</v>
      </c>
      <c r="T308" s="75">
        <f t="shared" si="139"/>
        <v>5.8342800601018797E-2</v>
      </c>
      <c r="U308" s="75">
        <f t="shared" si="139"/>
        <v>5.6035165531443054E-2</v>
      </c>
      <c r="V308" s="75">
        <f t="shared" si="139"/>
        <v>5.641485175517201E-2</v>
      </c>
      <c r="W308" s="75">
        <f t="shared" si="139"/>
        <v>5.054945054945055E-2</v>
      </c>
      <c r="X308" s="75">
        <f t="shared" si="139"/>
        <v>6.0634735769398748E-2</v>
      </c>
      <c r="AM308" s="66"/>
      <c r="AN308" s="14"/>
    </row>
    <row r="309" spans="2:40">
      <c r="B309" s="71" t="s">
        <v>480</v>
      </c>
      <c r="H309" s="75">
        <f t="shared" ref="H309:X309" si="140">IFERROR(H291/H282,"na")</f>
        <v>0.12212022172221536</v>
      </c>
      <c r="I309" s="75">
        <f t="shared" si="140"/>
        <v>0.1314865376942633</v>
      </c>
      <c r="J309" s="75">
        <f t="shared" si="140"/>
        <v>0.13311421994253786</v>
      </c>
      <c r="K309" s="75">
        <f t="shared" si="140"/>
        <v>0.11288707710261497</v>
      </c>
      <c r="L309" s="75">
        <f t="shared" si="140"/>
        <v>0.10217621867585307</v>
      </c>
      <c r="M309" s="75">
        <f t="shared" si="140"/>
        <v>9.7044715696691902E-2</v>
      </c>
      <c r="N309" s="75">
        <f t="shared" si="140"/>
        <v>8.7153581618412745E-2</v>
      </c>
      <c r="O309" s="75">
        <f t="shared" si="140"/>
        <v>8.4393128842017717E-2</v>
      </c>
      <c r="P309" s="75">
        <f t="shared" si="140"/>
        <v>8.6569474548471595E-2</v>
      </c>
      <c r="Q309" s="75">
        <f t="shared" si="140"/>
        <v>8.8051680097866625E-2</v>
      </c>
      <c r="R309" s="75">
        <f t="shared" si="140"/>
        <v>8.0087838620516563E-2</v>
      </c>
      <c r="S309" s="75">
        <f t="shared" si="140"/>
        <v>7.2822124475983865E-2</v>
      </c>
      <c r="T309" s="75">
        <f t="shared" si="140"/>
        <v>7.0339974397093941E-2</v>
      </c>
      <c r="U309" s="75">
        <f t="shared" si="140"/>
        <v>6.8881783857115839E-2</v>
      </c>
      <c r="V309" s="75">
        <f t="shared" si="140"/>
        <v>6.2856751170278516E-2</v>
      </c>
      <c r="W309" s="75">
        <f t="shared" si="140"/>
        <v>5.9809739097673544E-2</v>
      </c>
      <c r="X309" s="75">
        <f t="shared" si="140"/>
        <v>6.7223099481163992E-2</v>
      </c>
      <c r="AM309" s="66"/>
      <c r="AN309" s="14"/>
    </row>
    <row r="310" spans="2:40">
      <c r="B310" s="71" t="s">
        <v>481</v>
      </c>
      <c r="H310" s="75">
        <f t="shared" ref="H310:X310" si="141">IFERROR(H292/H283,"na")</f>
        <v>0.126</v>
      </c>
      <c r="I310" s="75">
        <f t="shared" si="141"/>
        <v>0.13400000000000001</v>
      </c>
      <c r="J310" s="75">
        <f t="shared" si="141"/>
        <v>0.14899999999999999</v>
      </c>
      <c r="K310" s="75">
        <f t="shared" si="141"/>
        <v>0.14099999999999999</v>
      </c>
      <c r="L310" s="75">
        <f t="shared" si="141"/>
        <v>0.114</v>
      </c>
      <c r="M310" s="75">
        <f t="shared" si="141"/>
        <v>0.14099999999999999</v>
      </c>
      <c r="N310" s="75">
        <f t="shared" si="141"/>
        <v>0.14099999999999999</v>
      </c>
      <c r="O310" s="75">
        <f t="shared" si="141"/>
        <v>0.14499999999999999</v>
      </c>
      <c r="P310" s="75">
        <f t="shared" si="141"/>
        <v>0.14605513034470852</v>
      </c>
      <c r="Q310" s="75">
        <f t="shared" si="141"/>
        <v>0.14615809839690436</v>
      </c>
      <c r="R310" s="75">
        <f t="shared" si="141"/>
        <v>0.13156925666789415</v>
      </c>
      <c r="S310" s="75">
        <f t="shared" si="141"/>
        <v>0.1254436043820398</v>
      </c>
      <c r="T310" s="75">
        <f t="shared" si="141"/>
        <v>0.11937795395639579</v>
      </c>
      <c r="U310" s="75">
        <f t="shared" si="141"/>
        <v>0.11368496079828938</v>
      </c>
      <c r="V310" s="75">
        <f t="shared" si="141"/>
        <v>0.10673828125</v>
      </c>
      <c r="W310" s="75">
        <f t="shared" si="141"/>
        <v>0.10537478910580862</v>
      </c>
      <c r="X310" s="75">
        <f t="shared" si="141"/>
        <v>0.11293285569945807</v>
      </c>
      <c r="Z310" s="75"/>
      <c r="AM310" s="66"/>
      <c r="AN310" s="14"/>
    </row>
    <row r="311" spans="2:40">
      <c r="B311" s="71" t="s">
        <v>482</v>
      </c>
      <c r="H311" s="75">
        <f t="shared" ref="H311:X311" si="142">IFERROR(H293/H284,"na")</f>
        <v>0.10299999999999999</v>
      </c>
      <c r="I311" s="75">
        <f t="shared" si="142"/>
        <v>0.10100000000000001</v>
      </c>
      <c r="J311" s="75">
        <f t="shared" si="142"/>
        <v>9.7000000000000003E-2</v>
      </c>
      <c r="K311" s="75">
        <f t="shared" si="142"/>
        <v>9.3283582089552244E-2</v>
      </c>
      <c r="L311" s="75">
        <f t="shared" si="142"/>
        <v>8.7129210658622419E-2</v>
      </c>
      <c r="M311" s="75">
        <f t="shared" si="142"/>
        <v>8.5408509527538506E-2</v>
      </c>
      <c r="N311" s="75">
        <f t="shared" si="142"/>
        <v>7.8572880666802195E-2</v>
      </c>
      <c r="O311" s="75">
        <f t="shared" si="142"/>
        <v>7.2408802834472777E-2</v>
      </c>
      <c r="P311" s="75">
        <f t="shared" si="142"/>
        <v>6.9869649902611991E-2</v>
      </c>
      <c r="Q311" s="75">
        <f t="shared" si="142"/>
        <v>6.9119889801741524E-2</v>
      </c>
      <c r="R311" s="75">
        <f t="shared" si="142"/>
        <v>6.8061579524331534E-2</v>
      </c>
      <c r="S311" s="75">
        <f t="shared" si="142"/>
        <v>6.4528161133905262E-2</v>
      </c>
      <c r="T311" s="75">
        <f t="shared" si="142"/>
        <v>6.2617613850207005E-2</v>
      </c>
      <c r="U311" s="75">
        <f t="shared" si="142"/>
        <v>5.9059011915414683E-2</v>
      </c>
      <c r="V311" s="75">
        <f t="shared" si="142"/>
        <v>4.8077374524625571E-2</v>
      </c>
      <c r="W311" s="75">
        <f t="shared" si="142"/>
        <v>4.223388932769595E-2</v>
      </c>
      <c r="X311" s="75">
        <f t="shared" si="142"/>
        <v>2.9754204398447608E-2</v>
      </c>
      <c r="AM311" s="66"/>
      <c r="AN311" s="14"/>
    </row>
    <row r="312" spans="2:40">
      <c r="B312" s="71"/>
      <c r="U312" s="75"/>
      <c r="V312" s="75"/>
      <c r="W312" s="75"/>
      <c r="X312" s="75"/>
    </row>
    <row r="313" spans="2:40">
      <c r="B313" s="262" t="s">
        <v>492</v>
      </c>
    </row>
    <row r="314" spans="2:40">
      <c r="B314" s="71" t="s">
        <v>476</v>
      </c>
    </row>
    <row r="315" spans="2:40">
      <c r="B315" s="305" t="s">
        <v>171</v>
      </c>
      <c r="C315" s="310"/>
      <c r="D315" s="310">
        <v>0.13909486279638753</v>
      </c>
      <c r="E315" s="310">
        <v>0.13119517501050237</v>
      </c>
      <c r="F315" s="310">
        <v>0.12169239666856764</v>
      </c>
      <c r="G315" s="310">
        <v>0.12768778937079503</v>
      </c>
      <c r="H315" s="310">
        <v>0.12743490723465839</v>
      </c>
      <c r="I315" s="310">
        <v>0.13057672668242501</v>
      </c>
      <c r="J315" s="310">
        <v>0.1346985449101861</v>
      </c>
      <c r="K315" s="310">
        <v>0.13647543267812426</v>
      </c>
      <c r="L315" s="310">
        <v>0.14667565055522208</v>
      </c>
      <c r="M315" s="310">
        <v>0.15490871520990157</v>
      </c>
      <c r="N315" s="310">
        <v>0.15159498789712594</v>
      </c>
      <c r="O315" s="310">
        <v>0.14610471691238328</v>
      </c>
      <c r="P315" s="310">
        <v>0.14226679673054871</v>
      </c>
      <c r="Q315" s="310">
        <v>0.13922143890486452</v>
      </c>
      <c r="R315" s="310">
        <v>0.14035600680537763</v>
      </c>
      <c r="S315" s="310">
        <v>0.14232120491033642</v>
      </c>
      <c r="T315" s="310">
        <v>0.14816702464825773</v>
      </c>
      <c r="U315" s="310">
        <v>0.14654032552990454</v>
      </c>
      <c r="V315" s="310">
        <v>0.14652634938452988</v>
      </c>
      <c r="W315" s="310">
        <v>0.14459413778168301</v>
      </c>
      <c r="X315" s="310">
        <v>0.13832508652042794</v>
      </c>
      <c r="AB315" s="316"/>
    </row>
    <row r="316" spans="2:40">
      <c r="B316" s="305" t="s">
        <v>600</v>
      </c>
      <c r="C316" s="310"/>
      <c r="D316" s="310">
        <v>3.4223233910078039E-2</v>
      </c>
      <c r="E316" s="310">
        <v>4.7292268241680549E-2</v>
      </c>
      <c r="F316" s="310">
        <v>4.1811421017525698E-2</v>
      </c>
      <c r="G316" s="310">
        <v>4.0776337513765061E-2</v>
      </c>
      <c r="H316" s="310">
        <v>1.9698448480322851E-2</v>
      </c>
      <c r="I316" s="310">
        <v>3.5251144295169616E-2</v>
      </c>
      <c r="J316" s="310">
        <v>2.6761747393665099E-2</v>
      </c>
      <c r="K316" s="310">
        <v>2.6105390147850419E-2</v>
      </c>
      <c r="L316" s="310">
        <v>1.6893113617129765E-2</v>
      </c>
      <c r="M316" s="310">
        <v>3.7506259878426207E-2</v>
      </c>
      <c r="N316" s="310">
        <v>4.1048942494246038E-2</v>
      </c>
      <c r="O316" s="310">
        <v>4.0143052515399714E-2</v>
      </c>
      <c r="P316" s="310">
        <v>3.4400644067975945E-2</v>
      </c>
      <c r="Q316" s="310">
        <v>3.3503736470716979E-2</v>
      </c>
      <c r="R316" s="310">
        <v>3.6906053775266102E-2</v>
      </c>
      <c r="S316" s="310">
        <v>3.7335784431019148E-2</v>
      </c>
      <c r="T316" s="310">
        <v>3.4279430237935872E-2</v>
      </c>
      <c r="U316" s="310">
        <v>3.353977746416531E-2</v>
      </c>
      <c r="V316" s="310">
        <v>3.2824119165139692E-2</v>
      </c>
      <c r="W316" s="310">
        <v>2.93589262630926E-2</v>
      </c>
      <c r="X316" s="310">
        <v>1.4741308894193913E-2</v>
      </c>
    </row>
    <row r="317" spans="2:40">
      <c r="B317" s="305" t="s">
        <v>103</v>
      </c>
      <c r="C317" s="310"/>
      <c r="D317" s="310">
        <v>4.146676257531514E-2</v>
      </c>
      <c r="E317" s="310">
        <v>5.2395862777648503E-2</v>
      </c>
      <c r="F317" s="310">
        <v>4.3786763742763128E-2</v>
      </c>
      <c r="G317" s="310">
        <v>4.4950389227984229E-2</v>
      </c>
      <c r="H317" s="310">
        <v>3.9441761646092921E-2</v>
      </c>
      <c r="I317" s="310">
        <v>3.9678483928110173E-2</v>
      </c>
      <c r="J317" s="310">
        <v>4.8659220301605105E-2</v>
      </c>
      <c r="K317" s="310">
        <v>4.2519175698338366E-2</v>
      </c>
      <c r="L317" s="310">
        <v>2.250111342670727E-2</v>
      </c>
      <c r="M317" s="310">
        <v>6.8526609687326684E-2</v>
      </c>
      <c r="N317" s="310">
        <v>7.5135529238640877E-2</v>
      </c>
      <c r="O317" s="310">
        <v>7.8298820254590382E-2</v>
      </c>
      <c r="P317" s="310">
        <v>7.5618422197650276E-2</v>
      </c>
      <c r="Q317" s="310">
        <v>7.3965713714935516E-2</v>
      </c>
      <c r="R317" s="310">
        <v>7.772086850701912E-2</v>
      </c>
      <c r="S317" s="310">
        <v>7.813118103193635E-2</v>
      </c>
      <c r="T317" s="310">
        <v>7.7586572899804584E-2</v>
      </c>
      <c r="U317" s="310">
        <v>7.676863056987214E-2</v>
      </c>
      <c r="V317" s="310">
        <v>7.5432644953255093E-2</v>
      </c>
      <c r="W317" s="310">
        <v>7.1840793992633906E-2</v>
      </c>
      <c r="X317" s="310">
        <v>6.8262840571860398E-2</v>
      </c>
    </row>
    <row r="318" spans="2:40">
      <c r="B318" s="305" t="s">
        <v>188</v>
      </c>
      <c r="C318" s="310"/>
      <c r="D318" s="310">
        <v>3.4223233910078039E-2</v>
      </c>
      <c r="E318" s="310">
        <v>4.72922682416805E-2</v>
      </c>
      <c r="F318" s="310">
        <v>4.0040363289759261E-2</v>
      </c>
      <c r="G318" s="310">
        <v>4.1431013958963321E-2</v>
      </c>
      <c r="H318" s="310">
        <v>3.5612104492133666E-2</v>
      </c>
      <c r="I318" s="310">
        <v>3.5414563686997073E-2</v>
      </c>
      <c r="J318" s="310">
        <v>4.4031227798334127E-2</v>
      </c>
      <c r="K318" s="310">
        <v>3.6834122175416248E-2</v>
      </c>
      <c r="L318" s="310">
        <v>1.4651777768919435E-2</v>
      </c>
      <c r="M318" s="310">
        <v>6.0718511556528729E-2</v>
      </c>
      <c r="N318" s="310">
        <v>6.851521365700658E-2</v>
      </c>
      <c r="O318" s="310">
        <v>7.0020599586208931E-2</v>
      </c>
      <c r="P318" s="310">
        <v>6.692695254085218E-2</v>
      </c>
      <c r="Q318" s="310">
        <v>6.5861007440653346E-2</v>
      </c>
      <c r="R318" s="310">
        <v>6.9649154135522778E-2</v>
      </c>
      <c r="S318" s="310">
        <v>6.9064319861647211E-2</v>
      </c>
      <c r="T318" s="310">
        <v>6.6948856695112427E-2</v>
      </c>
      <c r="U318" s="310">
        <v>6.6258128040376146E-2</v>
      </c>
      <c r="V318" s="310">
        <v>6.5404251338516822E-2</v>
      </c>
      <c r="W318" s="310">
        <v>6.1220167119201398E-2</v>
      </c>
      <c r="X318" s="310">
        <v>5.5484260308454561E-2</v>
      </c>
    </row>
    <row r="319" spans="2:40">
      <c r="B319" s="305" t="s">
        <v>172</v>
      </c>
      <c r="C319" s="310"/>
      <c r="D319" s="310">
        <v>1.8218378234867692E-2</v>
      </c>
      <c r="E319" s="310">
        <v>2.8360868485616076E-2</v>
      </c>
      <c r="F319" s="310">
        <v>2.3879933822744105E-2</v>
      </c>
      <c r="G319" s="310">
        <v>2.5327930911407493E-2</v>
      </c>
      <c r="H319" s="310">
        <v>2.1468132195696717E-2</v>
      </c>
      <c r="I319" s="310">
        <v>2.144100759636593E-2</v>
      </c>
      <c r="J319" s="310">
        <v>2.6601413191285533E-2</v>
      </c>
      <c r="K319" s="310">
        <v>2.2199332135791009E-2</v>
      </c>
      <c r="L319" s="310">
        <v>8.3897741973505448E-3</v>
      </c>
      <c r="M319" s="310">
        <v>3.7387387447687104E-2</v>
      </c>
      <c r="N319" s="310">
        <v>4.2252545079668621E-2</v>
      </c>
      <c r="O319" s="310">
        <v>4.1348018848016609E-2</v>
      </c>
      <c r="P319" s="310">
        <v>3.9614267061625942E-2</v>
      </c>
      <c r="Q319" s="310">
        <v>3.9174032683650994E-2</v>
      </c>
      <c r="R319" s="310">
        <v>4.1864874176485115E-2</v>
      </c>
      <c r="S319" s="310">
        <v>4.1151245818804701E-2</v>
      </c>
      <c r="T319" s="310">
        <v>3.9493879667540109E-2</v>
      </c>
      <c r="U319" s="310">
        <v>3.8791115225287276E-2</v>
      </c>
      <c r="V319" s="310">
        <v>4.6354942194782402E-2</v>
      </c>
      <c r="W319" s="310">
        <v>4.3722124428524502E-2</v>
      </c>
      <c r="X319" s="310">
        <v>3.9414940747959287E-2</v>
      </c>
    </row>
    <row r="320" spans="2:40">
      <c r="B320" s="305"/>
      <c r="C320" s="310"/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310"/>
      <c r="O320" s="310"/>
      <c r="P320" s="310"/>
      <c r="Q320" s="310"/>
      <c r="R320" s="310"/>
      <c r="S320" s="310"/>
      <c r="T320" s="310"/>
      <c r="U320" s="310"/>
      <c r="V320" s="310"/>
      <c r="W320" s="310"/>
      <c r="X320" s="310"/>
    </row>
    <row r="321" spans="2:24">
      <c r="B321" s="71" t="s">
        <v>477</v>
      </c>
    </row>
    <row r="322" spans="2:24">
      <c r="B322" s="305" t="s">
        <v>171</v>
      </c>
      <c r="C322" s="310"/>
      <c r="D322" s="310"/>
      <c r="E322" s="310"/>
      <c r="F322" s="310"/>
      <c r="G322" s="310"/>
      <c r="H322" s="310"/>
      <c r="I322" s="310"/>
      <c r="J322" s="310"/>
      <c r="K322" s="310"/>
      <c r="L322" s="310"/>
      <c r="M322" s="310"/>
      <c r="N322" s="310"/>
      <c r="O322" s="310"/>
      <c r="P322" s="310"/>
      <c r="Q322" s="310"/>
      <c r="R322" s="310"/>
      <c r="S322" s="310">
        <v>1.0322719185226115E-2</v>
      </c>
      <c r="T322" s="310">
        <v>5.2573203194321058E-2</v>
      </c>
      <c r="U322" s="310">
        <v>7.9279751301128229E-2</v>
      </c>
      <c r="V322" s="310">
        <v>0.10115691034417863</v>
      </c>
      <c r="W322" s="310">
        <v>0.12894096696968643</v>
      </c>
      <c r="X322" s="310">
        <v>0.14237102763504941</v>
      </c>
    </row>
    <row r="323" spans="2:24">
      <c r="B323" s="305" t="s">
        <v>600</v>
      </c>
      <c r="C323" s="310"/>
      <c r="D323" s="310"/>
      <c r="E323" s="310"/>
      <c r="F323" s="310"/>
      <c r="G323" s="310"/>
      <c r="H323" s="310"/>
      <c r="I323" s="310"/>
      <c r="J323" s="310"/>
      <c r="K323" s="310"/>
      <c r="L323" s="310"/>
      <c r="M323" s="310"/>
      <c r="N323" s="310"/>
      <c r="O323" s="310"/>
      <c r="P323" s="310"/>
      <c r="Q323" s="310"/>
      <c r="R323" s="310"/>
      <c r="S323" s="310">
        <v>-0.27096754402110557</v>
      </c>
      <c r="T323" s="310">
        <v>-0.24504858304030161</v>
      </c>
      <c r="U323" s="310">
        <v>-0.18082946196746888</v>
      </c>
      <c r="V323" s="310">
        <v>-0.11687694039326668</v>
      </c>
      <c r="W323" s="310">
        <v>-7.1144771334065757E-2</v>
      </c>
      <c r="X323" s="310">
        <v>-5.9499173463478938E-2</v>
      </c>
    </row>
    <row r="324" spans="2:24">
      <c r="B324" s="305" t="s">
        <v>103</v>
      </c>
      <c r="C324" s="310"/>
      <c r="D324" s="310"/>
      <c r="E324" s="310"/>
      <c r="F324" s="310"/>
      <c r="G324" s="310"/>
      <c r="H324" s="310"/>
      <c r="I324" s="310"/>
      <c r="J324" s="310"/>
      <c r="K324" s="310"/>
      <c r="L324" s="310"/>
      <c r="M324" s="310"/>
      <c r="N324" s="310"/>
      <c r="O324" s="310"/>
      <c r="P324" s="310"/>
      <c r="Q324" s="310"/>
      <c r="R324" s="310"/>
      <c r="S324" s="310">
        <v>-0.2497699245352476</v>
      </c>
      <c r="T324" s="310">
        <v>-0.23241808800815009</v>
      </c>
      <c r="U324" s="310">
        <v>-0.16893010583673893</v>
      </c>
      <c r="V324" s="310">
        <v>-0.10544182029152115</v>
      </c>
      <c r="W324" s="310">
        <v>-6.1617870116368559E-2</v>
      </c>
      <c r="X324" s="310">
        <v>-4.6031505943276409E-2</v>
      </c>
    </row>
    <row r="325" spans="2:24">
      <c r="B325" s="305" t="s">
        <v>188</v>
      </c>
      <c r="C325" s="310"/>
      <c r="D325" s="310"/>
      <c r="E325" s="310"/>
      <c r="F325" s="310"/>
      <c r="G325" s="310"/>
      <c r="H325" s="310"/>
      <c r="I325" s="310"/>
      <c r="J325" s="310"/>
      <c r="K325" s="310"/>
      <c r="L325" s="310"/>
      <c r="M325" s="310"/>
      <c r="N325" s="310"/>
      <c r="O325" s="310"/>
      <c r="P325" s="310"/>
      <c r="Q325" s="310"/>
      <c r="R325" s="310"/>
      <c r="S325" s="310">
        <v>-0.27124363457880857</v>
      </c>
      <c r="T325" s="310">
        <v>-0.24517455935675395</v>
      </c>
      <c r="U325" s="310">
        <v>-0.18239896608334205</v>
      </c>
      <c r="V325" s="310">
        <v>-0.11747935403665723</v>
      </c>
      <c r="W325" s="310">
        <v>-7.2091496831388449E-2</v>
      </c>
      <c r="X325" s="310">
        <v>-5.9240159203374519E-2</v>
      </c>
    </row>
    <row r="326" spans="2:24">
      <c r="B326" s="305" t="s">
        <v>172</v>
      </c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>
        <v>-0.28207251978649001</v>
      </c>
      <c r="T326" s="310">
        <v>-0.25499797342447444</v>
      </c>
      <c r="U326" s="310">
        <v>-0.19131649725802505</v>
      </c>
      <c r="V326" s="310">
        <v>-0.13027322885019282</v>
      </c>
      <c r="W326" s="310">
        <v>-9.2550412498197926E-2</v>
      </c>
      <c r="X326" s="310">
        <v>-8.2738140521053632E-2</v>
      </c>
    </row>
    <row r="327" spans="2:24">
      <c r="B327" s="305"/>
      <c r="C327" s="310"/>
      <c r="D327" s="310"/>
      <c r="E327" s="310"/>
      <c r="F327" s="310"/>
      <c r="G327" s="310"/>
      <c r="H327" s="310"/>
      <c r="I327" s="310"/>
      <c r="J327" s="310"/>
      <c r="K327" s="310"/>
      <c r="L327" s="310"/>
      <c r="M327" s="310"/>
      <c r="N327" s="310"/>
      <c r="O327" s="310"/>
      <c r="P327" s="310"/>
      <c r="Q327" s="310"/>
      <c r="R327" s="310"/>
      <c r="S327" s="310"/>
      <c r="T327" s="310"/>
      <c r="U327" s="310"/>
      <c r="V327" s="310"/>
      <c r="W327" s="310"/>
      <c r="X327" s="310"/>
    </row>
    <row r="328" spans="2:24">
      <c r="B328" s="71" t="s">
        <v>478</v>
      </c>
    </row>
    <row r="329" spans="2:24">
      <c r="B329" s="305" t="s">
        <v>171</v>
      </c>
      <c r="C329" s="310"/>
      <c r="D329" s="310">
        <v>0.14714016768884422</v>
      </c>
      <c r="E329" s="310">
        <v>0.14377191797611713</v>
      </c>
      <c r="F329" s="310">
        <v>0.15332289447339373</v>
      </c>
      <c r="G329" s="310">
        <v>0.15287058010123261</v>
      </c>
      <c r="H329" s="310">
        <v>0.15537212648204743</v>
      </c>
      <c r="I329" s="310">
        <v>0.15932619664166148</v>
      </c>
      <c r="J329" s="310">
        <v>0.16032777561273606</v>
      </c>
      <c r="K329" s="310">
        <v>0.16077777463753767</v>
      </c>
      <c r="L329" s="310">
        <v>0.16837792511976463</v>
      </c>
      <c r="M329" s="310">
        <v>0.17929316402982018</v>
      </c>
      <c r="N329" s="310">
        <v>0.1707326859802584</v>
      </c>
      <c r="O329" s="310">
        <v>0.16656665919622912</v>
      </c>
      <c r="P329" s="310">
        <v>0.15868477483917093</v>
      </c>
      <c r="Q329" s="310">
        <v>0.15755012102114443</v>
      </c>
      <c r="R329" s="310">
        <v>0.15640437913422092</v>
      </c>
      <c r="S329" s="310">
        <v>0.15633688045249736</v>
      </c>
      <c r="T329" s="310">
        <v>0.1533250034707761</v>
      </c>
      <c r="U329" s="310">
        <v>0.15598153668979242</v>
      </c>
      <c r="V329" s="310">
        <v>0.15865743854143313</v>
      </c>
      <c r="W329" s="310">
        <v>0.16512230674409556</v>
      </c>
      <c r="X329" s="310">
        <v>0.17490926924963224</v>
      </c>
    </row>
    <row r="330" spans="2:24">
      <c r="B330" s="305" t="s">
        <v>600</v>
      </c>
      <c r="C330" s="310"/>
      <c r="D330" s="310">
        <v>3.4983696917941155E-2</v>
      </c>
      <c r="E330" s="310">
        <v>2.5753778271375195E-2</v>
      </c>
      <c r="F330" s="310">
        <v>3.6753343429935574E-2</v>
      </c>
      <c r="G330" s="310">
        <v>3.7877107078545566E-2</v>
      </c>
      <c r="H330" s="310">
        <v>4.0189870094409968E-2</v>
      </c>
      <c r="I330" s="310">
        <v>4.2926933447235645E-2</v>
      </c>
      <c r="J330" s="310">
        <v>4.1946220363797207E-2</v>
      </c>
      <c r="K330" s="310">
        <v>3.9934431789277337E-2</v>
      </c>
      <c r="L330" s="310">
        <v>3.3180251770816384E-2</v>
      </c>
      <c r="M330" s="310">
        <v>3.596460242800574E-2</v>
      </c>
      <c r="N330" s="310">
        <v>4.0012840060990304E-2</v>
      </c>
      <c r="O330" s="310">
        <v>4.127296255864895E-2</v>
      </c>
      <c r="P330" s="310">
        <v>4.1458184417441028E-2</v>
      </c>
      <c r="Q330" s="310">
        <v>4.2677079051924909E-2</v>
      </c>
      <c r="R330" s="310">
        <v>4.198065812609901E-2</v>
      </c>
      <c r="S330" s="310">
        <v>4.1731377624388839E-2</v>
      </c>
      <c r="T330" s="310">
        <v>3.8312740062011227E-2</v>
      </c>
      <c r="U330" s="310">
        <v>3.5626387302294907E-2</v>
      </c>
      <c r="V330" s="310">
        <v>3.368545916461179E-2</v>
      </c>
      <c r="W330" s="310">
        <v>3.6684992758615829E-2</v>
      </c>
      <c r="X330" s="310">
        <v>4.634624816086317E-2</v>
      </c>
    </row>
    <row r="331" spans="2:24">
      <c r="B331" s="305" t="s">
        <v>103</v>
      </c>
      <c r="C331" s="310"/>
      <c r="D331" s="310">
        <v>4.3974652589084701E-2</v>
      </c>
      <c r="E331" s="310">
        <v>2.9835962239798293E-2</v>
      </c>
      <c r="F331" s="310">
        <v>4.1733193007675133E-2</v>
      </c>
      <c r="G331" s="310">
        <v>4.0921309935968549E-2</v>
      </c>
      <c r="H331" s="310">
        <v>4.4385285067683231E-2</v>
      </c>
      <c r="I331" s="310">
        <v>4.7507942016604819E-2</v>
      </c>
      <c r="J331" s="310">
        <v>4.6996619024046012E-2</v>
      </c>
      <c r="K331" s="310">
        <v>4.5129016759460766E-2</v>
      </c>
      <c r="L331" s="310">
        <v>-8.1737062956856482E-2</v>
      </c>
      <c r="M331" s="310">
        <v>4.7147186227667372E-2</v>
      </c>
      <c r="N331" s="310">
        <v>4.467538720808923E-2</v>
      </c>
      <c r="O331" s="310">
        <v>4.725895187351345E-2</v>
      </c>
      <c r="P331" s="310">
        <v>4.7004237720820997E-2</v>
      </c>
      <c r="Q331" s="310">
        <v>4.8031693839338717E-2</v>
      </c>
      <c r="R331" s="310">
        <v>4.8626810684082727E-2</v>
      </c>
      <c r="S331" s="310">
        <v>4.7900488927236119E-2</v>
      </c>
      <c r="T331" s="310">
        <v>4.8021657642648902E-2</v>
      </c>
      <c r="U331" s="310">
        <v>4.7008070732681366E-2</v>
      </c>
      <c r="V331" s="310">
        <v>4.4151161921841146E-2</v>
      </c>
      <c r="W331" s="310">
        <v>4.8660226756094244E-2</v>
      </c>
      <c r="X331" s="310">
        <v>4.4458067680235407E-2</v>
      </c>
    </row>
    <row r="332" spans="2:24">
      <c r="B332" s="305" t="s">
        <v>188</v>
      </c>
      <c r="C332" s="310"/>
      <c r="D332" s="310">
        <v>3.7482532412079807E-2</v>
      </c>
      <c r="E332" s="310">
        <v>2.223689673975577E-2</v>
      </c>
      <c r="F332" s="310">
        <v>3.8154888723464335E-2</v>
      </c>
      <c r="G332" s="310">
        <v>3.7257947175340929E-2</v>
      </c>
      <c r="H332" s="310">
        <v>4.0105856778299358E-2</v>
      </c>
      <c r="I332" s="310">
        <v>4.3322032088416666E-2</v>
      </c>
      <c r="J332" s="310">
        <v>4.2630841662892473E-2</v>
      </c>
      <c r="K332" s="310">
        <v>3.9945736653195042E-2</v>
      </c>
      <c r="L332" s="310">
        <v>-8.8162242868970217E-2</v>
      </c>
      <c r="M332" s="310">
        <v>3.9943111045009201E-2</v>
      </c>
      <c r="N332" s="310">
        <v>3.8512157932750181E-2</v>
      </c>
      <c r="O332" s="310">
        <v>4.1207897457400437E-2</v>
      </c>
      <c r="P332" s="310">
        <v>4.1432655978760342E-2</v>
      </c>
      <c r="Q332" s="310">
        <v>4.2591450883682692E-2</v>
      </c>
      <c r="R332" s="310">
        <v>4.3032529515197183E-2</v>
      </c>
      <c r="S332" s="310">
        <v>4.1793691879973158E-2</v>
      </c>
      <c r="T332" s="310">
        <v>4.1385533805358879E-2</v>
      </c>
      <c r="U332" s="310">
        <v>3.9643178884214245E-2</v>
      </c>
      <c r="V332" s="310">
        <v>3.6389449301352468E-2</v>
      </c>
      <c r="W332" s="310">
        <v>4.0200227787229856E-2</v>
      </c>
      <c r="X332" s="310">
        <v>3.4703285924472776E-2</v>
      </c>
    </row>
    <row r="333" spans="2:24">
      <c r="B333" s="305" t="s">
        <v>172</v>
      </c>
      <c r="C333" s="310"/>
      <c r="D333" s="310">
        <v>1.591976554615325E-2</v>
      </c>
      <c r="E333" s="310">
        <v>1.2256557258133101E-2</v>
      </c>
      <c r="F333" s="310">
        <v>1.9590830916138308E-2</v>
      </c>
      <c r="G333" s="310">
        <v>1.9534494946107293E-2</v>
      </c>
      <c r="H333" s="310">
        <v>2.0851054892200415E-2</v>
      </c>
      <c r="I333" s="310">
        <v>2.1191169011452522E-2</v>
      </c>
      <c r="J333" s="310">
        <v>1.7452576809243444E-2</v>
      </c>
      <c r="K333" s="310">
        <v>1.6279004041488854E-2</v>
      </c>
      <c r="L333" s="310">
        <v>-8.6711624056213257E-2</v>
      </c>
      <c r="M333" s="310">
        <v>2.1770250422948931E-2</v>
      </c>
      <c r="N333" s="310">
        <v>1.8882914693844791E-2</v>
      </c>
      <c r="O333" s="310">
        <v>2.0546113083145974E-2</v>
      </c>
      <c r="P333" s="310">
        <v>2.0250433983457578E-2</v>
      </c>
      <c r="Q333" s="310">
        <v>2.1452710416952087E-2</v>
      </c>
      <c r="R333" s="310">
        <v>2.1968935778280161E-2</v>
      </c>
      <c r="S333" s="310">
        <v>2.1268334771354619E-2</v>
      </c>
      <c r="T333" s="310">
        <v>1.9977787033180615E-2</v>
      </c>
      <c r="U333" s="310">
        <v>2.0200050151848656E-2</v>
      </c>
      <c r="V333" s="310">
        <v>1.8488941194052162E-2</v>
      </c>
      <c r="W333" s="310">
        <v>2.1128906011989294E-2</v>
      </c>
      <c r="X333" s="310">
        <v>1.8724865129965663E-2</v>
      </c>
    </row>
    <row r="334" spans="2:24">
      <c r="B334" s="305"/>
      <c r="C334" s="310"/>
      <c r="D334" s="310"/>
      <c r="E334" s="310"/>
      <c r="F334" s="310"/>
      <c r="G334" s="310"/>
      <c r="H334" s="310"/>
      <c r="I334" s="310"/>
      <c r="J334" s="310"/>
      <c r="K334" s="310"/>
      <c r="L334" s="310"/>
      <c r="M334" s="310"/>
      <c r="N334" s="310"/>
      <c r="O334" s="310"/>
      <c r="P334" s="310"/>
      <c r="Q334" s="310"/>
      <c r="R334" s="310"/>
      <c r="S334" s="310"/>
      <c r="T334" s="310"/>
      <c r="U334" s="310"/>
      <c r="V334" s="310"/>
      <c r="W334" s="310"/>
      <c r="X334" s="310"/>
    </row>
    <row r="335" spans="2:24">
      <c r="B335" s="71" t="s">
        <v>479</v>
      </c>
    </row>
    <row r="336" spans="2:24">
      <c r="B336" s="305" t="s">
        <v>171</v>
      </c>
      <c r="C336" s="310"/>
      <c r="D336" s="310">
        <v>0.14376178979928075</v>
      </c>
      <c r="E336" s="310">
        <v>0.14223290990043966</v>
      </c>
      <c r="F336" s="310">
        <v>0.14586866797599313</v>
      </c>
      <c r="G336" s="310">
        <v>0.14339181812573049</v>
      </c>
      <c r="H336" s="310">
        <v>0.14667479785733897</v>
      </c>
      <c r="I336" s="310">
        <v>0.15250916715633045</v>
      </c>
      <c r="J336" s="310">
        <v>0.15161195031662977</v>
      </c>
      <c r="K336" s="310">
        <v>0.14857599771071164</v>
      </c>
      <c r="L336" s="310">
        <v>0.1538489543285898</v>
      </c>
      <c r="M336" s="310">
        <v>0.16615494631215352</v>
      </c>
      <c r="N336" s="310">
        <v>0.15882153359496384</v>
      </c>
      <c r="O336" s="310">
        <v>0.15795719573646491</v>
      </c>
      <c r="P336" s="310">
        <v>0.15291870705982302</v>
      </c>
      <c r="Q336" s="310">
        <v>0.15367144042324585</v>
      </c>
      <c r="R336" s="310">
        <v>0.14967502321262771</v>
      </c>
      <c r="S336" s="310">
        <v>0.14869146326918986</v>
      </c>
      <c r="T336" s="310">
        <v>0.14745632129631925</v>
      </c>
      <c r="U336" s="310">
        <v>0.1506763486059223</v>
      </c>
      <c r="V336" s="310">
        <v>0.14987425993302647</v>
      </c>
      <c r="W336" s="310">
        <v>0.14907633502161402</v>
      </c>
      <c r="X336" s="310">
        <v>0.15576773511903305</v>
      </c>
    </row>
    <row r="337" spans="2:24">
      <c r="B337" s="305" t="s">
        <v>600</v>
      </c>
      <c r="C337" s="310"/>
      <c r="D337" s="310">
        <v>2.8307393812721515E-2</v>
      </c>
      <c r="E337" s="310">
        <v>2.5375912503217104E-2</v>
      </c>
      <c r="F337" s="310">
        <v>2.4207564736203738E-2</v>
      </c>
      <c r="G337" s="310">
        <v>2.6734290608817303E-2</v>
      </c>
      <c r="H337" s="310">
        <v>2.6674021017758971E-2</v>
      </c>
      <c r="I337" s="310">
        <v>2.9155216023196661E-2</v>
      </c>
      <c r="J337" s="310">
        <v>2.6965447412823321E-2</v>
      </c>
      <c r="K337" s="310">
        <v>2.6441650044039321E-2</v>
      </c>
      <c r="L337" s="310">
        <v>2.0933520344794867E-2</v>
      </c>
      <c r="M337" s="310">
        <v>2.1956809254964633E-2</v>
      </c>
      <c r="N337" s="310">
        <v>2.2368796252608264E-2</v>
      </c>
      <c r="O337" s="310">
        <v>2.5803393355204367E-2</v>
      </c>
      <c r="P337" s="310">
        <v>2.7717364591848849E-2</v>
      </c>
      <c r="Q337" s="310">
        <v>2.9662572932392186E-2</v>
      </c>
      <c r="R337" s="310">
        <v>2.9038997214484684E-2</v>
      </c>
      <c r="S337" s="310">
        <v>2.9375314365125044E-2</v>
      </c>
      <c r="T337" s="310">
        <v>2.8575689042423646E-2</v>
      </c>
      <c r="U337" s="310">
        <v>2.8587593339848227E-2</v>
      </c>
      <c r="V337" s="310">
        <v>2.9181350970590436E-2</v>
      </c>
      <c r="W337" s="310">
        <v>2.8158623605442773E-2</v>
      </c>
      <c r="X337" s="310">
        <v>3.1231809977548312E-2</v>
      </c>
    </row>
    <row r="338" spans="2:24">
      <c r="B338" s="305" t="s">
        <v>103</v>
      </c>
      <c r="C338" s="310"/>
      <c r="D338" s="310">
        <v>3.3257036410196658E-2</v>
      </c>
      <c r="E338" s="310">
        <v>3.0781284888765078E-2</v>
      </c>
      <c r="F338" s="310">
        <v>2.7207484304357335E-2</v>
      </c>
      <c r="G338" s="310">
        <v>3.0376458011517067E-2</v>
      </c>
      <c r="H338" s="310">
        <v>3.2097231183918697E-2</v>
      </c>
      <c r="I338" s="310">
        <v>3.348399138716332E-2</v>
      </c>
      <c r="J338" s="310">
        <v>3.1685472553557262E-2</v>
      </c>
      <c r="K338" s="310">
        <v>2.9251322317882775E-2</v>
      </c>
      <c r="L338" s="310">
        <v>-2.8277111832081231E-2</v>
      </c>
      <c r="M338" s="310">
        <v>3.0196873813740373E-2</v>
      </c>
      <c r="N338" s="310">
        <v>2.8861954238473868E-2</v>
      </c>
      <c r="O338" s="310">
        <v>3.223749748187818E-2</v>
      </c>
      <c r="P338" s="310">
        <v>3.2565157168863004E-2</v>
      </c>
      <c r="Q338" s="310">
        <v>3.5945979028112127E-2</v>
      </c>
      <c r="R338" s="310">
        <v>3.6693361188486533E-2</v>
      </c>
      <c r="S338" s="310">
        <v>3.5457793403128865E-2</v>
      </c>
      <c r="T338" s="310">
        <v>3.648880383726421E-2</v>
      </c>
      <c r="U338" s="310">
        <v>3.8065357765735101E-2</v>
      </c>
      <c r="V338" s="310">
        <v>3.9648717802423523E-2</v>
      </c>
      <c r="W338" s="310">
        <v>3.9250368862006779E-2</v>
      </c>
      <c r="X338" s="310">
        <v>4.8356722543154679E-2</v>
      </c>
    </row>
    <row r="339" spans="2:24">
      <c r="B339" s="305" t="s">
        <v>188</v>
      </c>
      <c r="C339" s="310"/>
      <c r="D339" s="310">
        <v>2.8307393812721515E-2</v>
      </c>
      <c r="E339" s="310">
        <v>2.5375912503217104E-2</v>
      </c>
      <c r="F339" s="310">
        <v>2.4207564736203717E-2</v>
      </c>
      <c r="G339" s="310">
        <v>2.6734290608817303E-2</v>
      </c>
      <c r="H339" s="310">
        <v>2.7834121687267246E-2</v>
      </c>
      <c r="I339" s="310">
        <v>2.9597284780776438E-2</v>
      </c>
      <c r="J339" s="310">
        <v>2.7694923633597466E-2</v>
      </c>
      <c r="K339" s="310">
        <v>2.5318768961159043E-2</v>
      </c>
      <c r="L339" s="310">
        <v>-3.2898475873761261E-2</v>
      </c>
      <c r="M339" s="310">
        <v>2.450188252675992E-2</v>
      </c>
      <c r="N339" s="310">
        <v>2.4299149164355351E-2</v>
      </c>
      <c r="O339" s="310">
        <v>2.8005754816968025E-2</v>
      </c>
      <c r="P339" s="310">
        <v>2.8463289863947454E-2</v>
      </c>
      <c r="Q339" s="310">
        <v>3.1750241407918177E-2</v>
      </c>
      <c r="R339" s="310">
        <v>3.2619545032497671E-2</v>
      </c>
      <c r="S339" s="310">
        <v>3.1413178186041925E-2</v>
      </c>
      <c r="T339" s="310">
        <v>3.2030220940925017E-2</v>
      </c>
      <c r="U339" s="310">
        <v>3.3618710519056058E-2</v>
      </c>
      <c r="V339" s="310">
        <v>3.5097497926276387E-2</v>
      </c>
      <c r="W339" s="310">
        <v>3.4522032494369997E-2</v>
      </c>
      <c r="X339" s="310">
        <v>4.27071155699255E-2</v>
      </c>
    </row>
    <row r="340" spans="2:24">
      <c r="B340" s="305" t="s">
        <v>172</v>
      </c>
      <c r="C340" s="310"/>
      <c r="D340" s="310">
        <v>7.0663549815529738E-3</v>
      </c>
      <c r="E340" s="310">
        <v>7.3239781676004666E-3</v>
      </c>
      <c r="F340" s="310">
        <v>8.4976649209279626E-3</v>
      </c>
      <c r="G340" s="310">
        <v>1.014774286065191E-2</v>
      </c>
      <c r="H340" s="310">
        <v>1.1591700804281842E-2</v>
      </c>
      <c r="I340" s="310">
        <v>1.251920918650137E-2</v>
      </c>
      <c r="J340" s="310">
        <v>1.1810025214562165E-2</v>
      </c>
      <c r="K340" s="310">
        <v>1.0014864475970693E-2</v>
      </c>
      <c r="L340" s="310">
        <v>-3.4559512018577508E-2</v>
      </c>
      <c r="M340" s="310">
        <v>8.8250628340231473E-3</v>
      </c>
      <c r="N340" s="310">
        <v>1.0477911922106373E-2</v>
      </c>
      <c r="O340" s="310">
        <v>1.5269250392342421E-2</v>
      </c>
      <c r="P340" s="310">
        <v>1.4787689338647117E-2</v>
      </c>
      <c r="Q340" s="310">
        <v>1.7075360071810354E-2</v>
      </c>
      <c r="R340" s="310">
        <v>1.768802228412256E-2</v>
      </c>
      <c r="S340" s="310">
        <v>1.7314064371606798E-2</v>
      </c>
      <c r="T340" s="310">
        <v>1.726768894301265E-2</v>
      </c>
      <c r="U340" s="310">
        <v>2.866240549121191E-2</v>
      </c>
      <c r="V340" s="310">
        <v>2.0618737683837245E-2</v>
      </c>
      <c r="W340" s="310">
        <v>1.8758035151902119E-2</v>
      </c>
      <c r="X340" s="310">
        <v>2.6653427183658696E-2</v>
      </c>
    </row>
    <row r="341" spans="2:24">
      <c r="B341" s="305"/>
      <c r="C341" s="310"/>
      <c r="D341" s="310"/>
      <c r="E341" s="310"/>
      <c r="F341" s="310"/>
      <c r="G341" s="310"/>
      <c r="H341" s="310"/>
      <c r="I341" s="310"/>
      <c r="J341" s="310"/>
      <c r="K341" s="310"/>
      <c r="L341" s="310"/>
      <c r="M341" s="310"/>
      <c r="N341" s="310"/>
      <c r="O341" s="310"/>
      <c r="P341" s="310"/>
      <c r="Q341" s="310"/>
      <c r="R341" s="310"/>
      <c r="S341" s="310"/>
      <c r="T341" s="310"/>
      <c r="U341" s="310"/>
      <c r="V341" s="310"/>
      <c r="W341" s="310"/>
      <c r="X341" s="310"/>
    </row>
    <row r="342" spans="2:24">
      <c r="B342" s="71" t="s">
        <v>480</v>
      </c>
    </row>
    <row r="343" spans="2:24">
      <c r="B343" s="305" t="s">
        <v>171</v>
      </c>
      <c r="C343" s="310"/>
      <c r="D343" s="310">
        <v>0.14707627631446124</v>
      </c>
      <c r="E343" s="310">
        <v>0.15195074334884584</v>
      </c>
      <c r="F343" s="310">
        <v>0.15477898919030253</v>
      </c>
      <c r="G343" s="310">
        <v>0.16009768598845681</v>
      </c>
      <c r="H343" s="310">
        <v>0.15303789323818298</v>
      </c>
      <c r="I343" s="310">
        <v>0.15619263634520963</v>
      </c>
      <c r="J343" s="310">
        <v>0.15859333237335713</v>
      </c>
      <c r="K343" s="310">
        <v>0.15585475794842385</v>
      </c>
      <c r="L343" s="310">
        <v>0.1619467475473936</v>
      </c>
      <c r="M343" s="310">
        <v>0.17142890602506966</v>
      </c>
      <c r="N343" s="310">
        <v>0.15919515266276976</v>
      </c>
      <c r="O343" s="310">
        <v>0.15799952794228073</v>
      </c>
      <c r="P343" s="310">
        <v>0.14944315886625373</v>
      </c>
      <c r="Q343" s="310">
        <v>0.14492731523097679</v>
      </c>
      <c r="R343" s="310">
        <v>0.14569874950303852</v>
      </c>
      <c r="S343" s="310">
        <v>0.1442719283931681</v>
      </c>
      <c r="T343" s="310">
        <v>0.14650310830327179</v>
      </c>
      <c r="U343" s="310">
        <v>0.14843318535017996</v>
      </c>
      <c r="V343" s="310">
        <v>0.14869750592990916</v>
      </c>
      <c r="W343" s="310">
        <v>0.15078297547285741</v>
      </c>
      <c r="X343" s="310">
        <v>0.16521683038758561</v>
      </c>
    </row>
    <row r="344" spans="2:24">
      <c r="B344" s="305" t="s">
        <v>600</v>
      </c>
      <c r="C344" s="310"/>
      <c r="D344" s="310">
        <v>3.3244602980469815E-2</v>
      </c>
      <c r="E344" s="310">
        <v>3.2866793748533053E-2</v>
      </c>
      <c r="F344" s="310">
        <v>3.2655698463635335E-2</v>
      </c>
      <c r="G344" s="310">
        <v>3.2605962961651497E-2</v>
      </c>
      <c r="H344" s="310">
        <v>2.6469388502332911E-2</v>
      </c>
      <c r="I344" s="310">
        <v>2.9517605061654146E-2</v>
      </c>
      <c r="J344" s="310">
        <v>3.5061652171683222E-2</v>
      </c>
      <c r="K344" s="310">
        <v>3.0880821624036398E-2</v>
      </c>
      <c r="L344" s="310">
        <v>2.6631885926056663E-2</v>
      </c>
      <c r="M344" s="310">
        <v>2.8495216327526284E-2</v>
      </c>
      <c r="N344" s="310">
        <v>2.8487599490957707E-2</v>
      </c>
      <c r="O344" s="310">
        <v>3.2617708085756598E-2</v>
      </c>
      <c r="P344" s="310">
        <v>3.1737403191503581E-2</v>
      </c>
      <c r="Q344" s="310">
        <v>3.4833344003939663E-2</v>
      </c>
      <c r="R344" s="310">
        <v>3.3521203547352975E-2</v>
      </c>
      <c r="S344" s="310">
        <v>3.388665229877625E-2</v>
      </c>
      <c r="T344" s="310">
        <v>3.380649494122312E-2</v>
      </c>
      <c r="U344" s="310">
        <v>3.3689774086479635E-2</v>
      </c>
      <c r="V344" s="310">
        <v>3.6241274512863048E-2</v>
      </c>
      <c r="W344" s="310">
        <v>3.3112472807585662E-2</v>
      </c>
      <c r="X344" s="310">
        <v>4.7807736965296076E-2</v>
      </c>
    </row>
    <row r="345" spans="2:24">
      <c r="B345" s="305" t="s">
        <v>103</v>
      </c>
      <c r="C345" s="310"/>
      <c r="D345" s="310">
        <v>3.7616984919186226E-2</v>
      </c>
      <c r="E345" s="310">
        <v>3.7178202040149398E-2</v>
      </c>
      <c r="F345" s="310">
        <v>3.524090467743176E-2</v>
      </c>
      <c r="G345" s="310">
        <v>3.5928260330724826E-2</v>
      </c>
      <c r="H345" s="310">
        <v>1.9951304803485094E-2</v>
      </c>
      <c r="I345" s="310">
        <v>3.0731256250429259E-2</v>
      </c>
      <c r="J345" s="310">
        <v>3.664857177235939E-2</v>
      </c>
      <c r="K345" s="310">
        <v>3.1363693741761491E-2</v>
      </c>
      <c r="L345" s="310">
        <v>8.8677446951205378E-3</v>
      </c>
      <c r="M345" s="310">
        <v>2.6012068390640398E-2</v>
      </c>
      <c r="N345" s="310">
        <v>2.6242070265043604E-2</v>
      </c>
      <c r="O345" s="310">
        <v>3.4072698533578187E-2</v>
      </c>
      <c r="P345" s="310">
        <v>3.2764676769973647E-2</v>
      </c>
      <c r="Q345" s="310">
        <v>3.2768105150359682E-2</v>
      </c>
      <c r="R345" s="310">
        <v>2.8482708953581591E-2</v>
      </c>
      <c r="S345" s="310">
        <v>2.9031916749627674E-2</v>
      </c>
      <c r="T345" s="310">
        <v>3.4182702322602974E-2</v>
      </c>
      <c r="U345" s="310">
        <v>3.4149958478286474E-2</v>
      </c>
      <c r="V345" s="310">
        <v>3.4270987930895676E-2</v>
      </c>
      <c r="W345" s="310">
        <v>3.55950779654262E-2</v>
      </c>
      <c r="X345" s="310">
        <v>5.0784201699257264E-2</v>
      </c>
    </row>
    <row r="346" spans="2:24">
      <c r="B346" s="305" t="s">
        <v>188</v>
      </c>
      <c r="C346" s="310"/>
      <c r="D346" s="310">
        <v>3.3144774362226188E-2</v>
      </c>
      <c r="E346" s="310">
        <v>3.2834764714213434E-2</v>
      </c>
      <c r="F346" s="310">
        <v>3.2407736968140394E-2</v>
      </c>
      <c r="G346" s="310">
        <v>3.2745609220636657E-2</v>
      </c>
      <c r="H346" s="310">
        <v>1.7037615042999738E-2</v>
      </c>
      <c r="I346" s="310">
        <v>2.7560686747331056E-2</v>
      </c>
      <c r="J346" s="310">
        <v>3.3667056574817979E-2</v>
      </c>
      <c r="K346" s="310">
        <v>2.8094960782869126E-2</v>
      </c>
      <c r="L346" s="310">
        <v>4.3308495253079754E-3</v>
      </c>
      <c r="M346" s="310">
        <v>2.0305114758865296E-2</v>
      </c>
      <c r="N346" s="310">
        <v>2.1440075626650772E-2</v>
      </c>
      <c r="O346" s="310">
        <v>2.9621375168283642E-2</v>
      </c>
      <c r="P346" s="310">
        <v>2.8546702157542032E-2</v>
      </c>
      <c r="Q346" s="310">
        <v>2.8751098409040627E-2</v>
      </c>
      <c r="R346" s="310">
        <v>2.4221844297113805E-2</v>
      </c>
      <c r="S346" s="310">
        <v>2.4589031465303803E-2</v>
      </c>
      <c r="T346" s="310">
        <v>2.9476987240177183E-2</v>
      </c>
      <c r="U346" s="310">
        <v>2.8944717766899983E-2</v>
      </c>
      <c r="V346" s="310">
        <v>2.8489768180587134E-2</v>
      </c>
      <c r="W346" s="310">
        <v>2.9650110430262878E-2</v>
      </c>
      <c r="X346" s="310">
        <v>4.1587570725593909E-2</v>
      </c>
    </row>
    <row r="347" spans="2:24">
      <c r="B347" s="305" t="s">
        <v>172</v>
      </c>
      <c r="C347" s="310"/>
      <c r="D347" s="310">
        <v>1.1380462479776338E-2</v>
      </c>
      <c r="E347" s="310">
        <v>1.387307594334264E-2</v>
      </c>
      <c r="F347" s="310">
        <v>1.5913433201308672E-2</v>
      </c>
      <c r="G347" s="310">
        <v>1.684740271236854E-2</v>
      </c>
      <c r="H347" s="310">
        <v>5.111468504423065E-3</v>
      </c>
      <c r="I347" s="310">
        <v>1.177116016342831E-2</v>
      </c>
      <c r="J347" s="310">
        <v>1.4529503159702563E-2</v>
      </c>
      <c r="K347" s="310">
        <v>1.0629130593992144E-2</v>
      </c>
      <c r="L347" s="310">
        <v>-5.2156961857856114E-3</v>
      </c>
      <c r="M347" s="310">
        <v>7.6993495159982731E-3</v>
      </c>
      <c r="N347" s="310">
        <v>9.1309596783108304E-3</v>
      </c>
      <c r="O347" s="310">
        <v>1.3552168545988206E-2</v>
      </c>
      <c r="P347" s="310">
        <v>1.2699134575513971E-2</v>
      </c>
      <c r="Q347" s="310">
        <v>1.2224926812908913E-2</v>
      </c>
      <c r="R347" s="310">
        <v>8.9919499000240405E-3</v>
      </c>
      <c r="S347" s="310">
        <v>8.5026059240037952E-3</v>
      </c>
      <c r="T347" s="310">
        <v>1.2968316651989433E-2</v>
      </c>
      <c r="U347" s="310">
        <v>1.8501712574147681E-2</v>
      </c>
      <c r="V347" s="310">
        <v>1.3132600511078099E-2</v>
      </c>
      <c r="W347" s="310">
        <v>1.3915873727561071E-2</v>
      </c>
      <c r="X347" s="310">
        <v>2.5451998746751685E-2</v>
      </c>
    </row>
    <row r="348" spans="2:24">
      <c r="B348" s="305"/>
      <c r="C348" s="310"/>
      <c r="D348" s="310"/>
      <c r="E348" s="310"/>
      <c r="F348" s="310"/>
      <c r="G348" s="310"/>
      <c r="H348" s="310"/>
      <c r="I348" s="310"/>
      <c r="J348" s="310"/>
      <c r="K348" s="310"/>
      <c r="L348" s="310"/>
      <c r="M348" s="310"/>
      <c r="N348" s="310"/>
      <c r="O348" s="310"/>
      <c r="P348" s="310"/>
      <c r="Q348" s="310"/>
      <c r="R348" s="310"/>
      <c r="S348" s="310"/>
      <c r="T348" s="310"/>
      <c r="U348" s="310"/>
      <c r="V348" s="310"/>
      <c r="W348" s="310"/>
      <c r="X348" s="310"/>
    </row>
    <row r="349" spans="2:24">
      <c r="B349" s="71" t="s">
        <v>481</v>
      </c>
    </row>
    <row r="350" spans="2:24">
      <c r="B350" s="305" t="s">
        <v>171</v>
      </c>
      <c r="C350" s="310"/>
      <c r="D350" s="310">
        <v>0.16132112954755512</v>
      </c>
      <c r="E350" s="310">
        <v>0.16361144743613568</v>
      </c>
      <c r="F350" s="310">
        <v>0.15768166060850838</v>
      </c>
      <c r="G350" s="310">
        <v>0.16037743355684617</v>
      </c>
      <c r="H350" s="310">
        <v>0.16834562357323088</v>
      </c>
      <c r="I350" s="310">
        <v>0.17242323696267997</v>
      </c>
      <c r="J350" s="310">
        <v>0.16971162604234491</v>
      </c>
      <c r="K350" s="310">
        <v>0.16919907760202621</v>
      </c>
      <c r="L350" s="310">
        <v>0.1730953819901169</v>
      </c>
      <c r="M350" s="310">
        <v>0.18842747018118527</v>
      </c>
      <c r="N350" s="310">
        <v>0.17894086971370779</v>
      </c>
      <c r="O350" s="310">
        <v>0.1694986959871968</v>
      </c>
      <c r="P350" s="310">
        <v>0.16261182389679205</v>
      </c>
      <c r="Q350" s="310">
        <v>0.15751186607049031</v>
      </c>
      <c r="R350" s="310">
        <v>0.15274066911722967</v>
      </c>
      <c r="S350" s="310">
        <v>0.14949088610080144</v>
      </c>
      <c r="T350" s="310">
        <v>0.14995292203171717</v>
      </c>
      <c r="U350" s="310">
        <v>0.15030828304339156</v>
      </c>
      <c r="V350" s="310">
        <v>0.15032060500448341</v>
      </c>
      <c r="W350" s="310">
        <v>0.15417393294246681</v>
      </c>
      <c r="X350" s="310">
        <v>0.17178059020290606</v>
      </c>
    </row>
    <row r="351" spans="2:24">
      <c r="B351" s="305" t="s">
        <v>600</v>
      </c>
      <c r="C351" s="310"/>
      <c r="D351" s="310">
        <v>3.886625616253598E-2</v>
      </c>
      <c r="E351" s="310">
        <v>3.10476044048969E-2</v>
      </c>
      <c r="F351" s="310">
        <v>2.9808242460958537E-2</v>
      </c>
      <c r="G351" s="310">
        <v>3.1918415024137607E-2</v>
      </c>
      <c r="H351" s="310">
        <v>3.6080740117746007E-2</v>
      </c>
      <c r="I351" s="310">
        <v>4.211771372704963E-2</v>
      </c>
      <c r="J351" s="310">
        <v>3.6193141025196551E-2</v>
      </c>
      <c r="K351" s="310">
        <v>2.9023600800372543E-2</v>
      </c>
      <c r="L351" s="310">
        <v>1.9285678200620816E-2</v>
      </c>
      <c r="M351" s="310">
        <v>2.4056273455609761E-2</v>
      </c>
      <c r="N351" s="310">
        <v>2.9668352100161496E-2</v>
      </c>
      <c r="O351" s="310">
        <v>4.1997732795921998E-2</v>
      </c>
      <c r="P351" s="310">
        <v>4.4771470534936575E-2</v>
      </c>
      <c r="Q351" s="310">
        <v>4.6737326777089618E-2</v>
      </c>
      <c r="R351" s="310">
        <v>4.4441096883565137E-2</v>
      </c>
      <c r="S351" s="310">
        <v>4.4955324422462549E-2</v>
      </c>
      <c r="T351" s="310">
        <v>4.0925048947604889E-2</v>
      </c>
      <c r="U351" s="310">
        <v>4.2173754846820156E-2</v>
      </c>
      <c r="V351" s="310">
        <v>3.7305226115350129E-2</v>
      </c>
      <c r="W351" s="310">
        <v>3.9447000244620334E-2</v>
      </c>
      <c r="X351" s="310">
        <v>5.219325983100051E-2</v>
      </c>
    </row>
    <row r="352" spans="2:24">
      <c r="B352" s="305" t="s">
        <v>103</v>
      </c>
      <c r="C352" s="310"/>
      <c r="D352" s="310">
        <v>4.3883104597762831E-2</v>
      </c>
      <c r="E352" s="310">
        <v>3.5780177963984396E-2</v>
      </c>
      <c r="F352" s="310">
        <v>3.2807872240172321E-2</v>
      </c>
      <c r="G352" s="310">
        <v>3.5356645827216371E-2</v>
      </c>
      <c r="H352" s="310">
        <v>4.1212979094076653E-2</v>
      </c>
      <c r="I352" s="310">
        <v>4.7352489639506008E-2</v>
      </c>
      <c r="J352" s="310">
        <v>4.1875335261751578E-2</v>
      </c>
      <c r="K352" s="310">
        <v>3.5404462440365811E-2</v>
      </c>
      <c r="L352" s="310">
        <v>-0.11009942913382144</v>
      </c>
      <c r="M352" s="310">
        <v>3.1566070147457721E-2</v>
      </c>
      <c r="N352" s="310">
        <v>2.8918210656981289E-2</v>
      </c>
      <c r="O352" s="310">
        <v>4.7201558888032721E-2</v>
      </c>
      <c r="P352" s="310">
        <v>4.6598403672319537E-2</v>
      </c>
      <c r="Q352" s="310">
        <v>5.1377657461813012E-2</v>
      </c>
      <c r="R352" s="310">
        <v>4.8279269194479141E-2</v>
      </c>
      <c r="S352" s="310">
        <v>4.3503438089216875E-2</v>
      </c>
      <c r="T352" s="310">
        <v>4.3910129766032119E-2</v>
      </c>
      <c r="U352" s="310">
        <v>4.7479554375100999E-2</v>
      </c>
      <c r="V352" s="310">
        <v>4.4935456037355978E-2</v>
      </c>
      <c r="W352" s="310">
        <v>4.6651463381915455E-2</v>
      </c>
      <c r="X352" s="310">
        <v>6.6845469853630296E-2</v>
      </c>
    </row>
    <row r="353" spans="2:24">
      <c r="B353" s="305" t="s">
        <v>188</v>
      </c>
      <c r="C353" s="310"/>
      <c r="D353" s="310">
        <v>3.9297942676130813E-2</v>
      </c>
      <c r="E353" s="310">
        <v>3.0828726214346878E-2</v>
      </c>
      <c r="F353" s="310">
        <v>2.9520900646203555E-2</v>
      </c>
      <c r="G353" s="310">
        <v>3.1540058452310761E-2</v>
      </c>
      <c r="H353" s="310">
        <v>3.6425792983299288E-2</v>
      </c>
      <c r="I353" s="310">
        <v>4.2451900586948553E-2</v>
      </c>
      <c r="J353" s="310">
        <v>3.6495073582666175E-2</v>
      </c>
      <c r="K353" s="310">
        <v>2.8917356658168167E-2</v>
      </c>
      <c r="L353" s="310">
        <v>-0.1183939219872355</v>
      </c>
      <c r="M353" s="310">
        <v>2.1134558384281851E-2</v>
      </c>
      <c r="N353" s="310">
        <v>2.0672284361310151E-2</v>
      </c>
      <c r="O353" s="310">
        <v>4.1042321142789405E-2</v>
      </c>
      <c r="P353" s="310">
        <v>4.1433902801367828E-2</v>
      </c>
      <c r="Q353" s="310">
        <v>4.6376095956087118E-2</v>
      </c>
      <c r="R353" s="310">
        <v>4.3388470381939791E-2</v>
      </c>
      <c r="S353" s="310">
        <v>3.8213678808868279E-2</v>
      </c>
      <c r="T353" s="310">
        <v>3.8221249050921759E-2</v>
      </c>
      <c r="U353" s="310">
        <v>4.1756861392096972E-2</v>
      </c>
      <c r="V353" s="310">
        <v>3.8557192887475257E-2</v>
      </c>
      <c r="W353" s="310">
        <v>4.0149297308387316E-2</v>
      </c>
      <c r="X353" s="310">
        <v>5.7603072163848738E-2</v>
      </c>
    </row>
    <row r="354" spans="2:24">
      <c r="B354" s="305" t="s">
        <v>172</v>
      </c>
      <c r="C354" s="310"/>
      <c r="D354" s="310">
        <v>1.4658651124344411E-2</v>
      </c>
      <c r="E354" s="310">
        <v>1.1613356481036606E-2</v>
      </c>
      <c r="F354" s="310">
        <v>1.3595516962843297E-2</v>
      </c>
      <c r="G354" s="310">
        <v>1.417822623574598E-2</v>
      </c>
      <c r="H354" s="310">
        <v>1.6548269854619727E-2</v>
      </c>
      <c r="I354" s="310">
        <v>1.9630059003442862E-2</v>
      </c>
      <c r="J354" s="310">
        <v>1.271299955182871E-2</v>
      </c>
      <c r="K354" s="310">
        <v>7.7210289776238001E-3</v>
      </c>
      <c r="L354" s="310">
        <v>-9.3155406201878177E-2</v>
      </c>
      <c r="M354" s="310">
        <v>3.4664997441855826E-3</v>
      </c>
      <c r="N354" s="310">
        <v>6.6147556903318533E-3</v>
      </c>
      <c r="O354" s="310">
        <v>2.065934147353447E-2</v>
      </c>
      <c r="P354" s="310">
        <v>2.0301300743829236E-2</v>
      </c>
      <c r="Q354" s="310">
        <v>2.6265749551457173E-2</v>
      </c>
      <c r="R354" s="310">
        <v>2.5145046885846973E-2</v>
      </c>
      <c r="S354" s="310">
        <v>2.3269727368858475E-2</v>
      </c>
      <c r="T354" s="310">
        <v>2.2707355951269381E-2</v>
      </c>
      <c r="U354" s="310">
        <v>2.4311382232308307E-2</v>
      </c>
      <c r="V354" s="310">
        <v>2.2476187253624776E-2</v>
      </c>
      <c r="W354" s="310">
        <v>2.1424005934015639E-2</v>
      </c>
      <c r="X354" s="310">
        <v>3.5834292114627068E-2</v>
      </c>
    </row>
    <row r="355" spans="2:24">
      <c r="B355" s="305"/>
      <c r="C355" s="310"/>
      <c r="D355" s="310"/>
      <c r="E355" s="310"/>
      <c r="F355" s="310"/>
      <c r="G355" s="310"/>
      <c r="H355" s="310"/>
      <c r="I355" s="310"/>
      <c r="J355" s="310"/>
      <c r="K355" s="310"/>
      <c r="L355" s="310"/>
      <c r="M355" s="310"/>
      <c r="N355" s="310"/>
      <c r="O355" s="310"/>
      <c r="P355" s="310"/>
      <c r="Q355" s="310"/>
      <c r="R355" s="310"/>
      <c r="S355" s="310"/>
      <c r="T355" s="310"/>
      <c r="U355" s="310"/>
      <c r="V355" s="310"/>
      <c r="W355" s="310"/>
      <c r="X355" s="310"/>
    </row>
    <row r="356" spans="2:24">
      <c r="B356" s="71" t="s">
        <v>482</v>
      </c>
    </row>
    <row r="357" spans="2:24">
      <c r="B357" s="305" t="s">
        <v>171</v>
      </c>
      <c r="C357" s="310"/>
      <c r="D357" s="310">
        <v>0.14294761350561322</v>
      </c>
      <c r="E357" s="310">
        <v>0.15380778551566765</v>
      </c>
      <c r="F357" s="310">
        <v>0.15428195244954229</v>
      </c>
      <c r="G357" s="310">
        <v>1</v>
      </c>
      <c r="H357" s="310">
        <v>0.15370970335135137</v>
      </c>
      <c r="I357" s="310">
        <v>0.15370542618355576</v>
      </c>
      <c r="J357" s="310">
        <v>0.15463867997211256</v>
      </c>
      <c r="K357" s="310">
        <v>0.15493911250096412</v>
      </c>
      <c r="L357" s="310">
        <v>0.16330995549793409</v>
      </c>
      <c r="M357" s="310">
        <v>0.17032249899660934</v>
      </c>
      <c r="N357" s="310">
        <v>0.16202372848447075</v>
      </c>
      <c r="O357" s="310">
        <v>0.15396745177464272</v>
      </c>
      <c r="P357" s="310">
        <v>0.14791127047524413</v>
      </c>
      <c r="Q357" s="310">
        <v>0.14736890670854613</v>
      </c>
      <c r="R357" s="310">
        <v>0.14864089208999495</v>
      </c>
      <c r="S357" s="310">
        <v>0.14705081377874901</v>
      </c>
      <c r="T357" s="310">
        <v>0.14694219833804262</v>
      </c>
      <c r="U357" s="310">
        <v>0.14779510070123186</v>
      </c>
      <c r="V357" s="310">
        <v>0.14537739043754644</v>
      </c>
      <c r="W357" s="310">
        <v>0.14549187835141822</v>
      </c>
      <c r="X357" s="310">
        <v>0.14576009809315846</v>
      </c>
    </row>
    <row r="358" spans="2:24">
      <c r="B358" s="305" t="s">
        <v>600</v>
      </c>
      <c r="C358" s="310"/>
      <c r="D358" s="310">
        <v>3.4550653319401839E-2</v>
      </c>
      <c r="E358" s="310">
        <v>3.1762289585028962E-2</v>
      </c>
      <c r="F358" s="310">
        <v>3.3263541372773216E-2</v>
      </c>
      <c r="G358" s="310">
        <v>2.9472798315092759E-2</v>
      </c>
      <c r="H358" s="310">
        <v>3.0467502844272625E-2</v>
      </c>
      <c r="I358" s="310">
        <v>3.1805837073209581E-2</v>
      </c>
      <c r="J358" s="310">
        <v>3.2958550058617128E-2</v>
      </c>
      <c r="K358" s="310">
        <v>3.5825284909930304E-2</v>
      </c>
      <c r="L358" s="310">
        <v>2.2996048237747362E-2</v>
      </c>
      <c r="M358" s="310">
        <v>2.6908974316948189E-2</v>
      </c>
      <c r="N358" s="310">
        <v>2.6576826912512473E-2</v>
      </c>
      <c r="O358" s="310">
        <v>2.7911491837280731E-2</v>
      </c>
      <c r="P358" s="310">
        <v>2.8837836687678434E-2</v>
      </c>
      <c r="Q358" s="310">
        <v>2.7656943755902868E-2</v>
      </c>
      <c r="R358" s="310">
        <v>2.5541423442326752E-2</v>
      </c>
      <c r="S358" s="310">
        <v>2.4650938213785754E-2</v>
      </c>
      <c r="T358" s="310">
        <v>2.4792178285183E-2</v>
      </c>
      <c r="U358" s="310">
        <v>2.2372995481599253E-2</v>
      </c>
      <c r="V358" s="310">
        <v>2.0838495804204958E-2</v>
      </c>
      <c r="W358" s="310">
        <v>2.4708678488930397E-2</v>
      </c>
      <c r="X358" s="310">
        <v>3.0276208497925991E-2</v>
      </c>
    </row>
    <row r="359" spans="2:24">
      <c r="B359" s="305" t="s">
        <v>103</v>
      </c>
      <c r="C359" s="310"/>
      <c r="D359" s="310">
        <v>3.8321176325193197E-2</v>
      </c>
      <c r="E359" s="310">
        <v>3.585153308366041E-2</v>
      </c>
      <c r="F359" s="310">
        <v>3.5010815278994599E-2</v>
      </c>
      <c r="G359" s="310">
        <v>2.9185346197123627E-2</v>
      </c>
      <c r="H359" s="310">
        <v>3.3864050595311897E-2</v>
      </c>
      <c r="I359" s="310">
        <v>3.5830775049138584E-2</v>
      </c>
      <c r="J359" s="310">
        <v>3.6584457193949781E-2</v>
      </c>
      <c r="K359" s="310">
        <v>3.8873288294388353E-2</v>
      </c>
      <c r="L359" s="310">
        <v>-0.10537325660471904</v>
      </c>
      <c r="M359" s="310">
        <v>2.7709240604862368E-2</v>
      </c>
      <c r="N359" s="310">
        <v>3.0442195753892981E-2</v>
      </c>
      <c r="O359" s="310">
        <v>3.2409111917587927E-2</v>
      </c>
      <c r="P359" s="310">
        <v>3.0336378072332592E-2</v>
      </c>
      <c r="Q359" s="310">
        <v>2.821398394783408E-2</v>
      </c>
      <c r="R359" s="310">
        <v>3.1816336868832222E-2</v>
      </c>
      <c r="S359" s="310">
        <v>2.9032763840774273E-2</v>
      </c>
      <c r="T359" s="310">
        <v>3.1456632954776298E-2</v>
      </c>
      <c r="U359" s="310">
        <v>2.8752713026825825E-2</v>
      </c>
      <c r="V359" s="310">
        <v>2.7333713170606223E-2</v>
      </c>
      <c r="W359" s="310">
        <v>3.7682616688585788E-2</v>
      </c>
      <c r="X359" s="310">
        <v>1.2485868290522352E-2</v>
      </c>
    </row>
    <row r="360" spans="2:24">
      <c r="B360" s="305" t="s">
        <v>188</v>
      </c>
      <c r="C360" s="310"/>
      <c r="D360" s="310">
        <v>3.4568332034691264E-2</v>
      </c>
      <c r="E360" s="310">
        <v>3.1782013892855662E-2</v>
      </c>
      <c r="F360" s="310">
        <v>3.3741690549376577E-2</v>
      </c>
      <c r="G360" s="310">
        <v>2.7419975078953371E-2</v>
      </c>
      <c r="H360" s="310">
        <v>3.1477313669143726E-2</v>
      </c>
      <c r="I360" s="310">
        <v>3.3042894201304226E-2</v>
      </c>
      <c r="J360" s="310">
        <v>3.3586115733496701E-2</v>
      </c>
      <c r="K360" s="310">
        <v>3.5582149934514286E-2</v>
      </c>
      <c r="L360" s="310">
        <v>-0.11140131796109747</v>
      </c>
      <c r="M360" s="310">
        <v>2.1823279610953494E-2</v>
      </c>
      <c r="N360" s="310">
        <v>2.5313173790889605E-2</v>
      </c>
      <c r="O360" s="310">
        <v>2.6884593269145499E-2</v>
      </c>
      <c r="P360" s="310">
        <v>2.4660784070897168E-2</v>
      </c>
      <c r="Q360" s="310">
        <v>2.1925739734900435E-2</v>
      </c>
      <c r="R360" s="310">
        <v>2.535571270897486E-2</v>
      </c>
      <c r="S360" s="310">
        <v>2.1817485096836661E-2</v>
      </c>
      <c r="T360" s="310">
        <v>2.3423055537944291E-2</v>
      </c>
      <c r="U360" s="310">
        <v>1.9673447645980505E-2</v>
      </c>
      <c r="V360" s="310">
        <v>1.7864510637955792E-2</v>
      </c>
      <c r="W360" s="310">
        <v>2.9078154409129295E-2</v>
      </c>
      <c r="X360" s="310">
        <v>3.5194893192841805E-3</v>
      </c>
    </row>
    <row r="361" spans="2:24">
      <c r="B361" s="305" t="s">
        <v>172</v>
      </c>
      <c r="C361" s="310"/>
      <c r="D361" s="310">
        <v>1.2254819349965206E-2</v>
      </c>
      <c r="E361" s="310">
        <v>1.2517676924674285E-2</v>
      </c>
      <c r="F361" s="310">
        <v>1.5345604556064442E-2</v>
      </c>
      <c r="G361" s="310">
        <v>1.2486823334231322E-2</v>
      </c>
      <c r="H361" s="310">
        <v>1.2996577398906759E-2</v>
      </c>
      <c r="I361" s="310">
        <v>1.2909707004908915E-2</v>
      </c>
      <c r="J361" s="310">
        <v>1.2363909316446382E-2</v>
      </c>
      <c r="K361" s="310">
        <v>1.3774370023124812E-2</v>
      </c>
      <c r="L361" s="310">
        <v>-0.105078796628077</v>
      </c>
      <c r="M361" s="310">
        <v>9.0692496985750673E-3</v>
      </c>
      <c r="N361" s="310">
        <v>1.3807027161202898E-2</v>
      </c>
      <c r="O361" s="310">
        <v>9.7428954956973908E-3</v>
      </c>
      <c r="P361" s="310">
        <v>1.0744168766170643E-2</v>
      </c>
      <c r="Q361" s="310">
        <v>9.5075656144947163E-3</v>
      </c>
      <c r="R361" s="310">
        <v>1.0682498905361354E-2</v>
      </c>
      <c r="S361" s="310">
        <v>9.1492377782527324E-3</v>
      </c>
      <c r="T361" s="310">
        <v>9.7067555685347931E-3</v>
      </c>
      <c r="U361" s="310">
        <v>9.5333958704427839E-3</v>
      </c>
      <c r="V361" s="310">
        <v>5.259439910848776E-3</v>
      </c>
      <c r="W361" s="310">
        <v>1.382554599557332E-2</v>
      </c>
      <c r="X361" s="310">
        <v>-5.1872409271916716E-3</v>
      </c>
    </row>
    <row r="362" spans="2:24">
      <c r="B362" s="305"/>
      <c r="C362" s="310"/>
      <c r="D362" s="310"/>
      <c r="E362" s="310"/>
      <c r="F362" s="310"/>
      <c r="G362" s="310"/>
      <c r="H362" s="310"/>
      <c r="I362" s="310"/>
      <c r="J362" s="310"/>
      <c r="K362" s="310"/>
      <c r="L362" s="310"/>
      <c r="M362" s="310"/>
      <c r="N362" s="310"/>
      <c r="O362" s="310"/>
      <c r="P362" s="310"/>
      <c r="Q362" s="310"/>
      <c r="R362" s="310"/>
      <c r="S362" s="310"/>
      <c r="T362" s="310"/>
      <c r="U362" s="310"/>
      <c r="V362" s="310"/>
      <c r="W362" s="310"/>
      <c r="X362" s="310"/>
    </row>
    <row r="364" spans="2:24">
      <c r="B364" s="262" t="s">
        <v>493</v>
      </c>
    </row>
    <row r="365" spans="2:24">
      <c r="B365" s="71"/>
    </row>
    <row r="366" spans="2:24">
      <c r="B366" s="305" t="s">
        <v>260</v>
      </c>
      <c r="C366" s="81"/>
      <c r="D366" s="81">
        <v>2500.991</v>
      </c>
      <c r="E366" s="81">
        <v>3201.665</v>
      </c>
      <c r="F366" s="81">
        <v>3969.944</v>
      </c>
      <c r="G366" s="81">
        <v>4597.6909999999998</v>
      </c>
      <c r="H366" s="81">
        <v>5260.2619999999997</v>
      </c>
      <c r="I366" s="81">
        <v>6259.9669999999996</v>
      </c>
      <c r="J366" s="81">
        <v>7465.6559999999999</v>
      </c>
      <c r="K366" s="81">
        <v>8199.5709999999999</v>
      </c>
      <c r="L366" s="81">
        <v>6973.9660000000003</v>
      </c>
      <c r="M366" s="81">
        <v>7470.1930000000002</v>
      </c>
      <c r="N366" s="81">
        <v>8975.5540000000001</v>
      </c>
      <c r="O366" s="81">
        <v>10003.599</v>
      </c>
      <c r="P366" s="81">
        <v>10962.817999999999</v>
      </c>
      <c r="Q366" s="81">
        <v>12574.299000000001</v>
      </c>
      <c r="R366" s="81">
        <v>14268.716</v>
      </c>
      <c r="S366" s="81">
        <v>15149.674999999999</v>
      </c>
      <c r="T366" s="81">
        <v>15875.118</v>
      </c>
      <c r="U366" s="81">
        <v>17120.208999999999</v>
      </c>
      <c r="V366" s="81">
        <v>18173.099999999999</v>
      </c>
      <c r="W366" s="81">
        <v>20319.987000000001</v>
      </c>
      <c r="X366" s="81">
        <v>18950.149000000001</v>
      </c>
    </row>
    <row r="367" spans="2:24">
      <c r="B367" s="305" t="s">
        <v>205</v>
      </c>
      <c r="C367" s="81"/>
      <c r="D367" s="81">
        <v>710.95299999999997</v>
      </c>
      <c r="E367" s="81">
        <v>720.22199999999998</v>
      </c>
      <c r="F367" s="81">
        <v>917.61699999999996</v>
      </c>
      <c r="G367" s="81">
        <v>1047.8869999999999</v>
      </c>
      <c r="H367" s="81">
        <v>1293.0129999999999</v>
      </c>
      <c r="I367" s="81">
        <v>1509.6120000000001</v>
      </c>
      <c r="J367" s="81">
        <v>1885.5730000000001</v>
      </c>
      <c r="K367" s="81">
        <v>2333.1610000000001</v>
      </c>
      <c r="L367" s="81">
        <v>2379.1869999999999</v>
      </c>
      <c r="M367" s="81">
        <v>2556.1909999999998</v>
      </c>
      <c r="N367" s="81">
        <v>6839.9089999999997</v>
      </c>
      <c r="O367" s="81">
        <v>8331.5429999999997</v>
      </c>
      <c r="P367" s="81">
        <v>9888.6020000000008</v>
      </c>
      <c r="Q367" s="81">
        <v>11707.156999999999</v>
      </c>
      <c r="R367" s="81">
        <v>13198.200999999999</v>
      </c>
      <c r="S367" s="81">
        <v>14520.902</v>
      </c>
      <c r="T367" s="81">
        <v>16364.237999999999</v>
      </c>
      <c r="U367" s="81">
        <v>17569.792000000001</v>
      </c>
      <c r="V367" s="81">
        <v>18819.125</v>
      </c>
      <c r="W367" s="81">
        <v>21302.218000000001</v>
      </c>
      <c r="X367" s="81">
        <v>21759.483</v>
      </c>
    </row>
    <row r="368" spans="2:24">
      <c r="B368" s="305" t="s">
        <v>601</v>
      </c>
      <c r="C368" s="81"/>
      <c r="D368" s="81">
        <v>8.8019999999999996</v>
      </c>
      <c r="E368" s="81">
        <v>3.286</v>
      </c>
      <c r="F368" s="81">
        <v>34.615000000000002</v>
      </c>
      <c r="G368" s="81">
        <v>61.643000000000001</v>
      </c>
      <c r="H368" s="81">
        <v>17.123999999999999</v>
      </c>
      <c r="I368" s="81">
        <v>21.759</v>
      </c>
      <c r="J368" s="81">
        <v>19.454999999999998</v>
      </c>
      <c r="K368" s="81">
        <v>12.965</v>
      </c>
      <c r="L368" s="81">
        <v>140.59700000000001</v>
      </c>
      <c r="M368" s="81">
        <v>18.277999999999999</v>
      </c>
      <c r="N368" s="81">
        <v>202.173</v>
      </c>
      <c r="O368" s="81">
        <v>646.97199999999998</v>
      </c>
      <c r="P368" s="81">
        <v>673.65099999999995</v>
      </c>
      <c r="Q368" s="81">
        <v>887.2</v>
      </c>
      <c r="R368" s="81">
        <v>321.72800000000001</v>
      </c>
      <c r="S368" s="81">
        <v>381.22300000000001</v>
      </c>
      <c r="T368" s="81">
        <v>418.76900000000001</v>
      </c>
      <c r="U368" s="81">
        <v>443.96699999999998</v>
      </c>
      <c r="V368" s="81">
        <v>487.60700000000003</v>
      </c>
      <c r="W368" s="81">
        <v>539.25400000000002</v>
      </c>
      <c r="X368" s="81">
        <v>628.73400000000004</v>
      </c>
    </row>
    <row r="369" spans="2:24">
      <c r="B369" s="311" t="s">
        <v>476</v>
      </c>
      <c r="C369" s="312"/>
      <c r="D369" s="312">
        <f t="shared" ref="D369:X369" si="143">D366/(D367-D368)</f>
        <v>3.5618990786882025</v>
      </c>
      <c r="E369" s="312">
        <f t="shared" si="143"/>
        <v>4.4657612394969703</v>
      </c>
      <c r="F369" s="312">
        <f t="shared" si="143"/>
        <v>4.4959626365512202</v>
      </c>
      <c r="G369" s="312">
        <f t="shared" si="143"/>
        <v>4.6618189819152258</v>
      </c>
      <c r="H369" s="312">
        <f t="shared" si="143"/>
        <v>4.1228210291020613</v>
      </c>
      <c r="I369" s="312">
        <f t="shared" si="143"/>
        <v>4.2073827185884625</v>
      </c>
      <c r="J369" s="312">
        <f t="shared" si="143"/>
        <v>4.0006344722037941</v>
      </c>
      <c r="K369" s="312">
        <f t="shared" si="143"/>
        <v>3.5339992828192104</v>
      </c>
      <c r="L369" s="312">
        <f t="shared" si="143"/>
        <v>3.1153386730039898</v>
      </c>
      <c r="M369" s="312">
        <f t="shared" si="143"/>
        <v>2.9434393535160583</v>
      </c>
      <c r="N369" s="312">
        <f t="shared" si="143"/>
        <v>1.3522011119453983</v>
      </c>
      <c r="O369" s="312">
        <f t="shared" si="143"/>
        <v>1.3017771584126168</v>
      </c>
      <c r="P369" s="312">
        <f t="shared" si="143"/>
        <v>1.1896772972531269</v>
      </c>
      <c r="Q369" s="312">
        <f t="shared" si="143"/>
        <v>1.1621394613675453</v>
      </c>
      <c r="R369" s="312">
        <f t="shared" si="143"/>
        <v>1.1081230085288107</v>
      </c>
      <c r="S369" s="312">
        <f t="shared" si="143"/>
        <v>1.0714299101132352</v>
      </c>
      <c r="T369" s="312">
        <f t="shared" si="143"/>
        <v>0.99558802566421856</v>
      </c>
      <c r="U369" s="312">
        <f t="shared" si="143"/>
        <v>0.99967207419204607</v>
      </c>
      <c r="V369" s="312">
        <f t="shared" si="143"/>
        <v>0.99135816248277953</v>
      </c>
      <c r="W369" s="312">
        <f t="shared" si="143"/>
        <v>0.97866504030927381</v>
      </c>
      <c r="X369" s="312">
        <f t="shared" si="143"/>
        <v>0.89680441521500265</v>
      </c>
    </row>
    <row r="370" spans="2:24">
      <c r="B370" s="71"/>
    </row>
    <row r="371" spans="2:24">
      <c r="B371" s="305" t="s">
        <v>260</v>
      </c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>
        <v>130.392</v>
      </c>
      <c r="T371" s="81">
        <v>365.14800000000002</v>
      </c>
      <c r="U371" s="81">
        <v>858.87</v>
      </c>
      <c r="V371" s="81">
        <v>1955.4670000000001</v>
      </c>
      <c r="W371" s="81">
        <v>3939.8960000000002</v>
      </c>
      <c r="X371" s="81">
        <v>5586.5649999999996</v>
      </c>
    </row>
    <row r="372" spans="2:24">
      <c r="B372" s="305" t="s">
        <v>205</v>
      </c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>
        <v>136.012</v>
      </c>
      <c r="T372" s="81">
        <v>335.83300000000003</v>
      </c>
      <c r="U372" s="81">
        <v>641.13699999999994</v>
      </c>
      <c r="V372" s="81">
        <v>991.01300000000003</v>
      </c>
      <c r="W372" s="81">
        <v>2057.748</v>
      </c>
      <c r="X372" s="81">
        <v>3034.5309999999999</v>
      </c>
    </row>
    <row r="373" spans="2:24">
      <c r="B373" s="305" t="s">
        <v>601</v>
      </c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>
        <v>45.249000000000002</v>
      </c>
      <c r="T373" s="81">
        <v>49.45</v>
      </c>
      <c r="U373" s="81">
        <v>187.12299999999999</v>
      </c>
      <c r="V373" s="81">
        <v>88.709000000000003</v>
      </c>
      <c r="W373" s="81">
        <v>217.239</v>
      </c>
      <c r="X373" s="81">
        <v>460.38499999999999</v>
      </c>
    </row>
    <row r="374" spans="2:24">
      <c r="B374" s="311" t="s">
        <v>477</v>
      </c>
      <c r="C374" s="312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>
        <f t="shared" ref="S374:X374" si="144">S371/(S372-S373)</f>
        <v>1.4366206493835592</v>
      </c>
      <c r="T374" s="312">
        <f t="shared" si="144"/>
        <v>1.2750337834298824</v>
      </c>
      <c r="U374" s="312">
        <f t="shared" si="144"/>
        <v>1.8917258058121558</v>
      </c>
      <c r="V374" s="312">
        <f t="shared" si="144"/>
        <v>2.1671930967833455</v>
      </c>
      <c r="W374" s="312">
        <f t="shared" si="144"/>
        <v>2.1406556555822331</v>
      </c>
      <c r="X374" s="312">
        <f t="shared" si="144"/>
        <v>2.170259573466307</v>
      </c>
    </row>
    <row r="375" spans="2:24">
      <c r="B375" s="71"/>
    </row>
    <row r="376" spans="2:24">
      <c r="B376" s="305" t="s">
        <v>260</v>
      </c>
      <c r="C376" s="81"/>
      <c r="D376" s="81">
        <v>20609.599999999999</v>
      </c>
      <c r="E376" s="81">
        <v>19989.3</v>
      </c>
      <c r="F376" s="81">
        <v>19478.5</v>
      </c>
      <c r="G376" s="81">
        <v>19381.099999999999</v>
      </c>
      <c r="H376" s="81">
        <v>19044.599999999999</v>
      </c>
      <c r="I376" s="81">
        <v>18729.5</v>
      </c>
      <c r="J376" s="81">
        <v>18988.599999999999</v>
      </c>
      <c r="K376" s="81">
        <v>17691.5</v>
      </c>
      <c r="L376" s="81">
        <v>14131.9</v>
      </c>
      <c r="M376" s="81">
        <v>10757.8</v>
      </c>
      <c r="N376" s="81">
        <v>12461</v>
      </c>
      <c r="O376" s="81">
        <v>13832.3</v>
      </c>
      <c r="P376" s="81">
        <v>15668.8</v>
      </c>
      <c r="Q376" s="81">
        <v>17517.599999999999</v>
      </c>
      <c r="R376" s="81">
        <v>19108.8</v>
      </c>
      <c r="S376" s="81">
        <v>20862</v>
      </c>
      <c r="T376" s="81">
        <v>21609</v>
      </c>
      <c r="U376" s="81">
        <v>21534.6</v>
      </c>
      <c r="V376" s="81">
        <v>21412.799999999999</v>
      </c>
      <c r="W376" s="81">
        <v>21335.7</v>
      </c>
      <c r="X376" s="81">
        <v>20390</v>
      </c>
    </row>
    <row r="377" spans="2:24">
      <c r="B377" s="305" t="s">
        <v>205</v>
      </c>
      <c r="C377" s="81"/>
      <c r="D377" s="81">
        <v>8830</v>
      </c>
      <c r="E377" s="81">
        <v>8065.4</v>
      </c>
      <c r="F377" s="81">
        <v>8584.7999999999993</v>
      </c>
      <c r="G377" s="81">
        <v>8823.1</v>
      </c>
      <c r="H377" s="81">
        <v>8698.9</v>
      </c>
      <c r="I377" s="81">
        <v>8824.5</v>
      </c>
      <c r="J377" s="81">
        <v>8607</v>
      </c>
      <c r="K377" s="81">
        <v>8479.6</v>
      </c>
      <c r="L377" s="81">
        <v>6014.1</v>
      </c>
      <c r="M377" s="81">
        <v>5407.3</v>
      </c>
      <c r="N377" s="81">
        <v>5974.2</v>
      </c>
      <c r="O377" s="81">
        <v>6198.8</v>
      </c>
      <c r="P377" s="81">
        <v>7203</v>
      </c>
      <c r="Q377" s="81">
        <v>7914.1</v>
      </c>
      <c r="R377" s="81">
        <v>8399.7000000000007</v>
      </c>
      <c r="S377" s="81">
        <v>9558.2999999999993</v>
      </c>
      <c r="T377" s="81">
        <v>10281.9</v>
      </c>
      <c r="U377" s="81">
        <v>10418</v>
      </c>
      <c r="V377" s="81">
        <v>10815.3</v>
      </c>
      <c r="W377" s="81">
        <v>10695.2</v>
      </c>
      <c r="X377" s="81">
        <v>10115.4</v>
      </c>
    </row>
    <row r="378" spans="2:24">
      <c r="B378" s="305" t="s">
        <v>601</v>
      </c>
      <c r="C378" s="81"/>
      <c r="D378" s="81">
        <v>243</v>
      </c>
      <c r="E378" s="81">
        <v>128.1</v>
      </c>
      <c r="F378" s="81">
        <v>176.2</v>
      </c>
      <c r="G378" s="81">
        <v>170.8</v>
      </c>
      <c r="H378" s="81">
        <v>108.2</v>
      </c>
      <c r="I378" s="81">
        <v>245.7</v>
      </c>
      <c r="J378" s="81">
        <v>52.2</v>
      </c>
      <c r="K378" s="81">
        <v>32.799999999999997</v>
      </c>
      <c r="L378" s="81">
        <v>111</v>
      </c>
      <c r="M378" s="81">
        <v>173.7</v>
      </c>
      <c r="N378" s="81">
        <v>95.1</v>
      </c>
      <c r="O378" s="81">
        <v>86.6</v>
      </c>
      <c r="P378" s="81">
        <v>69.7</v>
      </c>
      <c r="Q378" s="81">
        <v>69.2</v>
      </c>
      <c r="R378" s="81">
        <v>75.400000000000006</v>
      </c>
      <c r="S378" s="81">
        <v>74.099999999999994</v>
      </c>
      <c r="T378" s="81">
        <v>64.8</v>
      </c>
      <c r="U378" s="81">
        <v>69.2</v>
      </c>
      <c r="V378" s="81">
        <v>48.6</v>
      </c>
      <c r="W378" s="81">
        <v>42.5</v>
      </c>
      <c r="X378" s="81">
        <v>569.70000000000005</v>
      </c>
    </row>
    <row r="379" spans="2:24">
      <c r="B379" s="311" t="s">
        <v>478</v>
      </c>
      <c r="C379" s="312"/>
      <c r="D379" s="312">
        <f t="shared" ref="D379:X379" si="145">D376/(D377-D378)</f>
        <v>2.400093164085245</v>
      </c>
      <c r="E379" s="312">
        <f t="shared" si="145"/>
        <v>2.5184004636337294</v>
      </c>
      <c r="F379" s="312">
        <f t="shared" si="145"/>
        <v>2.3164973955236308</v>
      </c>
      <c r="G379" s="312">
        <f t="shared" si="145"/>
        <v>2.2399939900373305</v>
      </c>
      <c r="H379" s="312">
        <f t="shared" si="145"/>
        <v>2.2168857019800483</v>
      </c>
      <c r="I379" s="312">
        <f t="shared" si="145"/>
        <v>2.183230754884133</v>
      </c>
      <c r="J379" s="312">
        <f t="shared" si="145"/>
        <v>2.2196427736475428</v>
      </c>
      <c r="K379" s="312">
        <f t="shared" si="145"/>
        <v>2.0944618080219723</v>
      </c>
      <c r="L379" s="312">
        <f t="shared" si="145"/>
        <v>2.3939794345343968</v>
      </c>
      <c r="M379" s="312">
        <f t="shared" si="145"/>
        <v>2.0555258330785691</v>
      </c>
      <c r="N379" s="312">
        <f t="shared" si="145"/>
        <v>2.1195421067850524</v>
      </c>
      <c r="O379" s="312">
        <f t="shared" si="145"/>
        <v>2.2630640358627008</v>
      </c>
      <c r="P379" s="312">
        <f t="shared" si="145"/>
        <v>2.1965710120140747</v>
      </c>
      <c r="Q379" s="312">
        <f t="shared" si="145"/>
        <v>2.2329921350176543</v>
      </c>
      <c r="R379" s="312">
        <f t="shared" si="145"/>
        <v>2.2955443700971849</v>
      </c>
      <c r="S379" s="312">
        <f t="shared" si="145"/>
        <v>2.1996583791990894</v>
      </c>
      <c r="T379" s="312">
        <f t="shared" si="145"/>
        <v>2.1149837037907036</v>
      </c>
      <c r="U379" s="312">
        <f t="shared" si="145"/>
        <v>2.0808789424860854</v>
      </c>
      <c r="V379" s="312">
        <f t="shared" si="145"/>
        <v>1.9887987962885565</v>
      </c>
      <c r="W379" s="312">
        <f t="shared" si="145"/>
        <v>2.0028443493198909</v>
      </c>
      <c r="X379" s="312">
        <f t="shared" si="145"/>
        <v>2.1360403113443751</v>
      </c>
    </row>
    <row r="380" spans="2:24">
      <c r="B380" s="71"/>
    </row>
    <row r="381" spans="2:24">
      <c r="B381" s="305" t="s">
        <v>260</v>
      </c>
      <c r="C381" s="81"/>
      <c r="D381" s="81">
        <v>4883.9889999999996</v>
      </c>
      <c r="E381" s="81">
        <v>6220.6629999999996</v>
      </c>
      <c r="F381" s="81">
        <v>7434.866</v>
      </c>
      <c r="G381" s="81">
        <v>8671.4850000000006</v>
      </c>
      <c r="H381" s="81">
        <v>9886.2109999999993</v>
      </c>
      <c r="I381" s="81">
        <v>9661.393</v>
      </c>
      <c r="J381" s="81">
        <v>11242.313</v>
      </c>
      <c r="K381" s="81">
        <v>12957.739</v>
      </c>
      <c r="L381" s="81">
        <v>11646.344999999999</v>
      </c>
      <c r="M381" s="81">
        <v>9523.1049999999996</v>
      </c>
      <c r="N381" s="81">
        <v>10713.584999999999</v>
      </c>
      <c r="O381" s="81">
        <v>11556.232</v>
      </c>
      <c r="P381" s="81">
        <v>13163.517</v>
      </c>
      <c r="Q381" s="81">
        <v>14705.4</v>
      </c>
      <c r="R381" s="81">
        <v>17232</v>
      </c>
      <c r="S381" s="81">
        <v>19284.900000000001</v>
      </c>
      <c r="T381" s="81">
        <v>20118.5</v>
      </c>
      <c r="U381" s="81">
        <v>21386.9</v>
      </c>
      <c r="V381" s="81">
        <v>22785.1</v>
      </c>
      <c r="W381" s="81">
        <v>23179.4</v>
      </c>
      <c r="X381" s="81">
        <v>20443.900000000001</v>
      </c>
    </row>
    <row r="382" spans="2:24">
      <c r="B382" s="305" t="s">
        <v>205</v>
      </c>
      <c r="C382" s="81"/>
      <c r="D382" s="81">
        <v>1762.6949999999999</v>
      </c>
      <c r="E382" s="81">
        <v>1946.576</v>
      </c>
      <c r="F382" s="81">
        <v>2690.3139999999999</v>
      </c>
      <c r="G382" s="81">
        <v>3137.181</v>
      </c>
      <c r="H382" s="81">
        <v>3532.8009999999999</v>
      </c>
      <c r="I382" s="81">
        <v>3594.1729999999998</v>
      </c>
      <c r="J382" s="81">
        <v>4469.8019999999997</v>
      </c>
      <c r="K382" s="81">
        <v>4668.5529999999999</v>
      </c>
      <c r="L382" s="81">
        <v>3963.1610000000001</v>
      </c>
      <c r="M382" s="81">
        <v>3796.0070000000001</v>
      </c>
      <c r="N382" s="81">
        <v>4069.8319999999999</v>
      </c>
      <c r="O382" s="81">
        <v>4502.299</v>
      </c>
      <c r="P382" s="81">
        <v>5378.99</v>
      </c>
      <c r="Q382" s="81">
        <v>6415.5</v>
      </c>
      <c r="R382" s="81">
        <v>7228.2</v>
      </c>
      <c r="S382" s="81">
        <v>8013.4</v>
      </c>
      <c r="T382" s="81">
        <v>8938.2999999999993</v>
      </c>
      <c r="U382" s="81">
        <v>10712.6</v>
      </c>
      <c r="V382" s="81">
        <v>11022</v>
      </c>
      <c r="W382" s="81">
        <v>14624.9</v>
      </c>
      <c r="X382" s="81">
        <v>13978.6</v>
      </c>
    </row>
    <row r="383" spans="2:24">
      <c r="B383" s="305" t="s">
        <v>601</v>
      </c>
      <c r="C383" s="81"/>
      <c r="D383" s="81">
        <v>7.4130000000000003</v>
      </c>
      <c r="E383" s="81">
        <v>5.4160000000000004</v>
      </c>
      <c r="F383" s="81">
        <v>8.0690000000000008</v>
      </c>
      <c r="G383" s="81">
        <v>13.845000000000001</v>
      </c>
      <c r="H383" s="81">
        <v>11.061</v>
      </c>
      <c r="I383" s="81">
        <v>8.9570000000000007</v>
      </c>
      <c r="J383" s="81">
        <v>13.147</v>
      </c>
      <c r="K383" s="81">
        <v>10.895</v>
      </c>
      <c r="L383" s="81">
        <v>20.109000000000002</v>
      </c>
      <c r="M383" s="81">
        <v>13.769</v>
      </c>
      <c r="N383" s="81">
        <v>16.620999999999999</v>
      </c>
      <c r="O383" s="81">
        <v>29.116</v>
      </c>
      <c r="P383" s="81">
        <v>43.753</v>
      </c>
      <c r="Q383" s="81">
        <v>49.8</v>
      </c>
      <c r="R383" s="81">
        <v>36.299999999999997</v>
      </c>
      <c r="S383" s="81">
        <v>62.4</v>
      </c>
      <c r="T383" s="81">
        <v>24</v>
      </c>
      <c r="U383" s="81">
        <v>45.7</v>
      </c>
      <c r="V383" s="81">
        <v>39.4</v>
      </c>
      <c r="W383" s="81">
        <v>28.1</v>
      </c>
      <c r="X383" s="81">
        <v>49.5</v>
      </c>
    </row>
    <row r="384" spans="2:24">
      <c r="B384" s="311" t="s">
        <v>479</v>
      </c>
      <c r="C384" s="312"/>
      <c r="D384" s="312">
        <f t="shared" ref="D384:X384" si="146">D381/(D382-D383)</f>
        <v>2.7824526201487849</v>
      </c>
      <c r="E384" s="312">
        <f t="shared" si="146"/>
        <v>3.2046111603371177</v>
      </c>
      <c r="F384" s="312">
        <f t="shared" si="146"/>
        <v>2.7718817632244632</v>
      </c>
      <c r="G384" s="312">
        <f t="shared" si="146"/>
        <v>2.7763535527397627</v>
      </c>
      <c r="H384" s="312">
        <f t="shared" si="146"/>
        <v>2.8071950229148093</v>
      </c>
      <c r="I384" s="312">
        <f t="shared" si="146"/>
        <v>2.6947868691872401</v>
      </c>
      <c r="J384" s="312">
        <f t="shared" si="146"/>
        <v>2.52258992450616</v>
      </c>
      <c r="K384" s="312">
        <f t="shared" si="146"/>
        <v>2.7820288651506835</v>
      </c>
      <c r="L384" s="312">
        <f t="shared" si="146"/>
        <v>2.9536371825682237</v>
      </c>
      <c r="M384" s="312">
        <f t="shared" si="146"/>
        <v>2.5178492204879754</v>
      </c>
      <c r="N384" s="312">
        <f t="shared" si="146"/>
        <v>2.6432339693146987</v>
      </c>
      <c r="O384" s="312">
        <f t="shared" si="146"/>
        <v>2.5834471784409447</v>
      </c>
      <c r="P384" s="312">
        <f t="shared" si="146"/>
        <v>2.4672787731828971</v>
      </c>
      <c r="Q384" s="312">
        <f t="shared" si="146"/>
        <v>2.3100994391818652</v>
      </c>
      <c r="R384" s="312">
        <f t="shared" si="146"/>
        <v>2.396028865807367</v>
      </c>
      <c r="S384" s="312">
        <f t="shared" si="146"/>
        <v>2.4254684945289902</v>
      </c>
      <c r="T384" s="312">
        <f t="shared" si="146"/>
        <v>2.2568793960266089</v>
      </c>
      <c r="U384" s="312">
        <f t="shared" si="146"/>
        <v>2.0049780161058979</v>
      </c>
      <c r="V384" s="312">
        <f t="shared" si="146"/>
        <v>2.0746544534081179</v>
      </c>
      <c r="W384" s="312">
        <f t="shared" si="146"/>
        <v>1.5879781869998906</v>
      </c>
      <c r="X384" s="312">
        <f t="shared" si="146"/>
        <v>1.4677114817181298</v>
      </c>
    </row>
    <row r="385" spans="2:24">
      <c r="B385" s="71"/>
    </row>
    <row r="386" spans="2:24">
      <c r="B386" s="305" t="s">
        <v>260</v>
      </c>
      <c r="C386" s="81"/>
      <c r="D386" s="81">
        <v>3586.1460000000002</v>
      </c>
      <c r="E386" s="81">
        <v>3996.3739999999998</v>
      </c>
      <c r="F386" s="81">
        <v>4214.3639999999996</v>
      </c>
      <c r="G386" s="81">
        <v>4518.5600000000004</v>
      </c>
      <c r="H386" s="81">
        <v>5435.0330000000004</v>
      </c>
      <c r="I386" s="81">
        <v>5969.59</v>
      </c>
      <c r="J386" s="81">
        <v>6083.4840000000004</v>
      </c>
      <c r="K386" s="81">
        <v>6392.9970000000003</v>
      </c>
      <c r="L386" s="81">
        <v>5654.0870000000004</v>
      </c>
      <c r="M386" s="81">
        <v>4525.7070000000003</v>
      </c>
      <c r="N386" s="81">
        <v>5509.1689999999999</v>
      </c>
      <c r="O386" s="81">
        <v>6079.7650000000003</v>
      </c>
      <c r="P386" s="81">
        <v>7476.1</v>
      </c>
      <c r="Q386" s="81">
        <v>8918.5810000000001</v>
      </c>
      <c r="R386" s="81">
        <v>9937.8889999999992</v>
      </c>
      <c r="S386" s="81">
        <v>10632.504999999999</v>
      </c>
      <c r="T386" s="81">
        <v>10887.611999999999</v>
      </c>
      <c r="U386" s="81">
        <v>11130.321</v>
      </c>
      <c r="V386" s="81">
        <v>11601.358</v>
      </c>
      <c r="W386" s="81">
        <v>12043.8</v>
      </c>
      <c r="X386" s="81">
        <v>10851.8</v>
      </c>
    </row>
    <row r="387" spans="2:24">
      <c r="B387" s="305" t="s">
        <v>205</v>
      </c>
      <c r="C387" s="81"/>
      <c r="D387" s="81">
        <v>1111.0740000000001</v>
      </c>
      <c r="E387" s="81">
        <v>1070.077</v>
      </c>
      <c r="F387" s="81">
        <v>1448.029</v>
      </c>
      <c r="G387" s="81">
        <v>1507.4680000000001</v>
      </c>
      <c r="H387" s="81">
        <v>1958.684</v>
      </c>
      <c r="I387" s="81">
        <v>1852.251</v>
      </c>
      <c r="J387" s="81">
        <v>2171.0590000000002</v>
      </c>
      <c r="K387" s="81">
        <v>2566.864</v>
      </c>
      <c r="L387" s="81">
        <v>2310.085</v>
      </c>
      <c r="M387" s="81">
        <v>1969.414</v>
      </c>
      <c r="N387" s="81">
        <v>2201.9639999999999</v>
      </c>
      <c r="O387" s="81">
        <v>2476.3429999999998</v>
      </c>
      <c r="P387" s="81">
        <v>3023.0149999999999</v>
      </c>
      <c r="Q387" s="81">
        <v>3819.4780000000001</v>
      </c>
      <c r="R387" s="81">
        <v>4141.4920000000002</v>
      </c>
      <c r="S387" s="81">
        <v>4396.7160000000003</v>
      </c>
      <c r="T387" s="81">
        <v>4461.9030000000002</v>
      </c>
      <c r="U387" s="81">
        <v>4871.0649999999996</v>
      </c>
      <c r="V387" s="81">
        <v>5001.0749999999998</v>
      </c>
      <c r="W387" s="81">
        <v>5570.2</v>
      </c>
      <c r="X387" s="81">
        <v>5089.3999999999996</v>
      </c>
    </row>
    <row r="388" spans="2:24">
      <c r="B388" s="305" t="s">
        <v>601</v>
      </c>
      <c r="C388" s="81"/>
      <c r="D388" s="81">
        <v>140.87799999999999</v>
      </c>
      <c r="E388" s="81">
        <v>147.21199999999999</v>
      </c>
      <c r="F388" s="81">
        <v>24.332999999999998</v>
      </c>
      <c r="G388" s="81">
        <v>25.440999999999999</v>
      </c>
      <c r="H388" s="81">
        <v>37.75</v>
      </c>
      <c r="I388" s="81">
        <v>37.695</v>
      </c>
      <c r="J388" s="81">
        <v>45.313000000000002</v>
      </c>
      <c r="K388" s="81">
        <v>35.848999999999997</v>
      </c>
      <c r="L388" s="81">
        <v>0</v>
      </c>
      <c r="M388" s="81">
        <v>13.221</v>
      </c>
      <c r="N388" s="81">
        <v>19.843</v>
      </c>
      <c r="O388" s="81">
        <v>14.895</v>
      </c>
      <c r="P388" s="81">
        <v>4.6500000000000004</v>
      </c>
      <c r="Q388" s="81">
        <v>20.215</v>
      </c>
      <c r="R388" s="81">
        <v>40.975000000000001</v>
      </c>
      <c r="S388" s="81">
        <v>13.037000000000001</v>
      </c>
      <c r="T388" s="81">
        <v>20.992000000000001</v>
      </c>
      <c r="U388" s="81">
        <v>28.786999999999999</v>
      </c>
      <c r="V388" s="81">
        <v>15.932</v>
      </c>
      <c r="W388" s="81">
        <v>23.8</v>
      </c>
      <c r="X388" s="81">
        <v>87.3</v>
      </c>
    </row>
    <row r="389" spans="2:24">
      <c r="B389" s="311" t="s">
        <v>480</v>
      </c>
      <c r="C389" s="312"/>
      <c r="D389" s="312">
        <f t="shared" ref="D389:X389" si="147">D386/(D387-D388)</f>
        <v>3.696310848529575</v>
      </c>
      <c r="E389" s="312">
        <f t="shared" si="147"/>
        <v>4.3303993541850652</v>
      </c>
      <c r="F389" s="312">
        <f t="shared" si="147"/>
        <v>2.960157224576033</v>
      </c>
      <c r="G389" s="312">
        <f t="shared" si="147"/>
        <v>3.0489053168397069</v>
      </c>
      <c r="H389" s="312">
        <f t="shared" si="147"/>
        <v>2.8293699835600807</v>
      </c>
      <c r="I389" s="312">
        <f t="shared" si="147"/>
        <v>3.2898350891347525</v>
      </c>
      <c r="J389" s="312">
        <f t="shared" si="147"/>
        <v>2.861811335879263</v>
      </c>
      <c r="K389" s="312">
        <f t="shared" si="147"/>
        <v>2.5258629443128551</v>
      </c>
      <c r="L389" s="312">
        <f t="shared" si="147"/>
        <v>2.4475666479804858</v>
      </c>
      <c r="M389" s="312">
        <f t="shared" si="147"/>
        <v>2.313527857425111</v>
      </c>
      <c r="N389" s="312">
        <f t="shared" si="147"/>
        <v>2.5246853863740828</v>
      </c>
      <c r="O389" s="312">
        <f t="shared" si="147"/>
        <v>2.4699953035774067</v>
      </c>
      <c r="P389" s="312">
        <f t="shared" si="147"/>
        <v>2.4768707561875387</v>
      </c>
      <c r="Q389" s="312">
        <f t="shared" si="147"/>
        <v>2.3474502818046554</v>
      </c>
      <c r="R389" s="312">
        <f t="shared" si="147"/>
        <v>2.4235697596181165</v>
      </c>
      <c r="S389" s="312">
        <f t="shared" si="147"/>
        <v>2.4254752686042931</v>
      </c>
      <c r="T389" s="312">
        <f t="shared" si="147"/>
        <v>2.4516618324483419</v>
      </c>
      <c r="U389" s="312">
        <f t="shared" si="147"/>
        <v>2.298571250969069</v>
      </c>
      <c r="V389" s="312">
        <f t="shared" si="147"/>
        <v>2.3271866022699852</v>
      </c>
      <c r="W389" s="312">
        <f t="shared" si="147"/>
        <v>2.1714625703158807</v>
      </c>
      <c r="X389" s="312">
        <f t="shared" si="147"/>
        <v>2.1694488314907741</v>
      </c>
    </row>
    <row r="390" spans="2:24">
      <c r="B390" s="71"/>
    </row>
    <row r="391" spans="2:24">
      <c r="B391" s="305" t="s">
        <v>260</v>
      </c>
      <c r="C391" s="81"/>
      <c r="D391" s="81">
        <v>1658.6110000000001</v>
      </c>
      <c r="E391" s="81">
        <v>1873.1880000000001</v>
      </c>
      <c r="F391" s="81">
        <v>2376.96</v>
      </c>
      <c r="G391" s="81">
        <v>2513.502</v>
      </c>
      <c r="H391" s="81">
        <v>2663.36</v>
      </c>
      <c r="I391" s="81">
        <v>2851.6979999999999</v>
      </c>
      <c r="J391" s="81">
        <v>3172.8939999999998</v>
      </c>
      <c r="K391" s="81">
        <v>3219.0010000000002</v>
      </c>
      <c r="L391" s="81">
        <v>2137.8040000000001</v>
      </c>
      <c r="M391" s="81">
        <v>1749.3150000000001</v>
      </c>
      <c r="N391" s="81">
        <v>2131.598</v>
      </c>
      <c r="O391" s="81">
        <v>2699.36</v>
      </c>
      <c r="P391" s="81">
        <v>3316.4870000000001</v>
      </c>
      <c r="Q391" s="81">
        <v>4005.7489999999998</v>
      </c>
      <c r="R391" s="81">
        <v>5390.326</v>
      </c>
      <c r="S391" s="81">
        <v>7864.2520000000004</v>
      </c>
      <c r="T391" s="81">
        <v>8678.1569999999992</v>
      </c>
      <c r="U391" s="81">
        <v>10086.51</v>
      </c>
      <c r="V391" s="81">
        <v>11821.4</v>
      </c>
      <c r="W391" s="81">
        <v>12672.7</v>
      </c>
      <c r="X391" s="81">
        <v>13124.3</v>
      </c>
    </row>
    <row r="392" spans="2:24">
      <c r="B392" s="305" t="s">
        <v>205</v>
      </c>
      <c r="C392" s="81"/>
      <c r="D392" s="81">
        <v>628.00300000000004</v>
      </c>
      <c r="E392" s="81">
        <v>662.94399999999996</v>
      </c>
      <c r="F392" s="81">
        <v>942.04899999999998</v>
      </c>
      <c r="G392" s="81">
        <v>1102.7819999999999</v>
      </c>
      <c r="H392" s="81">
        <v>1256.883</v>
      </c>
      <c r="I392" s="81">
        <v>1462.4259999999999</v>
      </c>
      <c r="J392" s="81">
        <v>1590.6189999999999</v>
      </c>
      <c r="K392" s="81">
        <v>1638.778</v>
      </c>
      <c r="L392" s="81">
        <v>1133.4590000000001</v>
      </c>
      <c r="M392" s="81">
        <v>922.63099999999997</v>
      </c>
      <c r="N392" s="81">
        <v>932.15200000000004</v>
      </c>
      <c r="O392" s="81">
        <v>1146.133</v>
      </c>
      <c r="P392" s="81">
        <v>1492.702</v>
      </c>
      <c r="Q392" s="81">
        <v>1725.1210000000001</v>
      </c>
      <c r="R392" s="81">
        <v>2880.9319999999998</v>
      </c>
      <c r="S392" s="81">
        <v>3315.4789999999998</v>
      </c>
      <c r="T392" s="81">
        <v>3944.11</v>
      </c>
      <c r="U392" s="81">
        <v>4759.3320000000003</v>
      </c>
      <c r="V392" s="81">
        <v>5471.2</v>
      </c>
      <c r="W392" s="81">
        <v>6243.8</v>
      </c>
      <c r="X392" s="81">
        <v>8097.6</v>
      </c>
    </row>
    <row r="393" spans="2:24">
      <c r="B393" s="305" t="s">
        <v>601</v>
      </c>
      <c r="C393" s="81"/>
      <c r="D393" s="81">
        <v>38.789000000000001</v>
      </c>
      <c r="E393" s="81">
        <v>59.854999999999997</v>
      </c>
      <c r="F393" s="81">
        <v>15.932</v>
      </c>
      <c r="G393" s="81">
        <v>74.408000000000001</v>
      </c>
      <c r="H393" s="81">
        <v>28.869</v>
      </c>
      <c r="I393" s="81">
        <v>48.566000000000003</v>
      </c>
      <c r="J393" s="81">
        <v>26.6</v>
      </c>
      <c r="K393" s="81">
        <v>21.664999999999999</v>
      </c>
      <c r="L393" s="81">
        <v>10.874000000000001</v>
      </c>
      <c r="M393" s="81">
        <v>12.776</v>
      </c>
      <c r="N393" s="81">
        <v>9.3059999999999992</v>
      </c>
      <c r="O393" s="81">
        <v>20.850999999999999</v>
      </c>
      <c r="P393" s="81">
        <v>42.838999999999999</v>
      </c>
      <c r="Q393" s="81">
        <v>23.686</v>
      </c>
      <c r="R393" s="81">
        <v>29.898</v>
      </c>
      <c r="S393" s="81">
        <v>45.008000000000003</v>
      </c>
      <c r="T393" s="81">
        <v>50.281999999999996</v>
      </c>
      <c r="U393" s="81">
        <v>57.253</v>
      </c>
      <c r="V393" s="81">
        <v>31.6</v>
      </c>
      <c r="W393" s="81">
        <v>84</v>
      </c>
      <c r="X393" s="81">
        <v>160.19999999999999</v>
      </c>
    </row>
    <row r="394" spans="2:24">
      <c r="B394" s="311" t="s">
        <v>481</v>
      </c>
      <c r="C394" s="312"/>
      <c r="D394" s="312">
        <f t="shared" ref="D394:X394" si="148">D391/(D392-D393)</f>
        <v>2.8149551775755497</v>
      </c>
      <c r="E394" s="312">
        <f t="shared" si="148"/>
        <v>3.1059893315911919</v>
      </c>
      <c r="F394" s="312">
        <f t="shared" si="148"/>
        <v>2.5665871590738538</v>
      </c>
      <c r="G394" s="312">
        <f t="shared" si="148"/>
        <v>2.4441516413289328</v>
      </c>
      <c r="H394" s="312">
        <f t="shared" si="148"/>
        <v>2.1688352087191185</v>
      </c>
      <c r="I394" s="312">
        <f t="shared" si="148"/>
        <v>2.016959246318589</v>
      </c>
      <c r="J394" s="312">
        <f t="shared" si="148"/>
        <v>2.0286799584915527</v>
      </c>
      <c r="K394" s="312">
        <f t="shared" si="148"/>
        <v>1.9905850735230006</v>
      </c>
      <c r="L394" s="312">
        <f t="shared" si="148"/>
        <v>1.9043582445872695</v>
      </c>
      <c r="M394" s="312">
        <f t="shared" si="148"/>
        <v>1.9226305290403416</v>
      </c>
      <c r="N394" s="312">
        <f t="shared" si="148"/>
        <v>2.3098090038858055</v>
      </c>
      <c r="O394" s="312">
        <f t="shared" si="148"/>
        <v>2.3988298044401311</v>
      </c>
      <c r="P394" s="312">
        <f t="shared" si="148"/>
        <v>2.2874485382411991</v>
      </c>
      <c r="Q394" s="312">
        <f t="shared" si="148"/>
        <v>2.3543356049452369</v>
      </c>
      <c r="R394" s="312">
        <f t="shared" si="148"/>
        <v>1.8906565126897823</v>
      </c>
      <c r="S394" s="312">
        <f t="shared" si="148"/>
        <v>2.4046236765285491</v>
      </c>
      <c r="T394" s="312">
        <f t="shared" si="148"/>
        <v>2.2286955150561347</v>
      </c>
      <c r="U394" s="312">
        <f t="shared" si="148"/>
        <v>2.145117085442418</v>
      </c>
      <c r="V394" s="312">
        <f t="shared" si="148"/>
        <v>2.1732112655342308</v>
      </c>
      <c r="W394" s="312">
        <f t="shared" si="148"/>
        <v>2.0573232897171985</v>
      </c>
      <c r="X394" s="312">
        <f t="shared" si="148"/>
        <v>1.653475949303298</v>
      </c>
    </row>
    <row r="395" spans="2:24">
      <c r="B395" s="71"/>
    </row>
    <row r="396" spans="2:24">
      <c r="B396" s="305" t="s">
        <v>260</v>
      </c>
      <c r="C396" s="81"/>
      <c r="D396" s="81">
        <v>6052.4759999999997</v>
      </c>
      <c r="E396" s="81">
        <v>6337.3580000000002</v>
      </c>
      <c r="F396" s="81">
        <v>7071.0150000000003</v>
      </c>
      <c r="G396" s="81">
        <v>7034.2150000000001</v>
      </c>
      <c r="H396" s="81">
        <v>7177.5820000000003</v>
      </c>
      <c r="I396" s="81">
        <v>7884.8419999999996</v>
      </c>
      <c r="J396" s="81">
        <v>7972.0739999999996</v>
      </c>
      <c r="K396" s="81">
        <v>8336.9330000000009</v>
      </c>
      <c r="L396" s="81">
        <v>6034.7759999999998</v>
      </c>
      <c r="M396" s="81">
        <v>6131.7089999999998</v>
      </c>
      <c r="N396" s="81">
        <v>6880.8440000000001</v>
      </c>
      <c r="O396" s="81">
        <v>7871.2740000000003</v>
      </c>
      <c r="P396" s="81">
        <v>8365.4680000000008</v>
      </c>
      <c r="Q396" s="81">
        <v>8843.1679999999997</v>
      </c>
      <c r="R396" s="81">
        <v>9197.0990000000002</v>
      </c>
      <c r="S396" s="81">
        <v>9624.2990000000009</v>
      </c>
      <c r="T396" s="81">
        <v>9731.7790000000005</v>
      </c>
      <c r="U396" s="81">
        <v>9867.2080000000005</v>
      </c>
      <c r="V396" s="81">
        <v>9951.6299999999992</v>
      </c>
      <c r="W396" s="81">
        <v>10454.343000000001</v>
      </c>
      <c r="X396" s="81">
        <v>9767.0419999999995</v>
      </c>
    </row>
    <row r="397" spans="2:24">
      <c r="B397" s="305" t="s">
        <v>205</v>
      </c>
      <c r="C397" s="81"/>
      <c r="D397" s="81">
        <v>1789.248</v>
      </c>
      <c r="E397" s="81">
        <v>1805.9259999999999</v>
      </c>
      <c r="F397" s="81">
        <v>2375.308</v>
      </c>
      <c r="G397" s="81">
        <v>2686.2289999999998</v>
      </c>
      <c r="H397" s="81">
        <v>2899.529</v>
      </c>
      <c r="I397" s="81">
        <v>3025.5010000000002</v>
      </c>
      <c r="J397" s="81">
        <v>3124.7640000000001</v>
      </c>
      <c r="K397" s="81">
        <v>3282.7440000000001</v>
      </c>
      <c r="L397" s="81">
        <v>2410.701</v>
      </c>
      <c r="M397" s="81">
        <v>2068.855</v>
      </c>
      <c r="N397" s="81">
        <v>2250.7640000000001</v>
      </c>
      <c r="O397" s="81">
        <v>2339.6289999999999</v>
      </c>
      <c r="P397" s="81">
        <v>2776.7220000000002</v>
      </c>
      <c r="Q397" s="81">
        <v>3051.17</v>
      </c>
      <c r="R397" s="81">
        <v>3183.1350000000002</v>
      </c>
      <c r="S397" s="81">
        <v>3562.3809999999999</v>
      </c>
      <c r="T397" s="81">
        <v>3639.3359999999998</v>
      </c>
      <c r="U397" s="81">
        <v>3818.518</v>
      </c>
      <c r="V397" s="81">
        <v>3796.8069999999998</v>
      </c>
      <c r="W397" s="81">
        <v>4071.0349999999999</v>
      </c>
      <c r="X397" s="81">
        <v>3745.9929999999999</v>
      </c>
    </row>
    <row r="398" spans="2:24">
      <c r="B398" s="305" t="s">
        <v>601</v>
      </c>
      <c r="C398" s="81"/>
      <c r="D398" s="81">
        <v>109.325</v>
      </c>
      <c r="E398" s="81">
        <v>127.943</v>
      </c>
      <c r="F398" s="81">
        <v>10.576000000000001</v>
      </c>
      <c r="G398" s="81">
        <v>82.081999999999994</v>
      </c>
      <c r="H398" s="81">
        <v>9.9909999999999997</v>
      </c>
      <c r="I398" s="81">
        <v>7.5659999999999998</v>
      </c>
      <c r="J398" s="81">
        <v>12.696</v>
      </c>
      <c r="K398" s="81">
        <v>16.513999999999999</v>
      </c>
      <c r="L398" s="81">
        <v>9.5709999999999997</v>
      </c>
      <c r="M398" s="81">
        <v>30.035</v>
      </c>
      <c r="N398" s="81">
        <v>21.841999999999999</v>
      </c>
      <c r="O398" s="81">
        <v>1.913</v>
      </c>
      <c r="P398" s="81">
        <v>3.371</v>
      </c>
      <c r="Q398" s="81">
        <v>3.016</v>
      </c>
      <c r="R398" s="81">
        <v>4.1820000000000004</v>
      </c>
      <c r="S398" s="81">
        <v>77.625</v>
      </c>
      <c r="T398" s="81">
        <v>3.1080000000000001</v>
      </c>
      <c r="U398" s="81">
        <v>6.3520000000000003</v>
      </c>
      <c r="V398" s="81">
        <v>5.8540000000000001</v>
      </c>
      <c r="W398" s="81">
        <v>29.103000000000002</v>
      </c>
      <c r="X398" s="81">
        <v>170.31299999999999</v>
      </c>
    </row>
    <row r="399" spans="2:24">
      <c r="B399" s="311" t="s">
        <v>482</v>
      </c>
      <c r="C399" s="312"/>
      <c r="D399" s="312">
        <f t="shared" ref="D399:X399" si="149">D396/(D397-D398)</f>
        <v>3.6028294153958247</v>
      </c>
      <c r="E399" s="312">
        <f t="shared" si="149"/>
        <v>3.7767712783740959</v>
      </c>
      <c r="F399" s="312">
        <f t="shared" si="149"/>
        <v>2.9901971978219946</v>
      </c>
      <c r="G399" s="312">
        <f t="shared" si="149"/>
        <v>2.7011589591524596</v>
      </c>
      <c r="H399" s="312">
        <f t="shared" si="149"/>
        <v>2.483989482055609</v>
      </c>
      <c r="I399" s="312">
        <f t="shared" si="149"/>
        <v>2.6126613064893704</v>
      </c>
      <c r="J399" s="312">
        <f t="shared" si="149"/>
        <v>2.5616644623446527</v>
      </c>
      <c r="K399" s="312">
        <f t="shared" si="149"/>
        <v>2.5524635435961338</v>
      </c>
      <c r="L399" s="312">
        <f t="shared" si="149"/>
        <v>2.5133066514516078</v>
      </c>
      <c r="M399" s="312">
        <f t="shared" si="149"/>
        <v>3.0074793262769641</v>
      </c>
      <c r="N399" s="312">
        <f t="shared" si="149"/>
        <v>3.0870725848638938</v>
      </c>
      <c r="O399" s="312">
        <f t="shared" si="149"/>
        <v>3.3670788068353898</v>
      </c>
      <c r="P399" s="312">
        <f t="shared" si="149"/>
        <v>3.016375496646476</v>
      </c>
      <c r="Q399" s="312">
        <f t="shared" si="149"/>
        <v>2.9011552565913665</v>
      </c>
      <c r="R399" s="312">
        <f t="shared" si="149"/>
        <v>2.8931220436414122</v>
      </c>
      <c r="S399" s="312">
        <f t="shared" si="149"/>
        <v>2.7618286617484844</v>
      </c>
      <c r="T399" s="312">
        <f t="shared" si="149"/>
        <v>2.6763390524466568</v>
      </c>
      <c r="U399" s="312">
        <f t="shared" si="149"/>
        <v>2.5883468873076358</v>
      </c>
      <c r="V399" s="312">
        <f t="shared" si="149"/>
        <v>2.6250998099950063</v>
      </c>
      <c r="W399" s="312">
        <f t="shared" si="149"/>
        <v>2.5864717664720738</v>
      </c>
      <c r="X399" s="312">
        <f t="shared" si="149"/>
        <v>2.7315201584034363</v>
      </c>
    </row>
    <row r="402" spans="2:27">
      <c r="B402" s="262" t="s">
        <v>1</v>
      </c>
    </row>
    <row r="403" spans="2:27">
      <c r="B403" s="71"/>
    </row>
    <row r="404" spans="2:27">
      <c r="B404" s="305" t="s">
        <v>115</v>
      </c>
      <c r="C404" s="81"/>
      <c r="D404" s="81"/>
      <c r="E404" s="81"/>
      <c r="F404" s="81"/>
      <c r="G404" s="81"/>
      <c r="H404" s="81"/>
      <c r="I404" s="81"/>
      <c r="J404" s="81">
        <v>198.59699999999998</v>
      </c>
      <c r="K404" s="81">
        <v>182.02500000000001</v>
      </c>
      <c r="L404" s="81">
        <v>58.51</v>
      </c>
      <c r="M404" s="81">
        <v>279.29100000000005</v>
      </c>
      <c r="N404" s="81">
        <v>379.24</v>
      </c>
      <c r="O404" s="81">
        <v>413.62900000000013</v>
      </c>
      <c r="P404" s="81">
        <v>434.28399999999999</v>
      </c>
      <c r="Q404" s="81">
        <v>492.58600000000001</v>
      </c>
      <c r="R404" s="81">
        <v>597.35799999999995</v>
      </c>
      <c r="S404" s="81">
        <v>623.42800000000011</v>
      </c>
      <c r="T404" s="81">
        <v>626.97</v>
      </c>
      <c r="U404" s="81">
        <v>664.11200000000019</v>
      </c>
      <c r="V404" s="81">
        <v>842.41300000000001</v>
      </c>
      <c r="W404" s="81">
        <v>888.43299999999988</v>
      </c>
      <c r="X404" s="81">
        <v>746.91899999999998</v>
      </c>
    </row>
    <row r="405" spans="2:27">
      <c r="B405" s="305" t="s">
        <v>610</v>
      </c>
      <c r="C405" s="81"/>
      <c r="D405" s="81"/>
      <c r="E405" s="81"/>
      <c r="F405" s="81"/>
      <c r="G405" s="81"/>
      <c r="H405" s="81"/>
      <c r="I405" s="81"/>
      <c r="J405" s="81">
        <v>1247.375</v>
      </c>
      <c r="K405" s="81">
        <v>1488.9259999999999</v>
      </c>
      <c r="L405" s="81">
        <v>1593.067</v>
      </c>
      <c r="M405" s="81">
        <v>1933.5820000000001</v>
      </c>
      <c r="N405" s="81">
        <v>2291.63</v>
      </c>
      <c r="O405" s="81">
        <v>2673.1120000000001</v>
      </c>
      <c r="P405" s="81">
        <v>3019.1669999999999</v>
      </c>
      <c r="Q405" s="81">
        <v>3316.9969999999998</v>
      </c>
      <c r="R405" s="81">
        <v>3156.7849999999999</v>
      </c>
      <c r="S405" s="81">
        <v>2904.7860000000001</v>
      </c>
      <c r="T405" s="81">
        <v>3108.58</v>
      </c>
      <c r="U405" s="81">
        <v>3316.8490000000002</v>
      </c>
      <c r="V405" s="81">
        <v>3357.0279999999998</v>
      </c>
      <c r="W405" s="81">
        <v>3768.875</v>
      </c>
      <c r="X405" s="81">
        <v>4364.6130000000003</v>
      </c>
    </row>
    <row r="406" spans="2:27">
      <c r="B406" s="308" t="s">
        <v>476</v>
      </c>
      <c r="C406" s="309"/>
      <c r="D406" s="309"/>
      <c r="E406" s="309"/>
      <c r="F406" s="309"/>
      <c r="G406" s="309"/>
      <c r="H406" s="317">
        <f>+Model!L452</f>
        <v>0.14019770879526949</v>
      </c>
      <c r="I406" s="317">
        <f>+Model!M452</f>
        <v>0.13985066757802644</v>
      </c>
      <c r="J406" s="309">
        <f t="shared" ref="J406:W406" si="150">J404/J405</f>
        <v>0.15921194508467781</v>
      </c>
      <c r="K406" s="309">
        <f t="shared" si="150"/>
        <v>0.12225254982450438</v>
      </c>
      <c r="L406" s="309">
        <f t="shared" si="150"/>
        <v>3.6727896566811059E-2</v>
      </c>
      <c r="M406" s="309">
        <f t="shared" si="150"/>
        <v>0.14444228380280746</v>
      </c>
      <c r="N406" s="309">
        <f t="shared" si="150"/>
        <v>0.16548919328163797</v>
      </c>
      <c r="O406" s="309">
        <f t="shared" si="150"/>
        <v>0.15473687597077868</v>
      </c>
      <c r="P406" s="309">
        <f t="shared" si="150"/>
        <v>0.14384232472069283</v>
      </c>
      <c r="Q406" s="309">
        <f t="shared" si="150"/>
        <v>0.14850360129960927</v>
      </c>
      <c r="R406" s="309">
        <f t="shared" si="150"/>
        <v>0.1892298651951273</v>
      </c>
      <c r="S406" s="309">
        <f t="shared" si="150"/>
        <v>0.21462097379979114</v>
      </c>
      <c r="T406" s="309">
        <f t="shared" si="150"/>
        <v>0.20169016078080668</v>
      </c>
      <c r="U406" s="309">
        <f t="shared" si="150"/>
        <v>0.20022376659293206</v>
      </c>
      <c r="V406" s="309">
        <f t="shared" si="150"/>
        <v>0.25094011727039517</v>
      </c>
      <c r="W406" s="309">
        <f t="shared" si="150"/>
        <v>0.2357289642134589</v>
      </c>
      <c r="X406" s="309">
        <f>X404/X405</f>
        <v>0.17113063632445763</v>
      </c>
      <c r="Z406" s="316"/>
      <c r="AA406" s="316"/>
    </row>
    <row r="407" spans="2:27">
      <c r="B407" s="7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2:27">
      <c r="B408" s="305" t="s">
        <v>115</v>
      </c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>
        <v>-36.78</v>
      </c>
      <c r="T408" s="81">
        <v>-93.111999999999995</v>
      </c>
      <c r="U408" s="81">
        <v>-164.31599999999997</v>
      </c>
      <c r="V408" s="81">
        <v>-254.745</v>
      </c>
      <c r="W408" s="81">
        <v>-364.63900000000001</v>
      </c>
      <c r="X408" s="81">
        <v>-462.22199999999998</v>
      </c>
    </row>
    <row r="409" spans="2:27">
      <c r="B409" s="305" t="s">
        <v>610</v>
      </c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>
        <v>65.203999999999994</v>
      </c>
      <c r="T409" s="81">
        <v>135.01100000000002</v>
      </c>
      <c r="U409" s="81">
        <v>279.54399999999998</v>
      </c>
      <c r="V409" s="81">
        <v>227.428</v>
      </c>
      <c r="W409" s="81">
        <v>191.93899999999999</v>
      </c>
      <c r="X409" s="81">
        <v>801.50300000000004</v>
      </c>
    </row>
    <row r="410" spans="2:27">
      <c r="B410" s="311" t="s">
        <v>477</v>
      </c>
      <c r="C410" s="312"/>
      <c r="D410" s="312"/>
      <c r="E410" s="312"/>
      <c r="F410" s="312"/>
      <c r="G410" s="312"/>
      <c r="H410" s="312"/>
      <c r="I410" s="312"/>
      <c r="J410" s="309"/>
      <c r="K410" s="309"/>
      <c r="L410" s="309"/>
      <c r="M410" s="309"/>
      <c r="N410" s="309"/>
      <c r="O410" s="309"/>
      <c r="P410" s="309"/>
      <c r="Q410" s="309"/>
      <c r="R410" s="309"/>
      <c r="S410" s="309">
        <f t="shared" ref="S410:X410" si="151">S408/S409</f>
        <v>-0.56407582356910624</v>
      </c>
      <c r="T410" s="309">
        <f t="shared" si="151"/>
        <v>-0.68966232381065229</v>
      </c>
      <c r="U410" s="309">
        <f t="shared" si="151"/>
        <v>-0.5878001316429613</v>
      </c>
      <c r="V410" s="309">
        <f t="shared" si="151"/>
        <v>-1.1201127389767311</v>
      </c>
      <c r="W410" s="309">
        <f t="shared" si="151"/>
        <v>-1.8997650295145856</v>
      </c>
      <c r="X410" s="309">
        <f t="shared" si="151"/>
        <v>-0.57669403607971514</v>
      </c>
      <c r="Z410" s="316"/>
      <c r="AA410" s="316"/>
    </row>
    <row r="411" spans="2:27">
      <c r="B411" s="71"/>
    </row>
    <row r="412" spans="2:27">
      <c r="B412" s="305" t="s">
        <v>115</v>
      </c>
      <c r="C412" s="81"/>
      <c r="D412" s="81"/>
      <c r="E412" s="81"/>
      <c r="F412" s="81"/>
      <c r="G412" s="81"/>
      <c r="H412" s="81"/>
      <c r="I412" s="81"/>
      <c r="J412" s="81">
        <v>331.40000000000003</v>
      </c>
      <c r="K412" s="81">
        <v>288.00000000000006</v>
      </c>
      <c r="L412" s="81">
        <v>-1225.4000000000001</v>
      </c>
      <c r="M412" s="81">
        <v>234.2</v>
      </c>
      <c r="N412" s="81">
        <v>235.29999999999995</v>
      </c>
      <c r="O412" s="81">
        <v>284.20000000000005</v>
      </c>
      <c r="P412" s="81">
        <v>317.30000000000007</v>
      </c>
      <c r="Q412" s="81">
        <v>375.79999999999984</v>
      </c>
      <c r="R412" s="81">
        <v>419.79999999999995</v>
      </c>
      <c r="S412" s="81">
        <v>443.70000000000005</v>
      </c>
      <c r="T412" s="81">
        <v>431.69999999999993</v>
      </c>
      <c r="U412" s="81">
        <v>435</v>
      </c>
      <c r="V412" s="81">
        <v>395.90000000000009</v>
      </c>
      <c r="W412" s="81">
        <v>450.8</v>
      </c>
      <c r="X412" s="81">
        <v>381.7999999999999</v>
      </c>
    </row>
    <row r="413" spans="2:27">
      <c r="B413" s="305" t="s">
        <v>610</v>
      </c>
      <c r="C413" s="81"/>
      <c r="D413" s="81"/>
      <c r="E413" s="81"/>
      <c r="F413" s="81"/>
      <c r="G413" s="81"/>
      <c r="H413" s="81"/>
      <c r="I413" s="81"/>
      <c r="J413" s="81">
        <v>3712.7</v>
      </c>
      <c r="K413" s="81">
        <v>3473.5</v>
      </c>
      <c r="L413" s="81">
        <v>2198.1</v>
      </c>
      <c r="M413" s="81">
        <v>2303.1999999999998</v>
      </c>
      <c r="N413" s="81">
        <v>2078.9</v>
      </c>
      <c r="O413" s="81">
        <v>1894.6</v>
      </c>
      <c r="P413" s="81">
        <v>1688.5</v>
      </c>
      <c r="Q413" s="81">
        <v>2061.6999999999998</v>
      </c>
      <c r="R413" s="81">
        <v>2072.1</v>
      </c>
      <c r="S413" s="81">
        <v>2349.3000000000002</v>
      </c>
      <c r="T413" s="81">
        <v>2310.3000000000002</v>
      </c>
      <c r="U413" s="81">
        <v>2369.3000000000002</v>
      </c>
      <c r="V413" s="81">
        <v>2716</v>
      </c>
      <c r="W413" s="81">
        <v>3162.1</v>
      </c>
      <c r="X413" s="81">
        <v>3235.7</v>
      </c>
    </row>
    <row r="414" spans="2:27">
      <c r="B414" s="311" t="s">
        <v>478</v>
      </c>
      <c r="C414" s="312"/>
      <c r="D414" s="312"/>
      <c r="E414" s="312"/>
      <c r="F414" s="312"/>
      <c r="G414" s="312"/>
      <c r="H414" s="312"/>
      <c r="I414" s="312"/>
      <c r="J414" s="309">
        <f t="shared" ref="J414:X414" si="152">J412/J413</f>
        <v>8.9261184582648756E-2</v>
      </c>
      <c r="K414" s="309">
        <f t="shared" si="152"/>
        <v>8.2913487836476188E-2</v>
      </c>
      <c r="L414" s="309">
        <f t="shared" si="152"/>
        <v>-0.55748146126199905</v>
      </c>
      <c r="M414" s="309">
        <f t="shared" si="152"/>
        <v>0.10168461271274748</v>
      </c>
      <c r="N414" s="309">
        <f t="shared" si="152"/>
        <v>0.11318485737649715</v>
      </c>
      <c r="O414" s="309">
        <f t="shared" si="152"/>
        <v>0.15000527815897818</v>
      </c>
      <c r="P414" s="309">
        <f t="shared" si="152"/>
        <v>0.18791827065442704</v>
      </c>
      <c r="Q414" s="309">
        <f t="shared" si="152"/>
        <v>0.18227676189552305</v>
      </c>
      <c r="R414" s="309">
        <f t="shared" si="152"/>
        <v>0.20259639978765503</v>
      </c>
      <c r="S414" s="309">
        <f t="shared" si="152"/>
        <v>0.18886476822883413</v>
      </c>
      <c r="T414" s="309">
        <f t="shared" si="152"/>
        <v>0.18685884950006487</v>
      </c>
      <c r="U414" s="309">
        <f t="shared" si="152"/>
        <v>0.18359853121175029</v>
      </c>
      <c r="V414" s="309">
        <f t="shared" si="152"/>
        <v>0.14576583210603833</v>
      </c>
      <c r="W414" s="309">
        <f t="shared" si="152"/>
        <v>0.14256348629075616</v>
      </c>
      <c r="X414" s="309">
        <f t="shared" si="152"/>
        <v>0.11799610594307257</v>
      </c>
      <c r="Z414" s="316"/>
      <c r="AA414" s="316"/>
    </row>
    <row r="415" spans="2:27">
      <c r="B415" s="71"/>
    </row>
    <row r="416" spans="2:27">
      <c r="B416" s="305" t="s">
        <v>115</v>
      </c>
      <c r="C416" s="81"/>
      <c r="D416" s="81"/>
      <c r="E416" s="81"/>
      <c r="F416" s="81"/>
      <c r="G416" s="81"/>
      <c r="H416" s="81"/>
      <c r="I416" s="81"/>
      <c r="J416" s="81">
        <v>132.77200000000002</v>
      </c>
      <c r="K416" s="81">
        <v>129.77000000000001</v>
      </c>
      <c r="L416" s="81">
        <v>-402.49200000000008</v>
      </c>
      <c r="M416" s="81">
        <v>84.042000000000002</v>
      </c>
      <c r="N416" s="81">
        <v>112.256</v>
      </c>
      <c r="O416" s="81">
        <v>176.45500000000004</v>
      </c>
      <c r="P416" s="81">
        <v>194.65800000000007</v>
      </c>
      <c r="Q416" s="81">
        <v>251.09999999999997</v>
      </c>
      <c r="R416" s="81">
        <v>304.79999999999995</v>
      </c>
      <c r="S416" s="81">
        <v>333.9</v>
      </c>
      <c r="T416" s="81">
        <v>347.4</v>
      </c>
      <c r="U416" s="81">
        <v>613</v>
      </c>
      <c r="V416" s="81">
        <v>469.8</v>
      </c>
      <c r="W416" s="81">
        <v>434.8</v>
      </c>
      <c r="X416" s="81">
        <v>544.90000000000009</v>
      </c>
    </row>
    <row r="417" spans="2:27">
      <c r="B417" s="305" t="s">
        <v>610</v>
      </c>
      <c r="C417" s="81"/>
      <c r="D417" s="81"/>
      <c r="E417" s="81"/>
      <c r="F417" s="81"/>
      <c r="G417" s="81"/>
      <c r="H417" s="81"/>
      <c r="I417" s="81"/>
      <c r="J417" s="81">
        <v>1295.653</v>
      </c>
      <c r="K417" s="81">
        <v>1421.4590000000001</v>
      </c>
      <c r="L417" s="81">
        <v>783.726</v>
      </c>
      <c r="M417" s="81">
        <v>946.03899999999999</v>
      </c>
      <c r="N417" s="81">
        <v>1045.8530000000001</v>
      </c>
      <c r="O417" s="81">
        <v>1140.413</v>
      </c>
      <c r="P417" s="81">
        <v>1316.3209999999999</v>
      </c>
      <c r="Q417" s="81">
        <v>1522.1</v>
      </c>
      <c r="R417" s="81">
        <v>1681.2</v>
      </c>
      <c r="S417" s="81">
        <v>1834.9</v>
      </c>
      <c r="T417" s="81">
        <v>1779.5</v>
      </c>
      <c r="U417" s="81">
        <v>2428</v>
      </c>
      <c r="V417" s="81">
        <v>2634.7</v>
      </c>
      <c r="W417" s="81">
        <v>2811.6</v>
      </c>
      <c r="X417" s="81">
        <v>3326.1</v>
      </c>
    </row>
    <row r="418" spans="2:27">
      <c r="B418" s="311" t="s">
        <v>479</v>
      </c>
      <c r="C418" s="312"/>
      <c r="D418" s="312"/>
      <c r="E418" s="312"/>
      <c r="F418" s="312"/>
      <c r="G418" s="312"/>
      <c r="H418" s="312"/>
      <c r="I418" s="312"/>
      <c r="J418" s="309">
        <f t="shared" ref="J418:X418" si="153">J416/J417</f>
        <v>0.10247496822065785</v>
      </c>
      <c r="K418" s="309">
        <f t="shared" si="153"/>
        <v>9.1293523063275137E-2</v>
      </c>
      <c r="L418" s="309">
        <f t="shared" si="153"/>
        <v>-0.51356213778795146</v>
      </c>
      <c r="M418" s="309">
        <f t="shared" si="153"/>
        <v>8.8835661109108607E-2</v>
      </c>
      <c r="N418" s="309">
        <f t="shared" si="153"/>
        <v>0.10733439594283326</v>
      </c>
      <c r="O418" s="309">
        <f t="shared" si="153"/>
        <v>0.154729032376867</v>
      </c>
      <c r="P418" s="309">
        <f t="shared" si="153"/>
        <v>0.14788034225694194</v>
      </c>
      <c r="Q418" s="309">
        <f t="shared" si="153"/>
        <v>0.16496945010183298</v>
      </c>
      <c r="R418" s="309">
        <f t="shared" si="153"/>
        <v>0.18129907209136328</v>
      </c>
      <c r="S418" s="309">
        <f t="shared" si="153"/>
        <v>0.1819717695787236</v>
      </c>
      <c r="T418" s="309">
        <f t="shared" si="153"/>
        <v>0.19522337735318909</v>
      </c>
      <c r="U418" s="309">
        <f t="shared" si="153"/>
        <v>0.25247116968698519</v>
      </c>
      <c r="V418" s="309">
        <f t="shared" si="153"/>
        <v>0.17831252134967929</v>
      </c>
      <c r="W418" s="309">
        <f t="shared" si="153"/>
        <v>0.15464504196898565</v>
      </c>
      <c r="X418" s="309">
        <f t="shared" si="153"/>
        <v>0.16382550133790327</v>
      </c>
      <c r="Z418" s="316"/>
      <c r="AA418" s="316"/>
    </row>
    <row r="419" spans="2:27">
      <c r="B419" s="71"/>
    </row>
    <row r="420" spans="2:27">
      <c r="B420" s="305" t="s">
        <v>115</v>
      </c>
      <c r="C420" s="81"/>
      <c r="D420" s="81"/>
      <c r="E420" s="81"/>
      <c r="F420" s="81"/>
      <c r="G420" s="81"/>
      <c r="H420" s="81"/>
      <c r="I420" s="81"/>
      <c r="J420" s="81">
        <v>88.389999999999986</v>
      </c>
      <c r="K420" s="81">
        <v>67.951999999999998</v>
      </c>
      <c r="L420" s="81">
        <v>-29.490000000000013</v>
      </c>
      <c r="M420" s="81">
        <v>34.844999999999999</v>
      </c>
      <c r="N420" s="81">
        <v>50.303999999999995</v>
      </c>
      <c r="O420" s="81">
        <v>82.393999999999991</v>
      </c>
      <c r="P420" s="81">
        <v>94.94</v>
      </c>
      <c r="Q420" s="81">
        <v>109.02899999999998</v>
      </c>
      <c r="R420" s="81">
        <v>89.361000000000004</v>
      </c>
      <c r="S420" s="81">
        <v>90.403999999999968</v>
      </c>
      <c r="T420" s="81">
        <v>141.19399999999996</v>
      </c>
      <c r="U420" s="81">
        <v>205.92999999999998</v>
      </c>
      <c r="V420" s="81">
        <v>152.35599999999999</v>
      </c>
      <c r="W420" s="81">
        <v>167.60000000000002</v>
      </c>
      <c r="X420" s="81">
        <v>276.19999999999993</v>
      </c>
    </row>
    <row r="421" spans="2:27">
      <c r="B421" s="305" t="s">
        <v>610</v>
      </c>
      <c r="C421" s="81"/>
      <c r="D421" s="81"/>
      <c r="E421" s="81"/>
      <c r="F421" s="81"/>
      <c r="G421" s="81"/>
      <c r="H421" s="81"/>
      <c r="I421" s="81"/>
      <c r="J421" s="81">
        <v>692.84</v>
      </c>
      <c r="K421" s="81">
        <v>684.48099999999999</v>
      </c>
      <c r="L421" s="81">
        <v>621.35299999999995</v>
      </c>
      <c r="M421" s="81">
        <v>720.15599999999995</v>
      </c>
      <c r="N421" s="81">
        <v>784.36800000000005</v>
      </c>
      <c r="O421" s="81">
        <v>807.1</v>
      </c>
      <c r="P421" s="81">
        <v>860.28399999999999</v>
      </c>
      <c r="Q421" s="81">
        <v>1035.175</v>
      </c>
      <c r="R421" s="81">
        <v>978.01</v>
      </c>
      <c r="S421" s="81">
        <v>918.25199999999995</v>
      </c>
      <c r="T421" s="81">
        <v>930.2</v>
      </c>
      <c r="U421" s="81">
        <v>1124.2819999999999</v>
      </c>
      <c r="V421" s="81">
        <v>1095.694</v>
      </c>
      <c r="W421" s="81">
        <v>1255.7</v>
      </c>
      <c r="X421" s="81">
        <v>1449.6</v>
      </c>
    </row>
    <row r="422" spans="2:27">
      <c r="B422" s="311" t="s">
        <v>480</v>
      </c>
      <c r="C422" s="312"/>
      <c r="D422" s="312"/>
      <c r="E422" s="312"/>
      <c r="F422" s="312"/>
      <c r="G422" s="312"/>
      <c r="H422" s="312"/>
      <c r="I422" s="312"/>
      <c r="J422" s="309">
        <f t="shared" ref="J422:X422" si="154">J420/J421</f>
        <v>0.12757635240459556</v>
      </c>
      <c r="K422" s="309">
        <f t="shared" si="154"/>
        <v>9.9275217281414682E-2</v>
      </c>
      <c r="L422" s="309">
        <f t="shared" si="154"/>
        <v>-4.7460944101018289E-2</v>
      </c>
      <c r="M422" s="309">
        <f t="shared" si="154"/>
        <v>4.8385349840867814E-2</v>
      </c>
      <c r="N422" s="309">
        <f t="shared" si="154"/>
        <v>6.4133161985190618E-2</v>
      </c>
      <c r="O422" s="309">
        <f t="shared" si="154"/>
        <v>0.10208648246809564</v>
      </c>
      <c r="P422" s="309">
        <f t="shared" si="154"/>
        <v>0.11035890473378558</v>
      </c>
      <c r="Q422" s="309">
        <f t="shared" si="154"/>
        <v>0.10532422054242035</v>
      </c>
      <c r="R422" s="309">
        <f t="shared" si="154"/>
        <v>9.1370231388227113E-2</v>
      </c>
      <c r="S422" s="309">
        <f t="shared" si="154"/>
        <v>9.8452276717066745E-2</v>
      </c>
      <c r="T422" s="309">
        <f t="shared" si="154"/>
        <v>0.15178886261019131</v>
      </c>
      <c r="U422" s="309">
        <f t="shared" si="154"/>
        <v>0.18316578936601316</v>
      </c>
      <c r="V422" s="309">
        <f t="shared" si="154"/>
        <v>0.13904977119524248</v>
      </c>
      <c r="W422" s="309">
        <f t="shared" si="154"/>
        <v>0.13347137055029068</v>
      </c>
      <c r="X422" s="309">
        <f t="shared" si="154"/>
        <v>0.19053532008830018</v>
      </c>
      <c r="Z422" s="316"/>
      <c r="AA422" s="316"/>
    </row>
    <row r="423" spans="2:27">
      <c r="B423" s="71"/>
    </row>
    <row r="424" spans="2:27">
      <c r="B424" s="305" t="s">
        <v>115</v>
      </c>
      <c r="C424" s="81"/>
      <c r="D424" s="81"/>
      <c r="E424" s="81"/>
      <c r="F424" s="81"/>
      <c r="G424" s="81"/>
      <c r="H424" s="81"/>
      <c r="I424" s="81"/>
      <c r="J424" s="81">
        <v>40.337000000000003</v>
      </c>
      <c r="K424" s="81">
        <v>24.853999999999992</v>
      </c>
      <c r="L424" s="81">
        <v>-199.148</v>
      </c>
      <c r="M424" s="81">
        <v>6.0640000000000027</v>
      </c>
      <c r="N424" s="81">
        <v>14.099999999999998</v>
      </c>
      <c r="O424" s="81">
        <v>55.76700000000001</v>
      </c>
      <c r="P424" s="81">
        <v>67.328999999999994</v>
      </c>
      <c r="Q424" s="81">
        <v>105.21400000000001</v>
      </c>
      <c r="R424" s="81">
        <v>135.53999999999996</v>
      </c>
      <c r="S424" s="81">
        <v>182.99900000000002</v>
      </c>
      <c r="T424" s="81">
        <v>197.05800000000002</v>
      </c>
      <c r="U424" s="81">
        <v>245.21700000000007</v>
      </c>
      <c r="V424" s="81">
        <v>265.69999999999993</v>
      </c>
      <c r="W424" s="81">
        <v>271.5</v>
      </c>
      <c r="X424" s="81">
        <v>470.3</v>
      </c>
    </row>
    <row r="425" spans="2:27">
      <c r="B425" s="305" t="s">
        <v>610</v>
      </c>
      <c r="C425" s="81"/>
      <c r="D425" s="81"/>
      <c r="E425" s="81"/>
      <c r="F425" s="81"/>
      <c r="G425" s="81"/>
      <c r="H425" s="81"/>
      <c r="I425" s="81"/>
      <c r="J425" s="81">
        <v>493.39300000000003</v>
      </c>
      <c r="K425" s="81">
        <v>508.21199999999999</v>
      </c>
      <c r="L425" s="81">
        <v>248.34299999999999</v>
      </c>
      <c r="M425" s="81">
        <v>307.03800000000001</v>
      </c>
      <c r="N425" s="81">
        <v>320.21699999999998</v>
      </c>
      <c r="O425" s="81">
        <v>367.12099999999998</v>
      </c>
      <c r="P425" s="81">
        <v>428.101</v>
      </c>
      <c r="Q425" s="81">
        <v>534.72199999999998</v>
      </c>
      <c r="R425" s="81">
        <v>673.10500000000002</v>
      </c>
      <c r="S425" s="81">
        <v>828.16399999999999</v>
      </c>
      <c r="T425" s="81">
        <v>910.77599999999995</v>
      </c>
      <c r="U425" s="81">
        <v>1083.2180000000001</v>
      </c>
      <c r="V425" s="81">
        <v>1197.1999999999998</v>
      </c>
      <c r="W425" s="81">
        <v>1467.7</v>
      </c>
      <c r="X425" s="81">
        <v>2661.5</v>
      </c>
    </row>
    <row r="426" spans="2:27">
      <c r="B426" s="311" t="s">
        <v>481</v>
      </c>
      <c r="C426" s="312"/>
      <c r="D426" s="312"/>
      <c r="E426" s="312"/>
      <c r="F426" s="312"/>
      <c r="G426" s="312"/>
      <c r="H426" s="312"/>
      <c r="I426" s="312"/>
      <c r="J426" s="309">
        <f t="shared" ref="J426:X426" si="155">J424/J425</f>
        <v>8.1754301337878726E-2</v>
      </c>
      <c r="K426" s="309">
        <f t="shared" si="155"/>
        <v>4.8904787765735543E-2</v>
      </c>
      <c r="L426" s="309">
        <f t="shared" si="155"/>
        <v>-0.8019070398601934</v>
      </c>
      <c r="M426" s="309">
        <f t="shared" si="155"/>
        <v>1.974999837153708E-2</v>
      </c>
      <c r="N426" s="309">
        <f t="shared" si="155"/>
        <v>4.4032640365751968E-2</v>
      </c>
      <c r="O426" s="309">
        <f t="shared" si="155"/>
        <v>0.15190359581718293</v>
      </c>
      <c r="P426" s="309">
        <f t="shared" si="155"/>
        <v>0.15727363402561542</v>
      </c>
      <c r="Q426" s="309">
        <f t="shared" si="155"/>
        <v>0.19676392592786535</v>
      </c>
      <c r="R426" s="309">
        <f t="shared" si="155"/>
        <v>0.20136531447545325</v>
      </c>
      <c r="S426" s="309">
        <f t="shared" si="155"/>
        <v>0.22096951811476956</v>
      </c>
      <c r="T426" s="309">
        <f t="shared" si="155"/>
        <v>0.21636275000658783</v>
      </c>
      <c r="U426" s="309">
        <f t="shared" si="155"/>
        <v>0.22637825442339404</v>
      </c>
      <c r="V426" s="309">
        <f t="shared" si="155"/>
        <v>0.22193451386568658</v>
      </c>
      <c r="W426" s="309">
        <f t="shared" si="155"/>
        <v>0.18498330721537098</v>
      </c>
      <c r="X426" s="309">
        <f t="shared" si="155"/>
        <v>0.17670486567724966</v>
      </c>
      <c r="Z426" s="316"/>
      <c r="AA426" s="316"/>
    </row>
    <row r="427" spans="2:27">
      <c r="B427" s="71"/>
    </row>
    <row r="428" spans="2:27">
      <c r="B428" s="305" t="s">
        <v>115</v>
      </c>
      <c r="C428" s="81"/>
      <c r="D428" s="81"/>
      <c r="E428" s="81"/>
      <c r="F428" s="81"/>
      <c r="G428" s="81"/>
      <c r="H428" s="81"/>
      <c r="I428" s="81"/>
      <c r="J428" s="81">
        <v>98.565999999999974</v>
      </c>
      <c r="K428" s="81">
        <v>114.83600000000003</v>
      </c>
      <c r="L428" s="81">
        <v>-634.12699999999995</v>
      </c>
      <c r="M428" s="81">
        <v>55.610000000000021</v>
      </c>
      <c r="N428" s="81">
        <v>95.003999999999991</v>
      </c>
      <c r="O428" s="81">
        <v>76.688999999999993</v>
      </c>
      <c r="P428" s="81">
        <v>89.88</v>
      </c>
      <c r="Q428" s="81">
        <v>84.077000000000012</v>
      </c>
      <c r="R428" s="81">
        <v>98.248000000000005</v>
      </c>
      <c r="S428" s="81">
        <v>88.055000000000007</v>
      </c>
      <c r="T428" s="81">
        <v>94.46399999999997</v>
      </c>
      <c r="U428" s="81">
        <v>94.068000000000012</v>
      </c>
      <c r="V428" s="81">
        <v>52.34</v>
      </c>
      <c r="W428" s="81">
        <v>144.53699999999998</v>
      </c>
      <c r="X428" s="81">
        <v>-50.663999999999994</v>
      </c>
    </row>
    <row r="429" spans="2:27">
      <c r="B429" s="305" t="s">
        <v>610</v>
      </c>
      <c r="C429" s="81"/>
      <c r="D429" s="81"/>
      <c r="E429" s="81"/>
      <c r="F429" s="81"/>
      <c r="G429" s="81"/>
      <c r="H429" s="81"/>
      <c r="I429" s="81"/>
      <c r="J429" s="81">
        <v>903.84</v>
      </c>
      <c r="K429" s="81">
        <v>930.82799999999997</v>
      </c>
      <c r="L429" s="81">
        <v>189.78899999999999</v>
      </c>
      <c r="M429" s="81">
        <v>368.75200000000001</v>
      </c>
      <c r="N429" s="81">
        <v>464.69499999999999</v>
      </c>
      <c r="O429" s="81">
        <v>522.74199999999996</v>
      </c>
      <c r="P429" s="81">
        <v>526.54499999999996</v>
      </c>
      <c r="Q429" s="81">
        <v>613.63900000000001</v>
      </c>
      <c r="R429" s="81">
        <v>666.71799999999996</v>
      </c>
      <c r="S429" s="81">
        <v>729.048</v>
      </c>
      <c r="T429" s="81">
        <v>725.16399999999999</v>
      </c>
      <c r="U429" s="81">
        <v>786.76</v>
      </c>
      <c r="V429" s="81">
        <v>823.11599999999999</v>
      </c>
      <c r="W429" s="81">
        <v>944.76400000000001</v>
      </c>
      <c r="X429" s="81">
        <v>814.80499999999995</v>
      </c>
    </row>
    <row r="430" spans="2:27">
      <c r="B430" s="311" t="s">
        <v>482</v>
      </c>
      <c r="C430" s="312"/>
      <c r="D430" s="312"/>
      <c r="E430" s="312"/>
      <c r="F430" s="312"/>
      <c r="G430" s="312"/>
      <c r="H430" s="312"/>
      <c r="I430" s="312"/>
      <c r="J430" s="309">
        <f t="shared" ref="J430:X430" si="156">J428/J429</f>
        <v>0.10905248716587003</v>
      </c>
      <c r="K430" s="309">
        <f t="shared" si="156"/>
        <v>0.12336973103516442</v>
      </c>
      <c r="L430" s="309">
        <f t="shared" si="156"/>
        <v>-3.3412210402078095</v>
      </c>
      <c r="M430" s="309">
        <f t="shared" si="156"/>
        <v>0.15080596173037711</v>
      </c>
      <c r="N430" s="309">
        <f t="shared" si="156"/>
        <v>0.20444377494916019</v>
      </c>
      <c r="O430" s="309">
        <f t="shared" si="156"/>
        <v>0.1467052580431647</v>
      </c>
      <c r="P430" s="309">
        <f t="shared" si="156"/>
        <v>0.17069766116856111</v>
      </c>
      <c r="Q430" s="309">
        <f t="shared" si="156"/>
        <v>0.13701378171856746</v>
      </c>
      <c r="R430" s="309">
        <f t="shared" si="156"/>
        <v>0.14736065322970132</v>
      </c>
      <c r="S430" s="309">
        <f t="shared" si="156"/>
        <v>0.12078079906947142</v>
      </c>
      <c r="T430" s="309">
        <f t="shared" si="156"/>
        <v>0.13026570541284449</v>
      </c>
      <c r="U430" s="309">
        <f t="shared" si="156"/>
        <v>0.11956378056840715</v>
      </c>
      <c r="V430" s="309">
        <f t="shared" si="156"/>
        <v>6.3587635278624155E-2</v>
      </c>
      <c r="W430" s="309">
        <f t="shared" si="156"/>
        <v>0.1529874127295282</v>
      </c>
      <c r="X430" s="309">
        <f t="shared" si="156"/>
        <v>-6.2179294432410208E-2</v>
      </c>
      <c r="Z430" s="316"/>
      <c r="AA430" s="316"/>
    </row>
    <row r="431" spans="2:27">
      <c r="B431" s="323"/>
      <c r="C431" s="322"/>
      <c r="D431" s="322"/>
      <c r="E431" s="322"/>
      <c r="F431" s="322"/>
      <c r="G431" s="322"/>
      <c r="H431" s="322"/>
      <c r="I431" s="322"/>
      <c r="J431" s="313"/>
      <c r="K431" s="313"/>
      <c r="L431" s="313"/>
      <c r="M431" s="313"/>
      <c r="N431" s="313"/>
      <c r="O431" s="313"/>
      <c r="P431" s="313"/>
      <c r="Q431" s="313"/>
      <c r="R431" s="313"/>
      <c r="S431" s="313"/>
      <c r="T431" s="313"/>
      <c r="U431" s="313"/>
      <c r="V431" s="313"/>
      <c r="W431" s="313"/>
      <c r="X431" s="313"/>
      <c r="Z431" s="316"/>
      <c r="AA431" s="316"/>
    </row>
    <row r="432" spans="2:27">
      <c r="W432" s="120" t="s">
        <v>176</v>
      </c>
      <c r="X432" s="119"/>
    </row>
    <row r="433" spans="2:29">
      <c r="B433" s="262" t="s">
        <v>83</v>
      </c>
      <c r="W433" s="241" t="s">
        <v>612</v>
      </c>
      <c r="X433" s="241" t="s">
        <v>612</v>
      </c>
    </row>
    <row r="434" spans="2:29">
      <c r="B434" s="71"/>
      <c r="W434" s="241">
        <v>2019</v>
      </c>
      <c r="X434" s="241">
        <v>2020</v>
      </c>
    </row>
    <row r="435" spans="2:29">
      <c r="B435" s="305" t="s">
        <v>611</v>
      </c>
      <c r="C435" s="81"/>
      <c r="D435" s="81"/>
      <c r="E435" s="81"/>
      <c r="F435" s="81"/>
      <c r="G435" s="81"/>
      <c r="H435" s="8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76">
        <f>+Model!AA338</f>
        <v>1787.963</v>
      </c>
      <c r="X435" s="76">
        <f>+Model!AB338</f>
        <v>1332.3419999999999</v>
      </c>
    </row>
    <row r="436" spans="2:29">
      <c r="B436" s="305" t="s">
        <v>102</v>
      </c>
      <c r="C436" s="81"/>
      <c r="D436" s="81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>
        <v>1459.8039999999999</v>
      </c>
      <c r="X436" s="81">
        <v>1293.5909999999999</v>
      </c>
    </row>
    <row r="437" spans="2:29">
      <c r="B437" s="308" t="s">
        <v>476</v>
      </c>
      <c r="C437" s="309"/>
      <c r="D437" s="309"/>
      <c r="E437" s="309"/>
      <c r="F437" s="309"/>
      <c r="G437" s="309"/>
      <c r="H437" s="309"/>
      <c r="I437" s="309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>
        <f t="shared" ref="W437" si="157">W435/W436</f>
        <v>1.2247966165320825</v>
      </c>
      <c r="X437" s="312">
        <f>X435/X436</f>
        <v>1.0299561453349628</v>
      </c>
      <c r="AB437" s="105"/>
      <c r="AC437" s="105"/>
    </row>
    <row r="438" spans="2:29">
      <c r="B438" s="71"/>
    </row>
    <row r="439" spans="2:29">
      <c r="B439" s="305" t="s">
        <v>611</v>
      </c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>
        <v>1629.558</v>
      </c>
      <c r="X439" s="81">
        <v>1889.3030000000001</v>
      </c>
    </row>
    <row r="440" spans="2:29">
      <c r="B440" s="305" t="s">
        <v>102</v>
      </c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>
        <v>-242.76800000000003</v>
      </c>
      <c r="X440" s="81">
        <v>-257.15799999999996</v>
      </c>
    </row>
    <row r="441" spans="2:29">
      <c r="B441" s="311" t="s">
        <v>477</v>
      </c>
      <c r="C441" s="312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>
        <f t="shared" ref="W441:X441" si="158">W439/W440</f>
        <v>-6.7124085546694783</v>
      </c>
      <c r="X441" s="312">
        <f t="shared" si="158"/>
        <v>-7.3468567962108917</v>
      </c>
      <c r="AB441" s="105"/>
      <c r="AC441" s="105"/>
    </row>
    <row r="442" spans="2:29">
      <c r="B442" s="71"/>
      <c r="X442" s="7"/>
    </row>
    <row r="443" spans="2:29">
      <c r="B443" s="305" t="s">
        <v>611</v>
      </c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>
        <v>1943.9</v>
      </c>
      <c r="X443" s="81">
        <v>2116.6</v>
      </c>
    </row>
    <row r="444" spans="2:29">
      <c r="B444" s="305" t="s">
        <v>102</v>
      </c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>
        <v>1038.2</v>
      </c>
      <c r="X444" s="81">
        <v>906.49999999999989</v>
      </c>
    </row>
    <row r="445" spans="2:29">
      <c r="B445" s="311" t="s">
        <v>478</v>
      </c>
      <c r="C445" s="312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  <c r="P445" s="312"/>
      <c r="Q445" s="312"/>
      <c r="R445" s="312"/>
      <c r="S445" s="312"/>
      <c r="T445" s="312"/>
      <c r="U445" s="312"/>
      <c r="V445" s="312"/>
      <c r="W445" s="312">
        <f t="shared" ref="W445:X445" si="159">W443/W444</f>
        <v>1.8723752648815257</v>
      </c>
      <c r="X445" s="312">
        <f t="shared" si="159"/>
        <v>2.3349145063430781</v>
      </c>
      <c r="AB445" s="105"/>
      <c r="AC445" s="105"/>
    </row>
    <row r="446" spans="2:29">
      <c r="B446" s="71"/>
    </row>
    <row r="447" spans="2:29">
      <c r="B447" s="305" t="s">
        <v>611</v>
      </c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>
        <v>2360.3000000000002</v>
      </c>
      <c r="X447" s="81">
        <v>1689.6</v>
      </c>
    </row>
    <row r="448" spans="2:29">
      <c r="B448" s="305" t="s">
        <v>102</v>
      </c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>
        <v>909.80000000000007</v>
      </c>
      <c r="X448" s="81">
        <v>988.6</v>
      </c>
    </row>
    <row r="449" spans="2:29">
      <c r="B449" s="311" t="s">
        <v>479</v>
      </c>
      <c r="C449" s="312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  <c r="P449" s="312"/>
      <c r="Q449" s="312"/>
      <c r="R449" s="312"/>
      <c r="S449" s="312"/>
      <c r="T449" s="312"/>
      <c r="U449" s="312"/>
      <c r="V449" s="312"/>
      <c r="W449" s="312">
        <f t="shared" ref="W449:X449" si="160">W447/W448</f>
        <v>2.5943064409760388</v>
      </c>
      <c r="X449" s="312">
        <f t="shared" si="160"/>
        <v>1.7090835524984826</v>
      </c>
      <c r="AB449" s="105"/>
      <c r="AC449" s="105"/>
    </row>
    <row r="450" spans="2:29">
      <c r="B450" s="71"/>
    </row>
    <row r="451" spans="2:29">
      <c r="B451" s="305" t="s">
        <v>611</v>
      </c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>
        <v>1501.6</v>
      </c>
      <c r="X451" s="81">
        <v>1362.4</v>
      </c>
    </row>
    <row r="452" spans="2:29">
      <c r="B452" s="305" t="s">
        <v>102</v>
      </c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>
        <v>428.70000000000005</v>
      </c>
      <c r="X452" s="81">
        <v>551.09999999999991</v>
      </c>
    </row>
    <row r="453" spans="2:29">
      <c r="B453" s="311" t="s">
        <v>480</v>
      </c>
      <c r="C453" s="312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>
        <f t="shared" ref="W453:X453" si="161">W451/W452</f>
        <v>3.5026825285747605</v>
      </c>
      <c r="X453" s="312">
        <f t="shared" si="161"/>
        <v>2.4721466158591912</v>
      </c>
      <c r="AB453" s="105"/>
      <c r="AC453" s="105"/>
    </row>
    <row r="454" spans="2:29">
      <c r="B454" s="71"/>
    </row>
    <row r="455" spans="2:29">
      <c r="B455" s="305" t="s">
        <v>611</v>
      </c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>
        <v>1480.3</v>
      </c>
      <c r="X455" s="81">
        <v>2149.3000000000002</v>
      </c>
    </row>
    <row r="456" spans="2:29">
      <c r="B456" s="305" t="s">
        <v>102</v>
      </c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>
        <v>591.20000000000005</v>
      </c>
      <c r="X456" s="81">
        <v>877.3</v>
      </c>
    </row>
    <row r="457" spans="2:29">
      <c r="B457" s="311" t="s">
        <v>481</v>
      </c>
      <c r="C457" s="312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>
        <f t="shared" ref="W457:X457" si="162">W455/W456</f>
        <v>2.5038903924221918</v>
      </c>
      <c r="X457" s="312">
        <f t="shared" si="162"/>
        <v>2.4499031118203582</v>
      </c>
      <c r="AB457" s="105"/>
      <c r="AC457" s="105"/>
    </row>
    <row r="458" spans="2:29">
      <c r="B458" s="71"/>
    </row>
    <row r="459" spans="2:29">
      <c r="B459" s="305" t="s">
        <v>611</v>
      </c>
      <c r="C459" s="81"/>
      <c r="D459" s="81"/>
      <c r="E459" s="81"/>
      <c r="F459" s="81"/>
      <c r="G459" s="81"/>
      <c r="H459" s="81"/>
      <c r="I459" s="81"/>
      <c r="J459" s="81"/>
      <c r="K459" s="81"/>
      <c r="L459" s="81"/>
      <c r="M459" s="81"/>
      <c r="N459" s="81"/>
      <c r="O459" s="81"/>
      <c r="P459" s="81"/>
      <c r="Q459" s="81"/>
      <c r="R459" s="81"/>
      <c r="S459" s="81"/>
      <c r="T459" s="81"/>
      <c r="U459" s="81"/>
      <c r="V459" s="81"/>
      <c r="W459" s="81">
        <v>706.88599999999997</v>
      </c>
      <c r="X459" s="81">
        <v>720.06700000000001</v>
      </c>
    </row>
    <row r="460" spans="2:29">
      <c r="B460" s="305" t="s">
        <v>102</v>
      </c>
      <c r="C460" s="81"/>
      <c r="D460" s="81"/>
      <c r="E460" s="81"/>
      <c r="F460" s="81"/>
      <c r="G460" s="81"/>
      <c r="H460" s="81"/>
      <c r="I460" s="81"/>
      <c r="J460" s="81"/>
      <c r="K460" s="81"/>
      <c r="L460" s="81"/>
      <c r="M460" s="81"/>
      <c r="N460" s="81"/>
      <c r="O460" s="81"/>
      <c r="P460" s="81"/>
      <c r="Q460" s="81"/>
      <c r="R460" s="81"/>
      <c r="S460" s="81"/>
      <c r="T460" s="81"/>
      <c r="U460" s="81"/>
      <c r="V460" s="81"/>
      <c r="W460" s="81">
        <v>393.947</v>
      </c>
      <c r="X460" s="81">
        <v>121.95</v>
      </c>
    </row>
    <row r="461" spans="2:29">
      <c r="B461" s="311" t="s">
        <v>482</v>
      </c>
      <c r="C461" s="312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  <c r="P461" s="312"/>
      <c r="Q461" s="312"/>
      <c r="R461" s="312"/>
      <c r="S461" s="312"/>
      <c r="T461" s="312"/>
      <c r="U461" s="312"/>
      <c r="V461" s="312"/>
      <c r="W461" s="312">
        <f t="shared" ref="W461:X461" si="163">W459/W460</f>
        <v>1.7943682779663253</v>
      </c>
      <c r="X461" s="312">
        <f t="shared" si="163"/>
        <v>5.9046084460844606</v>
      </c>
      <c r="AB461" s="105"/>
      <c r="AC461" s="105"/>
    </row>
  </sheetData>
  <conditionalFormatting sqref="H57:AI57">
    <cfRule type="cellIs" dxfId="3" priority="4" operator="equal">
      <formula>FALSE</formula>
    </cfRule>
  </conditionalFormatting>
  <conditionalFormatting sqref="H57:AI57">
    <cfRule type="cellIs" dxfId="2" priority="3" operator="equal">
      <formula>FALSE</formula>
    </cfRule>
  </conditionalFormatting>
  <conditionalFormatting sqref="AI57">
    <cfRule type="cellIs" dxfId="1" priority="2" operator="equal">
      <formula>FALSE</formula>
    </cfRule>
  </conditionalFormatting>
  <conditionalFormatting sqref="X57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Macro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2021-05-12T20:36:41Z</dcterms:modified>
</cp:coreProperties>
</file>