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CVNA/"/>
    </mc:Choice>
  </mc:AlternateContent>
  <xr:revisionPtr revIDLastSave="40" documentId="8_{E8FFB5FD-8057-4873-AA99-00603A745709}" xr6:coauthVersionLast="46" xr6:coauthVersionMax="46" xr10:uidLastSave="{D8E1499E-EA26-4A00-A3AE-62249ECA3A9A}"/>
  <bookViews>
    <workbookView xWindow="-28920" yWindow="-120" windowWidth="29040" windowHeight="15840" tabRatio="757" activeTab="2" xr2:uid="{00000000-000D-0000-FFFF-FFFF00000000}"/>
  </bookViews>
  <sheets>
    <sheet name="DCF" sheetId="22" r:id="rId1"/>
    <sheet name="_CIQHiddenCacheSheet" sheetId="245" state="veryHidden" r:id="rId2"/>
    <sheet name="Model" sheetId="43" r:id="rId3"/>
    <sheet name="Quarterly Data" sheetId="247" r:id="rId4"/>
  </sheets>
  <definedNames>
    <definedName name="_xlnm._FilterDatabase" localSheetId="0" hidden="1">DCF!$B$89</definedName>
    <definedName name="_xlnm._FilterDatabase" localSheetId="2" hidden="1">Model!#REF!</definedName>
    <definedName name="CIQWBGuid" localSheetId="0" hidden="1">"ddb1e6c7-4c75-49bf-a966-d33940e1cd5a"</definedName>
    <definedName name="CIQWBGuid" localSheetId="2" hidden="1">"93109f73-ce43-46f2-baa0-f90921c844ea"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44052.1032407407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1000" iterateDelta="1.0000000000000001E-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22" l="1"/>
  <c r="AP91" i="43" l="1"/>
  <c r="AL427" i="43" l="1"/>
  <c r="AM427" i="43" s="1"/>
  <c r="Z426" i="43"/>
  <c r="Y426" i="43"/>
  <c r="X426" i="43"/>
  <c r="W426" i="43"/>
  <c r="AA426" i="43"/>
  <c r="Z424" i="43"/>
  <c r="Y424" i="43"/>
  <c r="X424" i="43"/>
  <c r="W424" i="43"/>
  <c r="AA424" i="43"/>
  <c r="Z425" i="43" l="1"/>
  <c r="Z427" i="43" s="1"/>
  <c r="AA425" i="43"/>
  <c r="AA427" i="43" s="1"/>
  <c r="Y425" i="43"/>
  <c r="Y427" i="43" s="1"/>
  <c r="X425" i="43"/>
  <c r="X427" i="43" s="1"/>
  <c r="W425" i="43"/>
  <c r="W427" i="43" s="1"/>
  <c r="AC165" i="43"/>
  <c r="AD165" i="43" s="1"/>
  <c r="AE165" i="43" s="1"/>
  <c r="AF165" i="43" s="1"/>
  <c r="AG165" i="43" s="1"/>
  <c r="AH165" i="43" s="1"/>
  <c r="AI165" i="43" s="1"/>
  <c r="AJ165" i="43" s="1"/>
  <c r="AK165" i="43" s="1"/>
  <c r="AL165" i="43" s="1"/>
  <c r="AM165" i="43" s="1"/>
  <c r="AD73" i="43" l="1"/>
  <c r="AE73" i="43" s="1"/>
  <c r="AF73" i="43" s="1"/>
  <c r="AG73" i="43" s="1"/>
  <c r="AH73" i="43" s="1"/>
  <c r="AI73" i="43" s="1"/>
  <c r="AF220" i="43"/>
  <c r="AG220" i="43"/>
  <c r="AH220" i="43"/>
  <c r="AI220" i="43"/>
  <c r="AJ220" i="43"/>
  <c r="AK220" i="43"/>
  <c r="AL220" i="43"/>
  <c r="AM220" i="43"/>
  <c r="AE220" i="43"/>
  <c r="AA333" i="43"/>
  <c r="AB323" i="43"/>
  <c r="AL392" i="43"/>
  <c r="AM392" i="43" s="1"/>
  <c r="AL393" i="43"/>
  <c r="AM393" i="43" s="1"/>
  <c r="AA418" i="43"/>
  <c r="AL96" i="43"/>
  <c r="AL95" i="43"/>
  <c r="AM95" i="43" s="1"/>
  <c r="AP22" i="43"/>
  <c r="AP24" i="43"/>
  <c r="AP25" i="43"/>
  <c r="AP26" i="43"/>
  <c r="AP27" i="43"/>
  <c r="AP69" i="43"/>
  <c r="AB315" i="43"/>
  <c r="U355" i="43"/>
  <c r="U357" i="43" s="1"/>
  <c r="AF383" i="43"/>
  <c r="AG383" i="43"/>
  <c r="AC383" i="43"/>
  <c r="AD383" i="43"/>
  <c r="AE383" i="43"/>
  <c r="AB383" i="43"/>
  <c r="V355" i="43"/>
  <c r="V357" i="43" s="1"/>
  <c r="K26" i="22"/>
  <c r="AL359" i="43"/>
  <c r="AM359" i="43" s="1"/>
  <c r="Z393" i="43"/>
  <c r="Y393" i="43"/>
  <c r="X393" i="43"/>
  <c r="W393" i="43"/>
  <c r="AA393" i="43"/>
  <c r="AL32" i="43"/>
  <c r="U124" i="43"/>
  <c r="U122" i="43"/>
  <c r="U104" i="43" s="1"/>
  <c r="AA421" i="43" l="1"/>
  <c r="U123" i="43"/>
  <c r="U105" i="43"/>
  <c r="AG441" i="43" l="1"/>
  <c r="AH441" i="43" s="1"/>
  <c r="AI441" i="43" s="1"/>
  <c r="AJ441" i="43" s="1"/>
  <c r="AK441" i="43" s="1"/>
  <c r="AL441" i="43" s="1"/>
  <c r="AM441" i="43" s="1"/>
  <c r="AL31" i="43"/>
  <c r="AM31" i="43" s="1"/>
  <c r="AM32" i="43"/>
  <c r="AL33" i="43"/>
  <c r="AM33" i="43" s="1"/>
  <c r="AL34" i="43"/>
  <c r="AM34" i="43" s="1"/>
  <c r="AL35" i="43"/>
  <c r="AM35" i="43" s="1"/>
  <c r="AL30" i="43"/>
  <c r="C79" i="22"/>
  <c r="Y320" i="43"/>
  <c r="Z320" i="43"/>
  <c r="AA320" i="43"/>
  <c r="X320" i="43"/>
  <c r="AB379" i="43" l="1"/>
  <c r="AC379" i="43" s="1"/>
  <c r="AD379" i="43" s="1"/>
  <c r="AE379" i="43" s="1"/>
  <c r="AF379" i="43" s="1"/>
  <c r="AG379" i="43" s="1"/>
  <c r="AH379" i="43" s="1"/>
  <c r="AI379" i="43" s="1"/>
  <c r="AJ379" i="43" s="1"/>
  <c r="AK379" i="43" s="1"/>
  <c r="AL379" i="43" s="1"/>
  <c r="AM379" i="43" s="1"/>
  <c r="AB377" i="43"/>
  <c r="AC377" i="43" s="1"/>
  <c r="AD377" i="43" s="1"/>
  <c r="AE377" i="43" s="1"/>
  <c r="AF377" i="43" s="1"/>
  <c r="AG377" i="43" s="1"/>
  <c r="AH377" i="43" s="1"/>
  <c r="AI377" i="43" s="1"/>
  <c r="AJ377" i="43" s="1"/>
  <c r="AK377" i="43" s="1"/>
  <c r="AL377" i="43" s="1"/>
  <c r="AM377" i="43" s="1"/>
  <c r="AB330" i="43" l="1"/>
  <c r="AB344" i="43"/>
  <c r="AA344" i="43"/>
  <c r="Z344" i="43"/>
  <c r="Y344" i="43"/>
  <c r="Z331" i="43"/>
  <c r="AA331" i="43"/>
  <c r="AA339" i="43" s="1"/>
  <c r="Y331" i="43"/>
  <c r="Y330" i="43"/>
  <c r="AA330" i="43"/>
  <c r="Z330" i="43"/>
  <c r="X346" i="43"/>
  <c r="Y343" i="43" s="1"/>
  <c r="Y346" i="43"/>
  <c r="Z343" i="43" s="1"/>
  <c r="Z346" i="43"/>
  <c r="AA343" i="43" s="1"/>
  <c r="AA346" i="43"/>
  <c r="AB343" i="43" s="1"/>
  <c r="Y333" i="43"/>
  <c r="Z333" i="43"/>
  <c r="X333" i="43"/>
  <c r="AA323" i="43"/>
  <c r="AA326" i="43" s="1"/>
  <c r="Z323" i="43"/>
  <c r="Z326" i="43" s="1"/>
  <c r="Y323" i="43"/>
  <c r="Y326" i="43" s="1"/>
  <c r="AB314" i="43"/>
  <c r="Z314" i="43"/>
  <c r="Z317" i="43" s="1"/>
  <c r="Y314" i="43"/>
  <c r="Y317" i="43" s="1"/>
  <c r="AA314" i="43"/>
  <c r="AA317" i="43" s="1"/>
  <c r="AB281" i="43"/>
  <c r="AC281" i="43" s="1"/>
  <c r="AD281" i="43" s="1"/>
  <c r="AE281" i="43" s="1"/>
  <c r="AF281" i="43" s="1"/>
  <c r="AG281" i="43" s="1"/>
  <c r="AH281" i="43" s="1"/>
  <c r="AI281" i="43" s="1"/>
  <c r="AJ281" i="43" s="1"/>
  <c r="AK281" i="43" s="1"/>
  <c r="AL281" i="43" s="1"/>
  <c r="AM281" i="43" s="1"/>
  <c r="AB279" i="43"/>
  <c r="AC279" i="43" s="1"/>
  <c r="AD279" i="43" s="1"/>
  <c r="AE279" i="43" s="1"/>
  <c r="AF279" i="43" s="1"/>
  <c r="AG279" i="43" s="1"/>
  <c r="AH279" i="43" s="1"/>
  <c r="AI279" i="43" s="1"/>
  <c r="AJ279" i="43" s="1"/>
  <c r="AK279" i="43" s="1"/>
  <c r="AL279" i="43" s="1"/>
  <c r="AM279" i="43" s="1"/>
  <c r="AB294" i="43"/>
  <c r="AC294" i="43" s="1"/>
  <c r="AD294" i="43" s="1"/>
  <c r="AE294" i="43" s="1"/>
  <c r="AF294" i="43" s="1"/>
  <c r="AG294" i="43" s="1"/>
  <c r="AH294" i="43" s="1"/>
  <c r="AI294" i="43" s="1"/>
  <c r="AJ294" i="43" s="1"/>
  <c r="AK294" i="43" s="1"/>
  <c r="AL294" i="43" s="1"/>
  <c r="AM294" i="43" s="1"/>
  <c r="AB297" i="43"/>
  <c r="AC297" i="43" s="1"/>
  <c r="AD297" i="43" s="1"/>
  <c r="AE297" i="43" s="1"/>
  <c r="AF297" i="43" s="1"/>
  <c r="AG297" i="43" s="1"/>
  <c r="AH297" i="43" s="1"/>
  <c r="AI297" i="43" s="1"/>
  <c r="AJ297" i="43" s="1"/>
  <c r="AK297" i="43" s="1"/>
  <c r="AB291" i="43"/>
  <c r="AC291" i="43" s="1"/>
  <c r="AD291" i="43" s="1"/>
  <c r="AE291" i="43" s="1"/>
  <c r="AF291" i="43" s="1"/>
  <c r="AG291" i="43" s="1"/>
  <c r="AH291" i="43" s="1"/>
  <c r="AI291" i="43" s="1"/>
  <c r="AJ291" i="43" s="1"/>
  <c r="AK291" i="43" s="1"/>
  <c r="AL291" i="43" s="1"/>
  <c r="AM291" i="43" s="1"/>
  <c r="AB278" i="43"/>
  <c r="AC278" i="43" s="1"/>
  <c r="AB276" i="43"/>
  <c r="AC276" i="43" s="1"/>
  <c r="AD276" i="43" s="1"/>
  <c r="AE276" i="43" s="1"/>
  <c r="AF276" i="43" s="1"/>
  <c r="AG276" i="43" s="1"/>
  <c r="AH276" i="43" s="1"/>
  <c r="AI276" i="43" s="1"/>
  <c r="AJ276" i="43" s="1"/>
  <c r="AK276" i="43" s="1"/>
  <c r="AL276" i="43" s="1"/>
  <c r="AM276" i="43" s="1"/>
  <c r="AB288" i="43"/>
  <c r="AC288" i="43" s="1"/>
  <c r="AD288" i="43" s="1"/>
  <c r="AE288" i="43" s="1"/>
  <c r="AF288" i="43" s="1"/>
  <c r="AG288" i="43" s="1"/>
  <c r="AH288" i="43" s="1"/>
  <c r="AI288" i="43" s="1"/>
  <c r="AJ288" i="43" s="1"/>
  <c r="AK288" i="43" s="1"/>
  <c r="AL288" i="43" s="1"/>
  <c r="AM288" i="43" s="1"/>
  <c r="AB287" i="43"/>
  <c r="AC287" i="43" s="1"/>
  <c r="AD287" i="43" s="1"/>
  <c r="AE287" i="43" s="1"/>
  <c r="AF287" i="43" s="1"/>
  <c r="AG287" i="43" s="1"/>
  <c r="AH287" i="43" s="1"/>
  <c r="AI287" i="43" s="1"/>
  <c r="AJ287" i="43" s="1"/>
  <c r="AK287" i="43" s="1"/>
  <c r="AL287" i="43" s="1"/>
  <c r="AM287" i="43" s="1"/>
  <c r="AB286" i="43"/>
  <c r="AC286" i="43" s="1"/>
  <c r="AD286" i="43" s="1"/>
  <c r="AE286" i="43" s="1"/>
  <c r="AF286" i="43" s="1"/>
  <c r="AG286" i="43" s="1"/>
  <c r="AH286" i="43" s="1"/>
  <c r="AI286" i="43" s="1"/>
  <c r="AJ286" i="43" s="1"/>
  <c r="AK286" i="43" s="1"/>
  <c r="AL286" i="43" s="1"/>
  <c r="AM286" i="43" s="1"/>
  <c r="AB285" i="43"/>
  <c r="AC285" i="43" s="1"/>
  <c r="AD285" i="43" s="1"/>
  <c r="AE285" i="43" s="1"/>
  <c r="AF285" i="43" s="1"/>
  <c r="AG285" i="43" s="1"/>
  <c r="AH285" i="43" s="1"/>
  <c r="AI285" i="43" s="1"/>
  <c r="AJ285" i="43" s="1"/>
  <c r="AK285" i="43" s="1"/>
  <c r="AL285" i="43" s="1"/>
  <c r="AM285" i="43" s="1"/>
  <c r="AA108" i="43"/>
  <c r="Z108" i="43"/>
  <c r="Y108" i="43"/>
  <c r="X108" i="43"/>
  <c r="W108" i="43"/>
  <c r="V108" i="43"/>
  <c r="X186" i="43"/>
  <c r="X187" i="43" s="1"/>
  <c r="AA472" i="43"/>
  <c r="Z472" i="43"/>
  <c r="Z465" i="43"/>
  <c r="AA462" i="43" s="1"/>
  <c r="AA470" i="43" s="1"/>
  <c r="AA469" i="43" s="1"/>
  <c r="AA465" i="43"/>
  <c r="Z455" i="43"/>
  <c r="Y455" i="43"/>
  <c r="Z452" i="43" s="1"/>
  <c r="Z456" i="43" s="1"/>
  <c r="X455" i="43"/>
  <c r="Y452" i="43" s="1"/>
  <c r="W455" i="43"/>
  <c r="X452" i="43" s="1"/>
  <c r="V455" i="43"/>
  <c r="AA455" i="43"/>
  <c r="AB452" i="43" s="1"/>
  <c r="Z438" i="43"/>
  <c r="Y438" i="43"/>
  <c r="X438" i="43"/>
  <c r="W438" i="43"/>
  <c r="V438" i="43"/>
  <c r="AA438" i="43"/>
  <c r="Z435" i="43"/>
  <c r="Y435" i="43"/>
  <c r="X435" i="43"/>
  <c r="W435" i="43"/>
  <c r="V435" i="43"/>
  <c r="AA435" i="43"/>
  <c r="AC474" i="43"/>
  <c r="AD474" i="43" s="1"/>
  <c r="AE474" i="43" s="1"/>
  <c r="AF474" i="43" s="1"/>
  <c r="AG474" i="43" s="1"/>
  <c r="AH474" i="43" s="1"/>
  <c r="AI474" i="43" s="1"/>
  <c r="AJ474" i="43" s="1"/>
  <c r="AK474" i="43" s="1"/>
  <c r="AL474" i="43" s="1"/>
  <c r="AM474" i="43" s="1"/>
  <c r="AB473" i="43"/>
  <c r="AC473" i="43" s="1"/>
  <c r="AA458" i="43"/>
  <c r="Z458" i="43"/>
  <c r="Y458" i="43"/>
  <c r="X458" i="43"/>
  <c r="W458" i="43"/>
  <c r="V458" i="43"/>
  <c r="V452" i="43"/>
  <c r="AA448" i="43"/>
  <c r="AA450" i="43" s="1"/>
  <c r="Z448" i="43"/>
  <c r="Z450" i="43" s="1"/>
  <c r="Y448" i="43"/>
  <c r="Y450" i="43" s="1"/>
  <c r="X448" i="43"/>
  <c r="X450" i="43" s="1"/>
  <c r="W448" i="43"/>
  <c r="W450" i="43" s="1"/>
  <c r="V448" i="43"/>
  <c r="V450" i="43" s="1"/>
  <c r="AC439" i="43"/>
  <c r="AD439" i="43" s="1"/>
  <c r="AE439" i="43" s="1"/>
  <c r="AF439" i="43" s="1"/>
  <c r="AG439" i="43" s="1"/>
  <c r="AH439" i="43" s="1"/>
  <c r="AI439" i="43" s="1"/>
  <c r="AJ439" i="43" s="1"/>
  <c r="AK439" i="43" s="1"/>
  <c r="AL439" i="43" s="1"/>
  <c r="AM439" i="43" s="1"/>
  <c r="AA433" i="43"/>
  <c r="Z433" i="43"/>
  <c r="Y433" i="43"/>
  <c r="X433" i="43"/>
  <c r="W433" i="43"/>
  <c r="V433" i="43"/>
  <c r="AA432" i="43"/>
  <c r="Z432" i="43"/>
  <c r="Y432" i="43"/>
  <c r="X432" i="43"/>
  <c r="W432" i="43"/>
  <c r="V432" i="43"/>
  <c r="AA422" i="43"/>
  <c r="Z422" i="43"/>
  <c r="Y422" i="43"/>
  <c r="Z418" i="43"/>
  <c r="Y418" i="43"/>
  <c r="X418" i="43"/>
  <c r="W418" i="43"/>
  <c r="Z400" i="43"/>
  <c r="Y400" i="43"/>
  <c r="X400" i="43"/>
  <c r="W400" i="43"/>
  <c r="V400" i="43"/>
  <c r="AA400" i="43"/>
  <c r="Z397" i="43"/>
  <c r="Y397" i="43"/>
  <c r="X397" i="43"/>
  <c r="W397" i="43"/>
  <c r="V397" i="43"/>
  <c r="U397" i="43"/>
  <c r="Z396" i="43"/>
  <c r="Z401" i="43" s="1"/>
  <c r="Y396" i="43"/>
  <c r="Y401" i="43" s="1"/>
  <c r="X396" i="43"/>
  <c r="X401" i="43" s="1"/>
  <c r="W396" i="43"/>
  <c r="W401" i="43" s="1"/>
  <c r="V396" i="43"/>
  <c r="U396" i="43"/>
  <c r="AA397" i="43"/>
  <c r="AA396" i="43"/>
  <c r="AB407" i="43"/>
  <c r="AC407" i="43" s="1"/>
  <c r="AD407" i="43" s="1"/>
  <c r="AE407" i="43" s="1"/>
  <c r="AF407" i="43" s="1"/>
  <c r="AG407" i="43" s="1"/>
  <c r="AH407" i="43" s="1"/>
  <c r="AI407" i="43" s="1"/>
  <c r="AJ407" i="43" s="1"/>
  <c r="AK407" i="43" s="1"/>
  <c r="AL407" i="43" s="1"/>
  <c r="AM407" i="43" s="1"/>
  <c r="AA406" i="43"/>
  <c r="Z406" i="43"/>
  <c r="Y406" i="43"/>
  <c r="X406" i="43"/>
  <c r="W406" i="43"/>
  <c r="V406" i="43"/>
  <c r="U406" i="43"/>
  <c r="AC400" i="43"/>
  <c r="AD400" i="43" s="1"/>
  <c r="AE400" i="43" s="1"/>
  <c r="AF400" i="43" s="1"/>
  <c r="AG400" i="43" s="1"/>
  <c r="AH400" i="43" s="1"/>
  <c r="AI400" i="43" s="1"/>
  <c r="AJ400" i="43" s="1"/>
  <c r="AK400" i="43" s="1"/>
  <c r="AL400" i="43" s="1"/>
  <c r="AM400" i="43" s="1"/>
  <c r="AA382" i="43"/>
  <c r="C76" i="22" s="1"/>
  <c r="Z382" i="43"/>
  <c r="Y382" i="43"/>
  <c r="Y383" i="43" s="1"/>
  <c r="Y355" i="43" s="1"/>
  <c r="Y357" i="43" s="1"/>
  <c r="X382" i="43"/>
  <c r="X383" i="43" s="1"/>
  <c r="X355" i="43" s="1"/>
  <c r="X357" i="43" s="1"/>
  <c r="W382" i="43"/>
  <c r="F379" i="43"/>
  <c r="F377" i="43"/>
  <c r="AA370" i="43"/>
  <c r="Z370" i="43"/>
  <c r="Y370" i="43"/>
  <c r="X370" i="43"/>
  <c r="AA368" i="43"/>
  <c r="AA371" i="43" s="1"/>
  <c r="Z368" i="43"/>
  <c r="Z371" i="43" s="1"/>
  <c r="Y368" i="43"/>
  <c r="V368" i="43"/>
  <c r="V371" i="43" s="1"/>
  <c r="U368" i="43"/>
  <c r="U371" i="43" s="1"/>
  <c r="X367" i="43"/>
  <c r="X366" i="43"/>
  <c r="W366" i="43"/>
  <c r="W364" i="43"/>
  <c r="V354" i="43"/>
  <c r="V356" i="43" s="1"/>
  <c r="AA43" i="43"/>
  <c r="Z43" i="43"/>
  <c r="Y43" i="43"/>
  <c r="X43" i="43"/>
  <c r="W43" i="43"/>
  <c r="V43" i="43"/>
  <c r="U43" i="43"/>
  <c r="AA42" i="43"/>
  <c r="Z42" i="43"/>
  <c r="Y42" i="43"/>
  <c r="X42" i="43"/>
  <c r="W42" i="43"/>
  <c r="V42" i="43"/>
  <c r="U42" i="43"/>
  <c r="AA41" i="43"/>
  <c r="Z41" i="43"/>
  <c r="Y41" i="43"/>
  <c r="X41" i="43"/>
  <c r="W41" i="43"/>
  <c r="V41" i="43"/>
  <c r="U41" i="43"/>
  <c r="AA40" i="43"/>
  <c r="Z40" i="43"/>
  <c r="Y40" i="43"/>
  <c r="X40" i="43"/>
  <c r="W40" i="43"/>
  <c r="V40" i="43"/>
  <c r="U40" i="43"/>
  <c r="AA39" i="43"/>
  <c r="Z39" i="43"/>
  <c r="Y39" i="43"/>
  <c r="X39" i="43"/>
  <c r="W39" i="43"/>
  <c r="V39" i="43"/>
  <c r="U39" i="43"/>
  <c r="Z38" i="43"/>
  <c r="Y38" i="43"/>
  <c r="X38" i="43"/>
  <c r="W38" i="43"/>
  <c r="V38" i="43"/>
  <c r="U38" i="43"/>
  <c r="AA38" i="43"/>
  <c r="AC304" i="43"/>
  <c r="AD304" i="43" s="1"/>
  <c r="AE304" i="43" s="1"/>
  <c r="AF304" i="43" s="1"/>
  <c r="AG304" i="43" s="1"/>
  <c r="AH304" i="43" s="1"/>
  <c r="AI304" i="43" s="1"/>
  <c r="AJ304" i="43" s="1"/>
  <c r="AK304" i="43" s="1"/>
  <c r="AL304" i="43" s="1"/>
  <c r="AM304" i="43" s="1"/>
  <c r="Z303" i="43"/>
  <c r="Y303" i="43"/>
  <c r="AA303" i="43"/>
  <c r="V137" i="43"/>
  <c r="Z186" i="43"/>
  <c r="Z185" i="43" s="1"/>
  <c r="Y186" i="43"/>
  <c r="Y185" i="43" s="1"/>
  <c r="AA186" i="43"/>
  <c r="AA185" i="43" s="1"/>
  <c r="W129" i="43"/>
  <c r="V129" i="43"/>
  <c r="V132" i="43" s="1"/>
  <c r="Z133" i="43"/>
  <c r="Y133" i="43"/>
  <c r="Z129" i="43" s="1"/>
  <c r="X133" i="43"/>
  <c r="W133" i="43"/>
  <c r="X129" i="43" s="1"/>
  <c r="AA133" i="43"/>
  <c r="V167" i="43"/>
  <c r="U164" i="43"/>
  <c r="U160" i="43"/>
  <c r="V164" i="43"/>
  <c r="V160" i="43"/>
  <c r="U151" i="43"/>
  <c r="U143" i="43"/>
  <c r="V242" i="43"/>
  <c r="W242" i="43"/>
  <c r="X242" i="43"/>
  <c r="Y242" i="43"/>
  <c r="Z242" i="43"/>
  <c r="AA242" i="43"/>
  <c r="W160" i="43"/>
  <c r="X160" i="43"/>
  <c r="Y160" i="43"/>
  <c r="Z160" i="43"/>
  <c r="AA160" i="43"/>
  <c r="Z151" i="43"/>
  <c r="Z392" i="43" s="1"/>
  <c r="Y151" i="43"/>
  <c r="Y392" i="43" s="1"/>
  <c r="X151" i="43"/>
  <c r="W151" i="43"/>
  <c r="V151" i="43"/>
  <c r="V156" i="43" s="1"/>
  <c r="V158" i="43" s="1"/>
  <c r="V107" i="43" s="1"/>
  <c r="AA151" i="43"/>
  <c r="AA392" i="43" s="1"/>
  <c r="Z167" i="43"/>
  <c r="Z168" i="43" s="1"/>
  <c r="Y167" i="43"/>
  <c r="Y168" i="43" s="1"/>
  <c r="X167" i="43"/>
  <c r="X168" i="43" s="1"/>
  <c r="W167" i="43"/>
  <c r="W168" i="43" s="1"/>
  <c r="AA167" i="43"/>
  <c r="AA168" i="43" s="1"/>
  <c r="AA164" i="43"/>
  <c r="Z164" i="43"/>
  <c r="Y164" i="43"/>
  <c r="X164" i="43"/>
  <c r="W164" i="43"/>
  <c r="W145" i="43"/>
  <c r="U253" i="43"/>
  <c r="U210" i="43"/>
  <c r="U236" i="43" s="1"/>
  <c r="U242" i="43"/>
  <c r="U243" i="43"/>
  <c r="X256" i="43"/>
  <c r="X253" i="43"/>
  <c r="W255" i="43"/>
  <c r="W253" i="43"/>
  <c r="V255" i="43"/>
  <c r="V253" i="43"/>
  <c r="X243" i="43"/>
  <c r="W243" i="43"/>
  <c r="V243" i="43"/>
  <c r="U251" i="43"/>
  <c r="U238" i="43"/>
  <c r="U237" i="43"/>
  <c r="X226" i="43"/>
  <c r="V285" i="43"/>
  <c r="V303" i="43" s="1"/>
  <c r="W285" i="43"/>
  <c r="W303" i="43" s="1"/>
  <c r="W284" i="43"/>
  <c r="Y111" i="43"/>
  <c r="X111" i="43"/>
  <c r="W111" i="43"/>
  <c r="V111" i="43"/>
  <c r="AP42" i="43" l="1"/>
  <c r="W421" i="43"/>
  <c r="X421" i="43"/>
  <c r="Y421" i="43"/>
  <c r="Z421" i="43"/>
  <c r="AP41" i="43"/>
  <c r="Z329" i="43"/>
  <c r="Z332" i="43" s="1"/>
  <c r="AP38" i="43"/>
  <c r="AP40" i="43"/>
  <c r="W422" i="43"/>
  <c r="U260" i="43"/>
  <c r="U263" i="43" s="1"/>
  <c r="AP43" i="43"/>
  <c r="X422" i="43"/>
  <c r="AA329" i="43"/>
  <c r="AA332" i="43" s="1"/>
  <c r="AB346" i="43"/>
  <c r="AC343" i="43" s="1"/>
  <c r="AA354" i="43"/>
  <c r="AA356" i="43" s="1"/>
  <c r="AA383" i="43"/>
  <c r="W442" i="43"/>
  <c r="W354" i="43"/>
  <c r="W356" i="43" s="1"/>
  <c r="W383" i="43"/>
  <c r="W355" i="43" s="1"/>
  <c r="W357" i="43" s="1"/>
  <c r="Z354" i="43"/>
  <c r="Z356" i="43" s="1"/>
  <c r="Z383" i="43"/>
  <c r="Z355" i="43" s="1"/>
  <c r="Z357" i="43" s="1"/>
  <c r="X156" i="43"/>
  <c r="X392" i="43"/>
  <c r="X143" i="43"/>
  <c r="X150" i="43" s="1"/>
  <c r="W392" i="43"/>
  <c r="Y371" i="43"/>
  <c r="Y372" i="43" s="1"/>
  <c r="Z394" i="43"/>
  <c r="Z156" i="43"/>
  <c r="AB143" i="43"/>
  <c r="Y156" i="43"/>
  <c r="AB129" i="43"/>
  <c r="AA394" i="43"/>
  <c r="AC394" i="43" s="1"/>
  <c r="AD394" i="43" s="1"/>
  <c r="AE394" i="43" s="1"/>
  <c r="AF394" i="43" s="1"/>
  <c r="AG394" i="43" s="1"/>
  <c r="AH394" i="43" s="1"/>
  <c r="AI394" i="43" s="1"/>
  <c r="AJ394" i="43" s="1"/>
  <c r="AK394" i="43" s="1"/>
  <c r="AL394" i="43" s="1"/>
  <c r="AM394" i="43" s="1"/>
  <c r="AA442" i="43"/>
  <c r="X442" i="43"/>
  <c r="Y442" i="43"/>
  <c r="AB431" i="43"/>
  <c r="AB436" i="43" s="1"/>
  <c r="Z442" i="43"/>
  <c r="W431" i="43"/>
  <c r="W439" i="43" s="1"/>
  <c r="AA431" i="43"/>
  <c r="AA439" i="43" s="1"/>
  <c r="Y431" i="43"/>
  <c r="Y439" i="43" s="1"/>
  <c r="AL297" i="43"/>
  <c r="AM297" i="43" s="1"/>
  <c r="L77" i="22"/>
  <c r="Z431" i="43"/>
  <c r="Z439" i="43" s="1"/>
  <c r="AA334" i="43"/>
  <c r="AA335" i="43" s="1"/>
  <c r="X334" i="43"/>
  <c r="X335" i="43" s="1"/>
  <c r="Y329" i="43"/>
  <c r="Y332" i="43" s="1"/>
  <c r="AA341" i="43"/>
  <c r="Y341" i="43"/>
  <c r="AA345" i="43"/>
  <c r="AB329" i="43"/>
  <c r="Y334" i="43"/>
  <c r="Y335" i="43" s="1"/>
  <c r="Z339" i="43"/>
  <c r="Z334" i="43"/>
  <c r="Z335" i="43" s="1"/>
  <c r="X341" i="43"/>
  <c r="Y339" i="43"/>
  <c r="Z341" i="43"/>
  <c r="Y345" i="43"/>
  <c r="Z345" i="43"/>
  <c r="AB397" i="43"/>
  <c r="AD278" i="43"/>
  <c r="AD397" i="43" s="1"/>
  <c r="AC397" i="43"/>
  <c r="Z372" i="43"/>
  <c r="AA440" i="43"/>
  <c r="X453" i="43"/>
  <c r="X185" i="43"/>
  <c r="Z440" i="43"/>
  <c r="U372" i="43"/>
  <c r="W440" i="43"/>
  <c r="V431" i="43"/>
  <c r="X434" i="43"/>
  <c r="U354" i="43"/>
  <c r="U356" i="43" s="1"/>
  <c r="V372" i="43"/>
  <c r="Z466" i="43"/>
  <c r="Y453" i="43"/>
  <c r="X431" i="43"/>
  <c r="X439" i="43" s="1"/>
  <c r="X440" i="43"/>
  <c r="AA466" i="43"/>
  <c r="AB466" i="43" s="1"/>
  <c r="AA463" i="43"/>
  <c r="AA464" i="43" s="1"/>
  <c r="AA474" i="43"/>
  <c r="W434" i="43"/>
  <c r="V434" i="43"/>
  <c r="AD473" i="43"/>
  <c r="U398" i="43"/>
  <c r="U403" i="43" s="1"/>
  <c r="U405" i="43" s="1"/>
  <c r="V453" i="43"/>
  <c r="W452" i="43"/>
  <c r="W453" i="43" s="1"/>
  <c r="Z453" i="43"/>
  <c r="AA452" i="43"/>
  <c r="X385" i="43"/>
  <c r="Y440" i="43"/>
  <c r="AB462" i="43"/>
  <c r="AB469" i="43" s="1"/>
  <c r="W384" i="43"/>
  <c r="AA44" i="43"/>
  <c r="W44" i="43"/>
  <c r="Y354" i="43"/>
  <c r="Y356" i="43" s="1"/>
  <c r="X368" i="43"/>
  <c r="X371" i="43" s="1"/>
  <c r="X372" i="43" s="1"/>
  <c r="Z385" i="43"/>
  <c r="W368" i="43"/>
  <c r="W371" i="43" s="1"/>
  <c r="W372" i="43" s="1"/>
  <c r="U44" i="43"/>
  <c r="Y44" i="43"/>
  <c r="V44" i="43"/>
  <c r="Z44" i="43"/>
  <c r="X44" i="43"/>
  <c r="AA372" i="43"/>
  <c r="W385" i="43"/>
  <c r="AA385" i="43"/>
  <c r="Y385" i="43"/>
  <c r="X354" i="43"/>
  <c r="X356" i="43" s="1"/>
  <c r="Z132" i="43"/>
  <c r="Z134" i="43" s="1"/>
  <c r="Y187" i="43"/>
  <c r="AA135" i="43"/>
  <c r="AA129" i="43"/>
  <c r="AB131" i="43"/>
  <c r="AB250" i="43" s="1"/>
  <c r="AA187" i="43"/>
  <c r="Z187" i="43"/>
  <c r="AA137" i="43"/>
  <c r="Y137" i="43"/>
  <c r="Z137" i="43"/>
  <c r="W137" i="43"/>
  <c r="X132" i="43"/>
  <c r="X137" i="43"/>
  <c r="Y139" i="43" s="1"/>
  <c r="W132" i="43"/>
  <c r="Y129" i="43"/>
  <c r="Y132" i="43" s="1"/>
  <c r="AA132" i="43"/>
  <c r="AA134" i="43" s="1"/>
  <c r="U150" i="43"/>
  <c r="V168" i="43"/>
  <c r="V143" i="43"/>
  <c r="V150" i="43" s="1"/>
  <c r="AA143" i="43"/>
  <c r="AA150" i="43" s="1"/>
  <c r="W152" i="43"/>
  <c r="W153" i="43"/>
  <c r="AB146" i="43"/>
  <c r="Y143" i="43"/>
  <c r="AB149" i="43"/>
  <c r="X152" i="43"/>
  <c r="X153" i="43"/>
  <c r="AA152" i="43"/>
  <c r="Y152" i="43"/>
  <c r="Y153" i="43"/>
  <c r="Z152" i="43"/>
  <c r="AA153" i="43"/>
  <c r="Z153" i="43"/>
  <c r="AA156" i="43"/>
  <c r="W156" i="43"/>
  <c r="U241" i="43"/>
  <c r="V139" i="43"/>
  <c r="V110" i="43" s="1"/>
  <c r="Y429" i="43" l="1"/>
  <c r="Z428" i="43"/>
  <c r="Z429" i="43"/>
  <c r="X429" i="43"/>
  <c r="W429" i="43"/>
  <c r="AA428" i="43"/>
  <c r="AA429" i="43"/>
  <c r="Y428" i="43"/>
  <c r="X428" i="43"/>
  <c r="W428" i="43"/>
  <c r="V109" i="43"/>
  <c r="AB339" i="43"/>
  <c r="AB325" i="43" s="1"/>
  <c r="AB327" i="43" s="1"/>
  <c r="AC323" i="43" s="1"/>
  <c r="AP44" i="43"/>
  <c r="AA355" i="43"/>
  <c r="AA357" i="43" s="1"/>
  <c r="AA158" i="43"/>
  <c r="AA107" i="43" s="1"/>
  <c r="Y158" i="43"/>
  <c r="Y107" i="43" s="1"/>
  <c r="Y110" i="43" s="1"/>
  <c r="X158" i="43"/>
  <c r="X107" i="43" s="1"/>
  <c r="X110" i="43" s="1"/>
  <c r="Z158" i="43"/>
  <c r="Z107" i="43" s="1"/>
  <c r="Y150" i="43"/>
  <c r="W437" i="43"/>
  <c r="AA337" i="43"/>
  <c r="Z319" i="43"/>
  <c r="Z337" i="43"/>
  <c r="Z340" i="43" s="1"/>
  <c r="Y319" i="43"/>
  <c r="Y337" i="43"/>
  <c r="Y340" i="43" s="1"/>
  <c r="X319" i="43"/>
  <c r="AB337" i="43"/>
  <c r="AA319" i="43"/>
  <c r="AA340" i="43"/>
  <c r="AE278" i="43"/>
  <c r="AE397" i="43" s="1"/>
  <c r="X437" i="43"/>
  <c r="Y466" i="43"/>
  <c r="Y465" i="43" s="1"/>
  <c r="Z462" i="43" s="1"/>
  <c r="AC466" i="43"/>
  <c r="AE473" i="43"/>
  <c r="AB463" i="43"/>
  <c r="AB470" i="43"/>
  <c r="AB471" i="43" s="1"/>
  <c r="AA453" i="43"/>
  <c r="AA456" i="43"/>
  <c r="AB456" i="43" s="1"/>
  <c r="X139" i="43"/>
  <c r="W139" i="43"/>
  <c r="Z139" i="43"/>
  <c r="AA139" i="43"/>
  <c r="W158" i="43"/>
  <c r="W107" i="43" s="1"/>
  <c r="W143" i="43"/>
  <c r="Z143" i="43"/>
  <c r="AB341" i="43" l="1"/>
  <c r="AC339" i="43" s="1"/>
  <c r="AC325" i="43" s="1"/>
  <c r="AC327" i="43" s="1"/>
  <c r="AD323" i="43" s="1"/>
  <c r="AB331" i="43"/>
  <c r="AB316" i="43" s="1"/>
  <c r="AB318" i="43" s="1"/>
  <c r="Y109" i="43"/>
  <c r="X443" i="43"/>
  <c r="X109" i="43"/>
  <c r="W443" i="43"/>
  <c r="Z321" i="43"/>
  <c r="Z229" i="43" s="1"/>
  <c r="X321" i="43"/>
  <c r="X229" i="43" s="1"/>
  <c r="Y321" i="43"/>
  <c r="Y229" i="43" s="1"/>
  <c r="AA321" i="43"/>
  <c r="AA229" i="43" s="1"/>
  <c r="AF278" i="43"/>
  <c r="AG278" i="43" s="1"/>
  <c r="W110" i="43"/>
  <c r="Z470" i="43"/>
  <c r="Z469" i="43" s="1"/>
  <c r="Z474" i="43" s="1"/>
  <c r="AD466" i="43"/>
  <c r="AF473" i="43"/>
  <c r="AC456" i="43"/>
  <c r="AD456" i="43" s="1"/>
  <c r="AE456" i="43" s="1"/>
  <c r="AF456" i="43" s="1"/>
  <c r="AG456" i="43" s="1"/>
  <c r="AH456" i="43" s="1"/>
  <c r="AI456" i="43" s="1"/>
  <c r="AJ456" i="43" s="1"/>
  <c r="AK456" i="43" s="1"/>
  <c r="AL456" i="43" s="1"/>
  <c r="AM456" i="43" s="1"/>
  <c r="AB454" i="43"/>
  <c r="AB13" i="43" s="1"/>
  <c r="Z150" i="43"/>
  <c r="W150" i="43"/>
  <c r="AC331" i="43" l="1"/>
  <c r="AC316" i="43" s="1"/>
  <c r="AB319" i="43"/>
  <c r="AB321" i="43" s="1"/>
  <c r="AB320" i="43"/>
  <c r="AC337" i="43"/>
  <c r="AC341" i="43" s="1"/>
  <c r="AD339" i="43" s="1"/>
  <c r="AD331" i="43" s="1"/>
  <c r="AD316" i="43" s="1"/>
  <c r="AC314" i="43"/>
  <c r="AB333" i="43"/>
  <c r="AC329" i="43" s="1"/>
  <c r="W109" i="43"/>
  <c r="AF397" i="43"/>
  <c r="AH278" i="43"/>
  <c r="AG397" i="43"/>
  <c r="Z463" i="43"/>
  <c r="Z464" i="43" s="1"/>
  <c r="AE466" i="43"/>
  <c r="AG473" i="43"/>
  <c r="AB458" i="43"/>
  <c r="AB459" i="43" s="1"/>
  <c r="AB455" i="43"/>
  <c r="AB277" i="43" s="1"/>
  <c r="AB334" i="43" l="1"/>
  <c r="AB335" i="43" s="1"/>
  <c r="AD325" i="43"/>
  <c r="AD327" i="43" s="1"/>
  <c r="AE323" i="43" s="1"/>
  <c r="AD337" i="43"/>
  <c r="AD341" i="43" s="1"/>
  <c r="AE339" i="43" s="1"/>
  <c r="AB229" i="43"/>
  <c r="C81" i="22"/>
  <c r="AH397" i="43"/>
  <c r="AI278" i="43"/>
  <c r="AF466" i="43"/>
  <c r="AH473" i="43"/>
  <c r="AC452" i="43"/>
  <c r="AB450" i="43"/>
  <c r="AA196" i="43"/>
  <c r="AE325" i="43" l="1"/>
  <c r="AE327" i="43" s="1"/>
  <c r="AF323" i="43" s="1"/>
  <c r="AE331" i="43"/>
  <c r="AE316" i="43" s="1"/>
  <c r="AE337" i="43"/>
  <c r="AE341" i="43" s="1"/>
  <c r="AF339" i="43" s="1"/>
  <c r="AF331" i="43" s="1"/>
  <c r="AF316" i="43" s="1"/>
  <c r="AJ278" i="43"/>
  <c r="AI397" i="43"/>
  <c r="AG466" i="43"/>
  <c r="AI473" i="43"/>
  <c r="AC454" i="43"/>
  <c r="AL82" i="43"/>
  <c r="AM30" i="43"/>
  <c r="AM23" i="247"/>
  <c r="AJ23" i="247"/>
  <c r="AI23" i="247"/>
  <c r="AH23" i="247"/>
  <c r="AE23" i="247"/>
  <c r="AD23" i="247"/>
  <c r="AC23" i="247"/>
  <c r="Z23" i="247"/>
  <c r="Y23" i="247"/>
  <c r="X23" i="247"/>
  <c r="U23" i="247"/>
  <c r="T23" i="247"/>
  <c r="S23" i="247"/>
  <c r="P23" i="247"/>
  <c r="O23" i="247"/>
  <c r="N23" i="247"/>
  <c r="AL53" i="247"/>
  <c r="AG53" i="247"/>
  <c r="AB53" i="247"/>
  <c r="W53" i="247"/>
  <c r="R53" i="247"/>
  <c r="M53" i="247"/>
  <c r="AF337" i="43" l="1"/>
  <c r="AF341" i="43" s="1"/>
  <c r="AG339" i="43" s="1"/>
  <c r="AG331" i="43" s="1"/>
  <c r="AG316" i="43" s="1"/>
  <c r="AF325" i="43"/>
  <c r="AF327" i="43" s="1"/>
  <c r="AG323" i="43" s="1"/>
  <c r="AK278" i="43"/>
  <c r="AJ397" i="43"/>
  <c r="AH466" i="43"/>
  <c r="AJ473" i="43"/>
  <c r="AC455" i="43"/>
  <c r="AC277" i="43" s="1"/>
  <c r="AG325" i="43" l="1"/>
  <c r="AG327" i="43" s="1"/>
  <c r="AH323" i="43" s="1"/>
  <c r="AG337" i="43"/>
  <c r="AG341" i="43" s="1"/>
  <c r="AH339" i="43" s="1"/>
  <c r="AH331" i="43" s="1"/>
  <c r="AH316" i="43" s="1"/>
  <c r="AL278" i="43"/>
  <c r="AK397" i="43"/>
  <c r="AI466" i="43"/>
  <c r="AC450" i="43"/>
  <c r="AD452" i="43"/>
  <c r="AK473" i="43"/>
  <c r="AB208" i="43"/>
  <c r="AC208" i="43"/>
  <c r="AD208" i="43"/>
  <c r="AE208" i="43"/>
  <c r="AF208" i="43"/>
  <c r="AG208" i="43"/>
  <c r="AH208" i="43"/>
  <c r="AI208" i="43"/>
  <c r="AJ208" i="43"/>
  <c r="AK208" i="43"/>
  <c r="AL208" i="43"/>
  <c r="AM208" i="43"/>
  <c r="AB210" i="43"/>
  <c r="AH337" i="43" l="1"/>
  <c r="AH341" i="43" s="1"/>
  <c r="AI339" i="43" s="1"/>
  <c r="AI331" i="43" s="1"/>
  <c r="AI316" i="43" s="1"/>
  <c r="AH325" i="43"/>
  <c r="AH327" i="43" s="1"/>
  <c r="AI323" i="43" s="1"/>
  <c r="AL397" i="43"/>
  <c r="AM278" i="43"/>
  <c r="AM397" i="43" s="1"/>
  <c r="AJ466" i="43"/>
  <c r="AD454" i="43"/>
  <c r="AL473" i="43"/>
  <c r="V76" i="43"/>
  <c r="W76" i="43"/>
  <c r="X76" i="43"/>
  <c r="AI337" i="43" l="1"/>
  <c r="AI341" i="43" s="1"/>
  <c r="AJ339" i="43" s="1"/>
  <c r="AJ331" i="43" s="1"/>
  <c r="AJ316" i="43" s="1"/>
  <c r="AI325" i="43"/>
  <c r="AI327" i="43" s="1"/>
  <c r="AJ323" i="43" s="1"/>
  <c r="AD455" i="43"/>
  <c r="AD277" i="43" s="1"/>
  <c r="AK466" i="43"/>
  <c r="AM473" i="43"/>
  <c r="AA47" i="43"/>
  <c r="Z47" i="43"/>
  <c r="Y47" i="43"/>
  <c r="X47" i="43"/>
  <c r="W47" i="43"/>
  <c r="AB69" i="43"/>
  <c r="AB91" i="43" s="1"/>
  <c r="AJ325" i="43" l="1"/>
  <c r="AJ327" i="43" s="1"/>
  <c r="AK323" i="43" s="1"/>
  <c r="AJ337" i="43"/>
  <c r="AJ341" i="43" s="1"/>
  <c r="AK339" i="43" s="1"/>
  <c r="AK331" i="43" s="1"/>
  <c r="AK316" i="43" s="1"/>
  <c r="AB164" i="43"/>
  <c r="AB163" i="43" s="1"/>
  <c r="AK337" i="43"/>
  <c r="AK341" i="43" s="1"/>
  <c r="AL339" i="43" s="1"/>
  <c r="AE452" i="43"/>
  <c r="AE454" i="43" s="1"/>
  <c r="AD450" i="43"/>
  <c r="AL466" i="43"/>
  <c r="Z124" i="43"/>
  <c r="Z105" i="43" s="1"/>
  <c r="Y124" i="43"/>
  <c r="Y105" i="43" s="1"/>
  <c r="X124" i="43"/>
  <c r="X105" i="43" s="1"/>
  <c r="W124" i="43"/>
  <c r="W105" i="43" s="1"/>
  <c r="V124" i="43"/>
  <c r="V105" i="43" s="1"/>
  <c r="Z122" i="43"/>
  <c r="Z104" i="43" s="1"/>
  <c r="Y122" i="43"/>
  <c r="Y104" i="43" s="1"/>
  <c r="X122" i="43"/>
  <c r="X104" i="43" s="1"/>
  <c r="W122" i="43"/>
  <c r="W104" i="43" s="1"/>
  <c r="V122" i="43"/>
  <c r="V104" i="43" s="1"/>
  <c r="AA124" i="43"/>
  <c r="AA105" i="43" s="1"/>
  <c r="AA122" i="43"/>
  <c r="AA104" i="43" s="1"/>
  <c r="Z100" i="43"/>
  <c r="Y100" i="43"/>
  <c r="X100" i="43"/>
  <c r="W100" i="43"/>
  <c r="V100" i="43"/>
  <c r="U100" i="43"/>
  <c r="Z98" i="43"/>
  <c r="Y98" i="43"/>
  <c r="X98" i="43"/>
  <c r="W98" i="43"/>
  <c r="V98" i="43"/>
  <c r="U98" i="43"/>
  <c r="AA100" i="43"/>
  <c r="AA98" i="43"/>
  <c r="Z87" i="43"/>
  <c r="Y87" i="43"/>
  <c r="X87" i="43"/>
  <c r="W87" i="43"/>
  <c r="V87" i="43"/>
  <c r="U87" i="43"/>
  <c r="Z85" i="43"/>
  <c r="Y85" i="43"/>
  <c r="X85" i="43"/>
  <c r="W85" i="43"/>
  <c r="V85" i="43"/>
  <c r="U85" i="43"/>
  <c r="AA87" i="43"/>
  <c r="AA85" i="43"/>
  <c r="AM96" i="43"/>
  <c r="AA73" i="43"/>
  <c r="AA71" i="43"/>
  <c r="AM82" i="43"/>
  <c r="AA70" i="43"/>
  <c r="Z70" i="43"/>
  <c r="Y70" i="43"/>
  <c r="X70" i="43"/>
  <c r="W70" i="43"/>
  <c r="V70" i="43"/>
  <c r="U82" i="43"/>
  <c r="V82" i="43"/>
  <c r="W82" i="43"/>
  <c r="X82" i="43"/>
  <c r="Y82" i="43"/>
  <c r="Z82" i="43"/>
  <c r="AA82" i="43"/>
  <c r="AB81" i="43"/>
  <c r="AC80" i="43"/>
  <c r="AD80" i="43" s="1"/>
  <c r="AE80" i="43" s="1"/>
  <c r="AF80" i="43" s="1"/>
  <c r="AG80" i="43" s="1"/>
  <c r="AH80" i="43" s="1"/>
  <c r="AI80" i="43" s="1"/>
  <c r="AJ80" i="43" s="1"/>
  <c r="AK80" i="43" s="1"/>
  <c r="AL80" i="43" s="1"/>
  <c r="AM80" i="43" s="1"/>
  <c r="R81" i="43"/>
  <c r="Q81" i="43"/>
  <c r="P81" i="43"/>
  <c r="O81" i="43"/>
  <c r="N81" i="43"/>
  <c r="M81" i="43"/>
  <c r="L81" i="43"/>
  <c r="K81" i="43"/>
  <c r="J81" i="43"/>
  <c r="I81" i="43"/>
  <c r="H81" i="43"/>
  <c r="T81" i="43"/>
  <c r="U81" i="43"/>
  <c r="V81" i="43"/>
  <c r="W81" i="43"/>
  <c r="X81" i="43"/>
  <c r="Y81" i="43"/>
  <c r="Z81" i="43"/>
  <c r="AA81" i="43"/>
  <c r="S81" i="43"/>
  <c r="AM54" i="247"/>
  <c r="AK325" i="43" l="1"/>
  <c r="AK327" i="43" s="1"/>
  <c r="AL323" i="43" s="1"/>
  <c r="AP87" i="43"/>
  <c r="AP85" i="43"/>
  <c r="Z306" i="43"/>
  <c r="AA306" i="43"/>
  <c r="AL331" i="43"/>
  <c r="AL316" i="43" s="1"/>
  <c r="AL325" i="43"/>
  <c r="AL327" i="43" s="1"/>
  <c r="AM323" i="43" s="1"/>
  <c r="AL337" i="43"/>
  <c r="AL341" i="43" s="1"/>
  <c r="AM339" i="43" s="1"/>
  <c r="Y113" i="43"/>
  <c r="Y306" i="43"/>
  <c r="X113" i="43"/>
  <c r="X306" i="43"/>
  <c r="V113" i="43"/>
  <c r="V306" i="43"/>
  <c r="W113" i="43"/>
  <c r="W306" i="43"/>
  <c r="AE455" i="43"/>
  <c r="AF452" i="43" s="1"/>
  <c r="AM466" i="43"/>
  <c r="AA161" i="43"/>
  <c r="AA163" i="43" s="1"/>
  <c r="U99" i="43"/>
  <c r="Y99" i="43"/>
  <c r="Y123" i="43"/>
  <c r="V123" i="43"/>
  <c r="Z123" i="43"/>
  <c r="W123" i="43"/>
  <c r="AB71" i="43"/>
  <c r="AB85" i="43" s="1"/>
  <c r="X123" i="43"/>
  <c r="V86" i="43"/>
  <c r="Z86" i="43"/>
  <c r="AA86" i="43"/>
  <c r="X99" i="43"/>
  <c r="X86" i="43"/>
  <c r="W86" i="43"/>
  <c r="U86" i="43"/>
  <c r="Y86" i="43"/>
  <c r="V99" i="43"/>
  <c r="Z99" i="43"/>
  <c r="AA83" i="43"/>
  <c r="W83" i="43"/>
  <c r="W99" i="43"/>
  <c r="AA74" i="43"/>
  <c r="Z83" i="43"/>
  <c r="V83" i="43"/>
  <c r="Y83" i="43"/>
  <c r="X83" i="43"/>
  <c r="AB83" i="43"/>
  <c r="AL69" i="43"/>
  <c r="AL91" i="43" s="1"/>
  <c r="AM69" i="43"/>
  <c r="AM91" i="43" s="1"/>
  <c r="AM83" i="43"/>
  <c r="Z77" i="43"/>
  <c r="Y77" i="43"/>
  <c r="AA77" i="43"/>
  <c r="AL164" i="43" l="1"/>
  <c r="AL163" i="43" s="1"/>
  <c r="AB52" i="43"/>
  <c r="AM331" i="43"/>
  <c r="AM316" i="43" s="1"/>
  <c r="AM325" i="43"/>
  <c r="AM327" i="43" s="1"/>
  <c r="AM337" i="43"/>
  <c r="AM341" i="43" s="1"/>
  <c r="AE450" i="43"/>
  <c r="AE277" i="43"/>
  <c r="AF454" i="43"/>
  <c r="AA165" i="43"/>
  <c r="AA169" i="43"/>
  <c r="AC71" i="43"/>
  <c r="AB161" i="43"/>
  <c r="AB160" i="43" s="1"/>
  <c r="AB144" i="43" s="1"/>
  <c r="AB145" i="43" s="1"/>
  <c r="AM164" i="43"/>
  <c r="AM163" i="43" s="1"/>
  <c r="AM70" i="43"/>
  <c r="AM426" i="43"/>
  <c r="AM425" i="43" s="1"/>
  <c r="AL426" i="43"/>
  <c r="AL425" i="43" s="1"/>
  <c r="AA154" i="43" l="1"/>
  <c r="AF455" i="43"/>
  <c r="AF277" i="43" s="1"/>
  <c r="AB169" i="43"/>
  <c r="AB186" i="43"/>
  <c r="AB180" i="43" s="1"/>
  <c r="AB132" i="43" s="1"/>
  <c r="AB150" i="43" s="1"/>
  <c r="AD71" i="43"/>
  <c r="AC161" i="43"/>
  <c r="AB133" i="43" l="1"/>
  <c r="AC131" i="43" s="1"/>
  <c r="AC250" i="43" s="1"/>
  <c r="AG452" i="43"/>
  <c r="AF450" i="43"/>
  <c r="AC169" i="43"/>
  <c r="AB167" i="43"/>
  <c r="AE71" i="43"/>
  <c r="AD161" i="43"/>
  <c r="AD169" i="43" l="1"/>
  <c r="AC129" i="43"/>
  <c r="AB376" i="43"/>
  <c r="AB272" i="43"/>
  <c r="AG454" i="43"/>
  <c r="AB168" i="43"/>
  <c r="AB148" i="43"/>
  <c r="AB108" i="43" s="1"/>
  <c r="AF71" i="43"/>
  <c r="AE161" i="43"/>
  <c r="AJ73" i="43" l="1"/>
  <c r="AK73" i="43" s="1"/>
  <c r="AL73" i="43" s="1"/>
  <c r="AM73" i="43" s="1"/>
  <c r="AE169" i="43"/>
  <c r="AG455" i="43"/>
  <c r="AG277" i="43" s="1"/>
  <c r="AB151" i="43"/>
  <c r="AG71" i="43"/>
  <c r="AF161" i="43"/>
  <c r="AF169" i="43" l="1"/>
  <c r="AB242" i="43"/>
  <c r="AB375" i="43"/>
  <c r="AB270" i="43"/>
  <c r="AB154" i="43"/>
  <c r="AG450" i="43"/>
  <c r="AH452" i="43"/>
  <c r="AC146" i="43"/>
  <c r="AC149" i="43"/>
  <c r="AC143" i="43"/>
  <c r="AB156" i="43"/>
  <c r="AB158" i="43" s="1"/>
  <c r="AB107" i="43" s="1"/>
  <c r="AH71" i="43"/>
  <c r="AG161" i="43"/>
  <c r="AG169" i="43" l="1"/>
  <c r="AO73" i="43"/>
  <c r="AH454" i="43"/>
  <c r="AI71" i="43"/>
  <c r="AH161" i="43"/>
  <c r="AH169" i="43" l="1"/>
  <c r="AH455" i="43"/>
  <c r="AH277" i="43" s="1"/>
  <c r="AJ71" i="43"/>
  <c r="AI161" i="43"/>
  <c r="AI169" i="43" l="1"/>
  <c r="AH450" i="43"/>
  <c r="AI452" i="43"/>
  <c r="AK71" i="43"/>
  <c r="AO71" i="43" s="1"/>
  <c r="AJ161" i="43"/>
  <c r="AJ169" i="43" l="1"/>
  <c r="AI454" i="43"/>
  <c r="AK161" i="43"/>
  <c r="AL71" i="43"/>
  <c r="AK169" i="43" l="1"/>
  <c r="AI455" i="43"/>
  <c r="AI277" i="43" s="1"/>
  <c r="AM71" i="43"/>
  <c r="AL161" i="43"/>
  <c r="AL160" i="43" s="1"/>
  <c r="AL144" i="43" s="1"/>
  <c r="AL145" i="43" s="1"/>
  <c r="AL85" i="43"/>
  <c r="AL52" i="43" s="1"/>
  <c r="AL169" i="43" l="1"/>
  <c r="AI450" i="43"/>
  <c r="AJ452" i="43"/>
  <c r="AL186" i="43"/>
  <c r="AL180" i="43" s="1"/>
  <c r="AM85" i="43"/>
  <c r="AM52" i="43" s="1"/>
  <c r="AM161" i="43"/>
  <c r="AM160" i="43" s="1"/>
  <c r="AM144" i="43" s="1"/>
  <c r="AM145" i="43" s="1"/>
  <c r="AM169" i="43" l="1"/>
  <c r="AM167" i="43" s="1"/>
  <c r="AM148" i="43" s="1"/>
  <c r="AM108" i="43" s="1"/>
  <c r="AL167" i="43"/>
  <c r="AL132" i="43"/>
  <c r="AL150" i="43" s="1"/>
  <c r="AJ454" i="43"/>
  <c r="AM186" i="43"/>
  <c r="AM180" i="43" s="1"/>
  <c r="AM132" i="43" s="1"/>
  <c r="AM150" i="43" s="1"/>
  <c r="AM168" i="43" l="1"/>
  <c r="AL148" i="43"/>
  <c r="AL108" i="43" s="1"/>
  <c r="AL168" i="43"/>
  <c r="AJ455" i="43"/>
  <c r="AJ277" i="43" s="1"/>
  <c r="AK452" i="43" l="1"/>
  <c r="AJ450" i="43"/>
  <c r="AK454" i="43" l="1"/>
  <c r="V54" i="247"/>
  <c r="AD54" i="247"/>
  <c r="AI54" i="247"/>
  <c r="AM53" i="247"/>
  <c r="AK53" i="247"/>
  <c r="AK54" i="247" s="1"/>
  <c r="AJ53" i="247"/>
  <c r="AJ54" i="247" s="1"/>
  <c r="AI53" i="247"/>
  <c r="AH53" i="247"/>
  <c r="AH54" i="247" s="1"/>
  <c r="AF53" i="247"/>
  <c r="AF54" i="247" s="1"/>
  <c r="AE53" i="247"/>
  <c r="AE54" i="247" s="1"/>
  <c r="AD53" i="247"/>
  <c r="AC53" i="247"/>
  <c r="AC54" i="247" s="1"/>
  <c r="AA53" i="247"/>
  <c r="AA54" i="247" s="1"/>
  <c r="Z53" i="247"/>
  <c r="Z54" i="247" s="1"/>
  <c r="Y53" i="247"/>
  <c r="Y54" i="247" s="1"/>
  <c r="X53" i="247"/>
  <c r="X54" i="247" s="1"/>
  <c r="V53" i="247"/>
  <c r="U53" i="247"/>
  <c r="U54" i="247" s="1"/>
  <c r="T53" i="247"/>
  <c r="T54" i="247" s="1"/>
  <c r="S53" i="247"/>
  <c r="S54" i="247" s="1"/>
  <c r="Q53" i="247"/>
  <c r="Q54" i="247" s="1"/>
  <c r="P53" i="247"/>
  <c r="P54" i="247" s="1"/>
  <c r="O53" i="247"/>
  <c r="O54" i="247" s="1"/>
  <c r="N53" i="247"/>
  <c r="N54" i="247" s="1"/>
  <c r="L53" i="247"/>
  <c r="L54" i="247" s="1"/>
  <c r="K53" i="247"/>
  <c r="K54" i="247" s="1"/>
  <c r="J53" i="247"/>
  <c r="J54" i="247" s="1"/>
  <c r="I53" i="247"/>
  <c r="I54" i="247" s="1"/>
  <c r="T197" i="43"/>
  <c r="T196" i="43"/>
  <c r="T194" i="43"/>
  <c r="U197" i="43"/>
  <c r="U196" i="43"/>
  <c r="U194" i="43"/>
  <c r="V197" i="43"/>
  <c r="V196" i="43"/>
  <c r="V194" i="43"/>
  <c r="J50" i="247"/>
  <c r="J49" i="247"/>
  <c r="K50" i="247"/>
  <c r="K49" i="247"/>
  <c r="AK455" i="43" l="1"/>
  <c r="AK277" i="43" s="1"/>
  <c r="T198" i="43"/>
  <c r="U198" i="43"/>
  <c r="V198" i="43"/>
  <c r="Y78" i="43"/>
  <c r="Z78" i="43"/>
  <c r="AA78" i="43"/>
  <c r="U76" i="43"/>
  <c r="U77" i="43" s="1"/>
  <c r="V77" i="43"/>
  <c r="W77" i="43"/>
  <c r="AK450" i="43" l="1"/>
  <c r="AL452" i="43"/>
  <c r="V78" i="43"/>
  <c r="W78" i="43"/>
  <c r="U78" i="43"/>
  <c r="X77" i="43"/>
  <c r="AL454" i="43" l="1"/>
  <c r="X78" i="43"/>
  <c r="X296" i="43"/>
  <c r="X480" i="43" s="1"/>
  <c r="X285" i="43"/>
  <c r="X284" i="43"/>
  <c r="Y296" i="43"/>
  <c r="Y480" i="43" s="1"/>
  <c r="Y284" i="43"/>
  <c r="AA197" i="43"/>
  <c r="AA194" i="43"/>
  <c r="H52" i="247"/>
  <c r="M52" i="247"/>
  <c r="Y487" i="43" l="1"/>
  <c r="Y486" i="43" s="1"/>
  <c r="X384" i="43"/>
  <c r="X487" i="43"/>
  <c r="X486" i="43" s="1"/>
  <c r="Y384" i="43"/>
  <c r="X303" i="43"/>
  <c r="X481" i="43"/>
  <c r="X482" i="43"/>
  <c r="Y481" i="43"/>
  <c r="Y482" i="43"/>
  <c r="AL455" i="43"/>
  <c r="AL277" i="43" s="1"/>
  <c r="AM452" i="43" l="1"/>
  <c r="AM454" i="43" s="1"/>
  <c r="AL450" i="43"/>
  <c r="X117" i="43"/>
  <c r="W117" i="43"/>
  <c r="V117" i="43"/>
  <c r="X115" i="43"/>
  <c r="W115" i="43"/>
  <c r="V115" i="43"/>
  <c r="Z111" i="43"/>
  <c r="Z110" i="43" s="1"/>
  <c r="Y117" i="43"/>
  <c r="AA111" i="43"/>
  <c r="AM68" i="247"/>
  <c r="AM67" i="247"/>
  <c r="AM66" i="247"/>
  <c r="AM65" i="247"/>
  <c r="AM64" i="247"/>
  <c r="AM63" i="247"/>
  <c r="AM72" i="247"/>
  <c r="AJ72" i="247"/>
  <c r="AI72" i="247"/>
  <c r="AH72" i="247"/>
  <c r="AE72" i="247"/>
  <c r="AD72" i="247"/>
  <c r="AC72" i="247"/>
  <c r="Z72" i="247"/>
  <c r="Y72" i="247"/>
  <c r="X72" i="247"/>
  <c r="U72" i="247"/>
  <c r="T72" i="247"/>
  <c r="S72" i="247"/>
  <c r="P72" i="247"/>
  <c r="O72" i="247"/>
  <c r="N72" i="247"/>
  <c r="AJ68" i="247"/>
  <c r="AI68" i="247"/>
  <c r="AH68" i="247"/>
  <c r="AJ67" i="247"/>
  <c r="AI67" i="247"/>
  <c r="AH67" i="247"/>
  <c r="AJ66" i="247"/>
  <c r="AI66" i="247"/>
  <c r="AH66" i="247"/>
  <c r="AJ65" i="247"/>
  <c r="AI65" i="247"/>
  <c r="AH65" i="247"/>
  <c r="AJ64" i="247"/>
  <c r="AI64" i="247"/>
  <c r="AH64" i="247"/>
  <c r="AJ63" i="247"/>
  <c r="AI63" i="247"/>
  <c r="AH63" i="247"/>
  <c r="AE68" i="247"/>
  <c r="AD68" i="247"/>
  <c r="AC68" i="247"/>
  <c r="AE67" i="247"/>
  <c r="AD67" i="247"/>
  <c r="AC67" i="247"/>
  <c r="AE66" i="247"/>
  <c r="AD66" i="247"/>
  <c r="AC66" i="247"/>
  <c r="AE65" i="247"/>
  <c r="AD65" i="247"/>
  <c r="AC65" i="247"/>
  <c r="AE64" i="247"/>
  <c r="AD64" i="247"/>
  <c r="AC64" i="247"/>
  <c r="AE63" i="247"/>
  <c r="AD63" i="247"/>
  <c r="AC63" i="247"/>
  <c r="Z68" i="247"/>
  <c r="Y68" i="247"/>
  <c r="X68" i="247"/>
  <c r="Z67" i="247"/>
  <c r="Y67" i="247"/>
  <c r="X67" i="247"/>
  <c r="Z66" i="247"/>
  <c r="Y66" i="247"/>
  <c r="X66" i="247"/>
  <c r="Z65" i="247"/>
  <c r="Y65" i="247"/>
  <c r="X65" i="247"/>
  <c r="Z64" i="247"/>
  <c r="Y64" i="247"/>
  <c r="X64" i="247"/>
  <c r="Z63" i="247"/>
  <c r="Z69" i="247" s="1"/>
  <c r="Y63" i="247"/>
  <c r="X63" i="247"/>
  <c r="N68" i="247"/>
  <c r="N67" i="247"/>
  <c r="N66" i="247"/>
  <c r="N65" i="247"/>
  <c r="N64" i="247"/>
  <c r="N63" i="247"/>
  <c r="N69" i="247" s="1"/>
  <c r="U68" i="247"/>
  <c r="U67" i="247"/>
  <c r="U66" i="247"/>
  <c r="U65" i="247"/>
  <c r="U64" i="247"/>
  <c r="U63" i="247"/>
  <c r="T68" i="247"/>
  <c r="T67" i="247"/>
  <c r="T66" i="247"/>
  <c r="T65" i="247"/>
  <c r="T64" i="247"/>
  <c r="T63" i="247"/>
  <c r="S68" i="247"/>
  <c r="S67" i="247"/>
  <c r="S66" i="247"/>
  <c r="S65" i="247"/>
  <c r="S64" i="247"/>
  <c r="S63" i="247"/>
  <c r="S69" i="247" s="1"/>
  <c r="P68" i="247"/>
  <c r="P67" i="247"/>
  <c r="P66" i="247"/>
  <c r="P65" i="247"/>
  <c r="P69" i="247" s="1"/>
  <c r="P64" i="247"/>
  <c r="P63" i="247"/>
  <c r="O68" i="247"/>
  <c r="O67" i="247"/>
  <c r="O66" i="247"/>
  <c r="O65" i="247"/>
  <c r="O64" i="247"/>
  <c r="O63" i="247"/>
  <c r="AA296" i="43"/>
  <c r="Z296" i="43"/>
  <c r="Z480" i="43" s="1"/>
  <c r="Z284" i="43"/>
  <c r="Z487" i="43" s="1"/>
  <c r="Z486" i="43" s="1"/>
  <c r="AA284" i="43"/>
  <c r="Y256" i="43"/>
  <c r="Y253" i="43"/>
  <c r="Z256" i="43"/>
  <c r="Z253" i="43"/>
  <c r="AA256" i="43"/>
  <c r="AA253" i="43"/>
  <c r="X241" i="43"/>
  <c r="W241" i="43"/>
  <c r="V241" i="43"/>
  <c r="AB236" i="43"/>
  <c r="AB237" i="43"/>
  <c r="AC237" i="43"/>
  <c r="AD237" i="43"/>
  <c r="AE237" i="43"/>
  <c r="AF237" i="43"/>
  <c r="AG237" i="43"/>
  <c r="AH237" i="43"/>
  <c r="AI237" i="43"/>
  <c r="AJ237" i="43"/>
  <c r="AK237" i="43"/>
  <c r="AL237" i="43"/>
  <c r="AM237" i="43"/>
  <c r="Z238" i="43"/>
  <c r="Y238" i="43"/>
  <c r="X238" i="43"/>
  <c r="W238" i="43"/>
  <c r="V238" i="43"/>
  <c r="Z237" i="43"/>
  <c r="Y237" i="43"/>
  <c r="X237" i="43"/>
  <c r="W237" i="43"/>
  <c r="V237" i="43"/>
  <c r="AA237" i="43"/>
  <c r="Y243" i="43"/>
  <c r="Z243" i="43"/>
  <c r="AA243" i="43"/>
  <c r="W194" i="43"/>
  <c r="AA96" i="43"/>
  <c r="AA94" i="43"/>
  <c r="AA92" i="43"/>
  <c r="O50" i="247"/>
  <c r="O49" i="247"/>
  <c r="P50" i="247"/>
  <c r="P49" i="247"/>
  <c r="AL52" i="247"/>
  <c r="W52" i="247"/>
  <c r="R52" i="247"/>
  <c r="AM27" i="247"/>
  <c r="AJ27" i="247"/>
  <c r="AI27" i="247"/>
  <c r="AH27" i="247"/>
  <c r="AE27" i="247"/>
  <c r="AD27" i="247"/>
  <c r="AC27" i="247"/>
  <c r="Z27" i="247"/>
  <c r="Y27" i="247"/>
  <c r="X27" i="247"/>
  <c r="U27" i="247"/>
  <c r="T27" i="247"/>
  <c r="S27" i="247"/>
  <c r="P27" i="247"/>
  <c r="O27" i="247"/>
  <c r="N27" i="247"/>
  <c r="AG52" i="247"/>
  <c r="AB52" i="247"/>
  <c r="F42" i="247"/>
  <c r="E42" i="247"/>
  <c r="D42" i="247"/>
  <c r="K42" i="247"/>
  <c r="P42" i="247"/>
  <c r="U42" i="247"/>
  <c r="Z42" i="247"/>
  <c r="AE42" i="247"/>
  <c r="AJ42" i="247"/>
  <c r="Y50" i="247"/>
  <c r="Y49" i="247"/>
  <c r="F41" i="247"/>
  <c r="E41" i="247"/>
  <c r="D41" i="247"/>
  <c r="K41" i="247"/>
  <c r="J41" i="247"/>
  <c r="P41" i="247"/>
  <c r="O41" i="247"/>
  <c r="U41" i="247"/>
  <c r="T41" i="247"/>
  <c r="Z41" i="247"/>
  <c r="Y41" i="247"/>
  <c r="AE41" i="247"/>
  <c r="AD41" i="247"/>
  <c r="AJ41" i="247"/>
  <c r="AI41" i="247"/>
  <c r="U22" i="247"/>
  <c r="T22" i="247"/>
  <c r="S22" i="247"/>
  <c r="O22" i="247"/>
  <c r="P22" i="247"/>
  <c r="N22" i="247"/>
  <c r="U50" i="247"/>
  <c r="T50" i="247"/>
  <c r="U49" i="247"/>
  <c r="T49" i="247"/>
  <c r="Z50" i="247"/>
  <c r="Z49" i="247"/>
  <c r="AM33" i="247"/>
  <c r="AM30" i="247"/>
  <c r="AM29" i="247"/>
  <c r="AM60" i="247" s="1"/>
  <c r="AI49" i="247"/>
  <c r="AJ49" i="247"/>
  <c r="AI50" i="247"/>
  <c r="AJ50" i="247"/>
  <c r="AD50" i="247"/>
  <c r="AD49" i="247"/>
  <c r="AE50" i="247"/>
  <c r="AE49" i="247"/>
  <c r="Z34" i="247"/>
  <c r="Z35" i="247" s="1"/>
  <c r="Y34" i="247"/>
  <c r="Y35" i="247" s="1"/>
  <c r="X34" i="247"/>
  <c r="Z33" i="247"/>
  <c r="Y33" i="247"/>
  <c r="X33" i="247"/>
  <c r="Z30" i="247"/>
  <c r="Y30" i="247"/>
  <c r="X30" i="247"/>
  <c r="Z29" i="247"/>
  <c r="Z60" i="247" s="1"/>
  <c r="Y29" i="247"/>
  <c r="Y60" i="247" s="1"/>
  <c r="X29" i="247"/>
  <c r="X60" i="247" s="1"/>
  <c r="U34" i="247"/>
  <c r="U35" i="247" s="1"/>
  <c r="T34" i="247"/>
  <c r="T35" i="247" s="1"/>
  <c r="S34" i="247"/>
  <c r="U33" i="247"/>
  <c r="T33" i="247"/>
  <c r="S33" i="247"/>
  <c r="U30" i="247"/>
  <c r="T30" i="247"/>
  <c r="S30" i="247"/>
  <c r="U29" i="247"/>
  <c r="U60" i="247" s="1"/>
  <c r="T29" i="247"/>
  <c r="T60" i="247" s="1"/>
  <c r="S29" i="247"/>
  <c r="S60" i="247" s="1"/>
  <c r="P34" i="247"/>
  <c r="P35" i="247" s="1"/>
  <c r="O34" i="247"/>
  <c r="O35" i="247" s="1"/>
  <c r="N34" i="247"/>
  <c r="P33" i="247"/>
  <c r="O33" i="247"/>
  <c r="N33" i="247"/>
  <c r="P30" i="247"/>
  <c r="O30" i="247"/>
  <c r="N30" i="247"/>
  <c r="P29" i="247"/>
  <c r="P60" i="247" s="1"/>
  <c r="O29" i="247"/>
  <c r="O60" i="247" s="1"/>
  <c r="N29" i="247"/>
  <c r="N60" i="247" s="1"/>
  <c r="AC34" i="247"/>
  <c r="AC33" i="247"/>
  <c r="AC30" i="247"/>
  <c r="AC29" i="247"/>
  <c r="AC60" i="247" s="1"/>
  <c r="AM34" i="247"/>
  <c r="AD34" i="247"/>
  <c r="AD35" i="247" s="1"/>
  <c r="AD33" i="247"/>
  <c r="AE34" i="247"/>
  <c r="AE33" i="247"/>
  <c r="AJ34" i="247"/>
  <c r="AJ35" i="247" s="1"/>
  <c r="AI34" i="247"/>
  <c r="AH34" i="247"/>
  <c r="AJ33" i="247"/>
  <c r="AI33" i="247"/>
  <c r="AH33" i="247"/>
  <c r="AD30" i="247"/>
  <c r="AD29" i="247"/>
  <c r="AD60" i="247" s="1"/>
  <c r="AE30" i="247"/>
  <c r="AE29" i="247"/>
  <c r="AE60" i="247" s="1"/>
  <c r="AJ30" i="247"/>
  <c r="AI30" i="247"/>
  <c r="AH30" i="247"/>
  <c r="AH31" i="247" s="1"/>
  <c r="AJ29" i="247"/>
  <c r="AJ60" i="247" s="1"/>
  <c r="AI29" i="247"/>
  <c r="AI60" i="247" s="1"/>
  <c r="AH29" i="247"/>
  <c r="AH60" i="247" s="1"/>
  <c r="AN22" i="247"/>
  <c r="AO22" i="247"/>
  <c r="AP22" i="247"/>
  <c r="AE22" i="247"/>
  <c r="AH22" i="247"/>
  <c r="AI22" i="247"/>
  <c r="AJ22" i="247"/>
  <c r="AM22" i="247"/>
  <c r="AD22" i="247"/>
  <c r="AC22" i="247"/>
  <c r="Z22" i="247"/>
  <c r="Y22" i="247"/>
  <c r="X22" i="247"/>
  <c r="AA487" i="43" l="1"/>
  <c r="AA486" i="43" s="1"/>
  <c r="Z384" i="43"/>
  <c r="Z482" i="43"/>
  <c r="Z481" i="43"/>
  <c r="AB296" i="43"/>
  <c r="AA480" i="43"/>
  <c r="Z109" i="43"/>
  <c r="Z115" i="43" s="1"/>
  <c r="W119" i="43"/>
  <c r="X119" i="43"/>
  <c r="V119" i="43"/>
  <c r="AA384" i="43"/>
  <c r="AB284" i="43"/>
  <c r="AC284" i="43" s="1"/>
  <c r="AD284" i="43" s="1"/>
  <c r="AE284" i="43" s="1"/>
  <c r="AF284" i="43" s="1"/>
  <c r="AG284" i="43" s="1"/>
  <c r="AH284" i="43" s="1"/>
  <c r="AI284" i="43" s="1"/>
  <c r="AJ284" i="43" s="1"/>
  <c r="AK284" i="43" s="1"/>
  <c r="AL284" i="43" s="1"/>
  <c r="AM284" i="43" s="1"/>
  <c r="AA434" i="43"/>
  <c r="AA437" i="43"/>
  <c r="Y434" i="43"/>
  <c r="Y437" i="43"/>
  <c r="AM455" i="43"/>
  <c r="Z437" i="43"/>
  <c r="Z434" i="43"/>
  <c r="Y118" i="43"/>
  <c r="X116" i="43"/>
  <c r="W118" i="43"/>
  <c r="W116" i="43"/>
  <c r="X118" i="43"/>
  <c r="Z241" i="43"/>
  <c r="Y241" i="43"/>
  <c r="AA241" i="43"/>
  <c r="AA110" i="43"/>
  <c r="AB92" i="43"/>
  <c r="AA95" i="43"/>
  <c r="AE61" i="247"/>
  <c r="AE31" i="247"/>
  <c r="AI61" i="247"/>
  <c r="AI31" i="247"/>
  <c r="AM69" i="247"/>
  <c r="AM35" i="247"/>
  <c r="N61" i="247"/>
  <c r="N31" i="247"/>
  <c r="AJ31" i="247"/>
  <c r="AD61" i="247"/>
  <c r="AD31" i="247"/>
  <c r="AH35" i="247"/>
  <c r="AE35" i="247"/>
  <c r="O61" i="247"/>
  <c r="O31" i="247"/>
  <c r="T61" i="247"/>
  <c r="T31" i="247"/>
  <c r="Y61" i="247"/>
  <c r="Y31" i="247"/>
  <c r="U69" i="247"/>
  <c r="AE69" i="247"/>
  <c r="AD69" i="247"/>
  <c r="AH61" i="247"/>
  <c r="AC35" i="247"/>
  <c r="S61" i="247"/>
  <c r="S31" i="247"/>
  <c r="X61" i="247"/>
  <c r="X31" i="247"/>
  <c r="AI35" i="247"/>
  <c r="AC61" i="247"/>
  <c r="AC31" i="247"/>
  <c r="P61" i="247"/>
  <c r="P31" i="247"/>
  <c r="N35" i="247"/>
  <c r="U61" i="247"/>
  <c r="U71" i="247" s="1"/>
  <c r="U31" i="247"/>
  <c r="S35" i="247"/>
  <c r="Z61" i="247"/>
  <c r="Z71" i="247" s="1"/>
  <c r="Z73" i="247" s="1"/>
  <c r="Z31" i="247"/>
  <c r="X35" i="247"/>
  <c r="AM61" i="247"/>
  <c r="AM71" i="247" s="1"/>
  <c r="AM73" i="247" s="1"/>
  <c r="AM31" i="247"/>
  <c r="O69" i="247"/>
  <c r="T69" i="247"/>
  <c r="N71" i="247"/>
  <c r="S71" i="247"/>
  <c r="S73" i="247" s="1"/>
  <c r="P71" i="247"/>
  <c r="X69" i="247"/>
  <c r="X71" i="247" s="1"/>
  <c r="X73" i="247" s="1"/>
  <c r="AJ69" i="247"/>
  <c r="AC69" i="247"/>
  <c r="AC71" i="247" s="1"/>
  <c r="AC73" i="247" s="1"/>
  <c r="AJ61" i="247"/>
  <c r="AJ71" i="247" s="1"/>
  <c r="AI69" i="247"/>
  <c r="AI71" i="247" s="1"/>
  <c r="AI73" i="247" s="1"/>
  <c r="N73" i="247"/>
  <c r="Y69" i="247"/>
  <c r="Y71" i="247" s="1"/>
  <c r="Y73" i="247" s="1"/>
  <c r="AH69" i="247"/>
  <c r="AH71" i="247" s="1"/>
  <c r="AH73" i="247" s="1"/>
  <c r="Z117" i="43"/>
  <c r="P73" i="247"/>
  <c r="AJ73" i="247"/>
  <c r="U73" i="247"/>
  <c r="AJ39" i="247"/>
  <c r="AJ40" i="247" s="1"/>
  <c r="AI39" i="247"/>
  <c r="AI40" i="247" s="1"/>
  <c r="AH39" i="247"/>
  <c r="AE39" i="247"/>
  <c r="AE40" i="247" s="1"/>
  <c r="AD39" i="247"/>
  <c r="AD40" i="247" s="1"/>
  <c r="AC39" i="247"/>
  <c r="Z39" i="247"/>
  <c r="Z40" i="247" s="1"/>
  <c r="Y39" i="247"/>
  <c r="Y40" i="247" s="1"/>
  <c r="X39" i="247"/>
  <c r="U39" i="247"/>
  <c r="U40" i="247" s="1"/>
  <c r="T39" i="247"/>
  <c r="T40" i="247" s="1"/>
  <c r="S39" i="247"/>
  <c r="P39" i="247"/>
  <c r="P40" i="247" s="1"/>
  <c r="O39" i="247"/>
  <c r="O40" i="247" s="1"/>
  <c r="N39" i="247"/>
  <c r="K39" i="247"/>
  <c r="K40" i="247" s="1"/>
  <c r="J39" i="247"/>
  <c r="J40" i="247" s="1"/>
  <c r="I39" i="247"/>
  <c r="F39" i="247"/>
  <c r="F40" i="247" s="1"/>
  <c r="E39" i="247"/>
  <c r="E40" i="247" s="1"/>
  <c r="D39" i="247"/>
  <c r="D40" i="247" s="1"/>
  <c r="AM39" i="247"/>
  <c r="AP14" i="247"/>
  <c r="AO14" i="247"/>
  <c r="AN14" i="247"/>
  <c r="AM14" i="247"/>
  <c r="AJ14" i="247"/>
  <c r="AI14" i="247"/>
  <c r="AH14" i="247"/>
  <c r="AE14" i="247"/>
  <c r="AD14" i="247"/>
  <c r="AC14" i="247"/>
  <c r="Z14" i="247"/>
  <c r="Y14" i="247"/>
  <c r="X14" i="247"/>
  <c r="U14" i="247"/>
  <c r="T14" i="247"/>
  <c r="S14" i="247"/>
  <c r="P14" i="247"/>
  <c r="O14" i="247"/>
  <c r="N14" i="247"/>
  <c r="AN9" i="247"/>
  <c r="AO9" i="247"/>
  <c r="AP9" i="247"/>
  <c r="S9" i="247"/>
  <c r="T9" i="247"/>
  <c r="U9" i="247"/>
  <c r="X9" i="247"/>
  <c r="Y9" i="247"/>
  <c r="Z9" i="247"/>
  <c r="AC9" i="247"/>
  <c r="AD9" i="247"/>
  <c r="AE9" i="247"/>
  <c r="AH9" i="247"/>
  <c r="AI9" i="247"/>
  <c r="AJ9" i="247"/>
  <c r="AM9" i="247"/>
  <c r="P9" i="247"/>
  <c r="O9" i="247"/>
  <c r="N9" i="247"/>
  <c r="K9" i="247"/>
  <c r="J9" i="247"/>
  <c r="I9" i="247"/>
  <c r="F9" i="247"/>
  <c r="E9" i="247"/>
  <c r="D9" i="247"/>
  <c r="D4" i="247"/>
  <c r="L3" i="247"/>
  <c r="K3" i="247"/>
  <c r="P3" i="247" s="1"/>
  <c r="U3" i="247" s="1"/>
  <c r="J3" i="247"/>
  <c r="I3" i="247"/>
  <c r="I2" i="247"/>
  <c r="N2" i="247" s="1"/>
  <c r="S2" i="247" s="1"/>
  <c r="X2" i="247" s="1"/>
  <c r="AC2" i="247" s="1"/>
  <c r="AH2" i="247" s="1"/>
  <c r="AM2" i="247" s="1"/>
  <c r="E2" i="247"/>
  <c r="F2" i="247" s="1"/>
  <c r="F4" i="247" s="1"/>
  <c r="Z113" i="43" l="1"/>
  <c r="AA482" i="43"/>
  <c r="AA481" i="43"/>
  <c r="AA443" i="43"/>
  <c r="AB94" i="43"/>
  <c r="Z443" i="43"/>
  <c r="AA109" i="43"/>
  <c r="Y443" i="43"/>
  <c r="Z118" i="43"/>
  <c r="Z119" i="43"/>
  <c r="AM450" i="43"/>
  <c r="AM277" i="43"/>
  <c r="AA117" i="43"/>
  <c r="Y115" i="43"/>
  <c r="AC92" i="43"/>
  <c r="T71" i="247"/>
  <c r="T73" i="247" s="1"/>
  <c r="O71" i="247"/>
  <c r="O73" i="247" s="1"/>
  <c r="AD71" i="247"/>
  <c r="AD73" i="247" s="1"/>
  <c r="AE71" i="247"/>
  <c r="AE73" i="247" s="1"/>
  <c r="I4" i="247"/>
  <c r="Z3" i="247"/>
  <c r="O3" i="247"/>
  <c r="Q3" i="247"/>
  <c r="N3" i="247"/>
  <c r="E4" i="247"/>
  <c r="K2" i="247"/>
  <c r="P2" i="247" s="1"/>
  <c r="U2" i="247" s="1"/>
  <c r="Z2" i="247" s="1"/>
  <c r="AE2" i="247" s="1"/>
  <c r="AJ2" i="247" s="1"/>
  <c r="AO2" i="247" s="1"/>
  <c r="G2" i="247"/>
  <c r="H2" i="247" s="1"/>
  <c r="H4" i="247" s="1"/>
  <c r="J2" i="247"/>
  <c r="O2" i="247" s="1"/>
  <c r="T2" i="247" s="1"/>
  <c r="Y2" i="247" s="1"/>
  <c r="AD2" i="247" s="1"/>
  <c r="AI2" i="247" s="1"/>
  <c r="AN2" i="247" s="1"/>
  <c r="Z92" i="43"/>
  <c r="X92" i="43"/>
  <c r="W92" i="43"/>
  <c r="V92" i="43"/>
  <c r="U92" i="43"/>
  <c r="Y92" i="43"/>
  <c r="V96" i="43"/>
  <c r="W96" i="43"/>
  <c r="X96" i="43"/>
  <c r="Y96" i="43"/>
  <c r="Z96" i="43"/>
  <c r="U96" i="43"/>
  <c r="AA28" i="43"/>
  <c r="Y226" i="43"/>
  <c r="AA221" i="43"/>
  <c r="AA238" i="43" s="1"/>
  <c r="AA219" i="43"/>
  <c r="Z217" i="43"/>
  <c r="Y217" i="43"/>
  <c r="X217" i="43"/>
  <c r="W217" i="43"/>
  <c r="V217" i="43"/>
  <c r="U217" i="43"/>
  <c r="AA217" i="43"/>
  <c r="V210" i="43"/>
  <c r="V236" i="43" s="1"/>
  <c r="V459" i="43" s="1"/>
  <c r="V460" i="43" s="1"/>
  <c r="W210" i="43"/>
  <c r="W236" i="43" s="1"/>
  <c r="W459" i="43" s="1"/>
  <c r="W460" i="43" s="1"/>
  <c r="X210" i="43"/>
  <c r="X236" i="43" s="1"/>
  <c r="X459" i="43" s="1"/>
  <c r="X460" i="43" s="1"/>
  <c r="Y210" i="43"/>
  <c r="Y236" i="43" s="1"/>
  <c r="Y459" i="43" s="1"/>
  <c r="Y460" i="43" s="1"/>
  <c r="Z210" i="43"/>
  <c r="AA210" i="43"/>
  <c r="Z208" i="43"/>
  <c r="Y208" i="43"/>
  <c r="X208" i="43"/>
  <c r="W208" i="43"/>
  <c r="V208" i="43"/>
  <c r="U208" i="43"/>
  <c r="AA208" i="43"/>
  <c r="AD92" i="43" l="1"/>
  <c r="AE92" i="43" s="1"/>
  <c r="AC94" i="43"/>
  <c r="Y119" i="43"/>
  <c r="AB117" i="43"/>
  <c r="AA236" i="43"/>
  <c r="AA459" i="43" s="1"/>
  <c r="AA460" i="43" s="1"/>
  <c r="Z236" i="43"/>
  <c r="Z459" i="43" s="1"/>
  <c r="Z460" i="43" s="1"/>
  <c r="Z116" i="43"/>
  <c r="Y116" i="43"/>
  <c r="AA118" i="43"/>
  <c r="Y93" i="43"/>
  <c r="AA115" i="43"/>
  <c r="AA113" i="43"/>
  <c r="W93" i="43"/>
  <c r="X93" i="43"/>
  <c r="Z93" i="43"/>
  <c r="AA93" i="43"/>
  <c r="V93" i="43"/>
  <c r="K4" i="247"/>
  <c r="U4" i="247"/>
  <c r="N4" i="247"/>
  <c r="S3" i="247"/>
  <c r="L2" i="247"/>
  <c r="M2" i="247" s="1"/>
  <c r="M4" i="247" s="1"/>
  <c r="G4" i="247"/>
  <c r="V3" i="247"/>
  <c r="AE3" i="247"/>
  <c r="Z4" i="247"/>
  <c r="P4" i="247"/>
  <c r="O4" i="247"/>
  <c r="T3" i="247"/>
  <c r="J4" i="247"/>
  <c r="Z28" i="43"/>
  <c r="Y28" i="43"/>
  <c r="X28" i="43"/>
  <c r="W28" i="43"/>
  <c r="V28" i="43"/>
  <c r="AP28" i="43" s="1"/>
  <c r="U28" i="43"/>
  <c r="AA10" i="43"/>
  <c r="W197" i="43"/>
  <c r="W196" i="43"/>
  <c r="U94" i="43"/>
  <c r="U73" i="43"/>
  <c r="U71" i="43"/>
  <c r="U161" i="43" s="1"/>
  <c r="U163" i="43" s="1"/>
  <c r="U64" i="43"/>
  <c r="U63" i="43"/>
  <c r="U62" i="43"/>
  <c r="U60" i="43"/>
  <c r="U55" i="43"/>
  <c r="U7" i="43" s="1"/>
  <c r="W94" i="43"/>
  <c r="Z94" i="43"/>
  <c r="Y94" i="43"/>
  <c r="X94" i="43"/>
  <c r="V94" i="43"/>
  <c r="Z73" i="43"/>
  <c r="Y73" i="43"/>
  <c r="X73" i="43"/>
  <c r="W73" i="43"/>
  <c r="V73" i="43"/>
  <c r="V71" i="43"/>
  <c r="W71" i="43"/>
  <c r="X71" i="43"/>
  <c r="Y71" i="43"/>
  <c r="Z71" i="43"/>
  <c r="X197" i="43"/>
  <c r="Y197" i="43"/>
  <c r="Z197" i="43"/>
  <c r="Y64" i="43"/>
  <c r="Y63" i="43"/>
  <c r="Y62" i="43"/>
  <c r="AA64" i="43"/>
  <c r="AA63" i="43"/>
  <c r="AA62" i="43"/>
  <c r="Z64" i="43"/>
  <c r="X64" i="43"/>
  <c r="W64" i="43"/>
  <c r="V64" i="43"/>
  <c r="Z63" i="43"/>
  <c r="X63" i="43"/>
  <c r="W63" i="43"/>
  <c r="V63" i="43"/>
  <c r="Z62" i="43"/>
  <c r="X62" i="43"/>
  <c r="W62" i="43"/>
  <c r="V62" i="43"/>
  <c r="AA60" i="43"/>
  <c r="AA9" i="43" s="1"/>
  <c r="Z60" i="43"/>
  <c r="Y60" i="43"/>
  <c r="X60" i="43"/>
  <c r="W60" i="43"/>
  <c r="V60" i="43"/>
  <c r="Z55" i="43"/>
  <c r="Z7" i="43" s="1"/>
  <c r="Z441" i="43" s="1"/>
  <c r="Y55" i="43"/>
  <c r="Y7" i="43" s="1"/>
  <c r="Y441" i="43" s="1"/>
  <c r="X55" i="43"/>
  <c r="X7" i="43" s="1"/>
  <c r="X441" i="43" s="1"/>
  <c r="W55" i="43"/>
  <c r="W7" i="43" s="1"/>
  <c r="W441" i="43" s="1"/>
  <c r="V55" i="43"/>
  <c r="V7" i="43" s="1"/>
  <c r="AA55" i="43"/>
  <c r="AA7" i="43" s="1"/>
  <c r="X196" i="43"/>
  <c r="Y196" i="43"/>
  <c r="Z196" i="43"/>
  <c r="X194" i="43"/>
  <c r="Z194" i="43"/>
  <c r="Y194" i="43"/>
  <c r="AL289" i="43"/>
  <c r="AM289" i="43"/>
  <c r="C47" i="22"/>
  <c r="AP7" i="43" l="1"/>
  <c r="X95" i="43"/>
  <c r="V161" i="43"/>
  <c r="V163" i="43" s="1"/>
  <c r="AP71" i="43"/>
  <c r="Y95" i="43"/>
  <c r="AC117" i="43"/>
  <c r="AP73" i="43"/>
  <c r="Z95" i="43"/>
  <c r="V95" i="43"/>
  <c r="W95" i="43"/>
  <c r="U95" i="43"/>
  <c r="AB115" i="43"/>
  <c r="AC115" i="43" s="1"/>
  <c r="AF92" i="43"/>
  <c r="AA36" i="43"/>
  <c r="AA441" i="43"/>
  <c r="AB110" i="43"/>
  <c r="AA119" i="43"/>
  <c r="U165" i="43"/>
  <c r="AA18" i="43"/>
  <c r="X161" i="43"/>
  <c r="X163" i="43" s="1"/>
  <c r="Z161" i="43"/>
  <c r="Z163" i="43" s="1"/>
  <c r="W161" i="43"/>
  <c r="W163" i="43" s="1"/>
  <c r="Y161" i="43"/>
  <c r="Y163" i="43" s="1"/>
  <c r="AA116" i="43"/>
  <c r="V33" i="43"/>
  <c r="V31" i="43"/>
  <c r="V32" i="43"/>
  <c r="V34" i="43"/>
  <c r="V30" i="43"/>
  <c r="V35" i="43"/>
  <c r="Z33" i="43"/>
  <c r="Z35" i="43"/>
  <c r="Z34" i="43"/>
  <c r="Z30" i="43"/>
  <c r="Z31" i="43"/>
  <c r="Z32" i="43"/>
  <c r="W36" i="43"/>
  <c r="W34" i="43"/>
  <c r="W30" i="43"/>
  <c r="W32" i="43"/>
  <c r="W35" i="43"/>
  <c r="W31" i="43"/>
  <c r="W33" i="43"/>
  <c r="U32" i="43"/>
  <c r="U30" i="43"/>
  <c r="U33" i="43"/>
  <c r="U34" i="43"/>
  <c r="U35" i="43"/>
  <c r="U31" i="43"/>
  <c r="X36" i="43"/>
  <c r="X35" i="43"/>
  <c r="X31" i="43"/>
  <c r="X33" i="43"/>
  <c r="X32" i="43"/>
  <c r="X34" i="43"/>
  <c r="X30" i="43"/>
  <c r="U36" i="43"/>
  <c r="Y36" i="43"/>
  <c r="AA34" i="43"/>
  <c r="AA30" i="43"/>
  <c r="AA35" i="43"/>
  <c r="AA31" i="43"/>
  <c r="AA32" i="43"/>
  <c r="AA33" i="43"/>
  <c r="Y32" i="43"/>
  <c r="Y34" i="43"/>
  <c r="Y33" i="43"/>
  <c r="Y30" i="43"/>
  <c r="Y35" i="43"/>
  <c r="Y31" i="43"/>
  <c r="V36" i="43"/>
  <c r="Z36" i="43"/>
  <c r="V204" i="43"/>
  <c r="V304" i="43" s="1"/>
  <c r="Z204" i="43"/>
  <c r="W10" i="43"/>
  <c r="W207" i="43" s="1"/>
  <c r="W204" i="43"/>
  <c r="W304" i="43" s="1"/>
  <c r="U204" i="43"/>
  <c r="X10" i="43"/>
  <c r="X207" i="43" s="1"/>
  <c r="X204" i="43"/>
  <c r="X304" i="43" s="1"/>
  <c r="U10" i="43"/>
  <c r="U207" i="43" s="1"/>
  <c r="Y10" i="43"/>
  <c r="Y207" i="43" s="1"/>
  <c r="AA204" i="43"/>
  <c r="AA467" i="43" s="1"/>
  <c r="Y204" i="43"/>
  <c r="Y304" i="43" s="1"/>
  <c r="V10" i="43"/>
  <c r="V207" i="43" s="1"/>
  <c r="Z10" i="43"/>
  <c r="Z207" i="43" s="1"/>
  <c r="V72" i="43"/>
  <c r="W72" i="43"/>
  <c r="Z72" i="43"/>
  <c r="AA72" i="43"/>
  <c r="AA123" i="43" s="1"/>
  <c r="Y72" i="43"/>
  <c r="X72" i="43"/>
  <c r="V74" i="43"/>
  <c r="U74" i="43"/>
  <c r="W74" i="43"/>
  <c r="X74" i="43"/>
  <c r="Y74" i="43"/>
  <c r="Z74" i="43"/>
  <c r="T4" i="247"/>
  <c r="Y3" i="247"/>
  <c r="AJ3" i="247"/>
  <c r="AO3" i="247" s="1"/>
  <c r="AE4" i="247"/>
  <c r="Q2" i="247"/>
  <c r="R2" i="247" s="1"/>
  <c r="R4" i="247" s="1"/>
  <c r="L4" i="247"/>
  <c r="S4" i="247"/>
  <c r="X3" i="247"/>
  <c r="AA3" i="247"/>
  <c r="AA12" i="43"/>
  <c r="AA207" i="43"/>
  <c r="Y9" i="43"/>
  <c r="V9" i="43"/>
  <c r="AP9" i="43" s="1"/>
  <c r="Z9" i="43"/>
  <c r="W9" i="43"/>
  <c r="AA8" i="43"/>
  <c r="AA205" i="43" s="1"/>
  <c r="U9" i="43"/>
  <c r="U18" i="43" s="1"/>
  <c r="X9" i="43"/>
  <c r="AA198" i="43"/>
  <c r="X198" i="43"/>
  <c r="Y198" i="43"/>
  <c r="W198" i="43"/>
  <c r="U65" i="43"/>
  <c r="V65" i="43"/>
  <c r="Z198" i="43"/>
  <c r="X65" i="43"/>
  <c r="W65" i="43"/>
  <c r="Y65" i="43"/>
  <c r="AA65" i="43"/>
  <c r="AA99" i="43" s="1"/>
  <c r="Z65" i="43"/>
  <c r="V165" i="43" l="1"/>
  <c r="V154" i="43" s="1"/>
  <c r="AB119" i="43"/>
  <c r="AB109" i="43"/>
  <c r="V169" i="43"/>
  <c r="AD117" i="43"/>
  <c r="AG92" i="43"/>
  <c r="AD115" i="43"/>
  <c r="AC119" i="43"/>
  <c r="Z304" i="43"/>
  <c r="Z467" i="43"/>
  <c r="Z8" i="43"/>
  <c r="Z205" i="43" s="1"/>
  <c r="Z206" i="43" s="1"/>
  <c r="Z209" i="43" s="1"/>
  <c r="Z18" i="43"/>
  <c r="W8" i="43"/>
  <c r="W205" i="43" s="1"/>
  <c r="W206" i="43" s="1"/>
  <c r="W209" i="43" s="1"/>
  <c r="W18" i="43"/>
  <c r="X8" i="43"/>
  <c r="X205" i="43" s="1"/>
  <c r="X206" i="43" s="1"/>
  <c r="X209" i="43" s="1"/>
  <c r="X18" i="43"/>
  <c r="V8" i="43"/>
  <c r="V205" i="43" s="1"/>
  <c r="V206" i="43" s="1"/>
  <c r="V209" i="43" s="1"/>
  <c r="V18" i="43"/>
  <c r="AA14" i="43"/>
  <c r="AA19" i="43"/>
  <c r="Y8" i="43"/>
  <c r="Y205" i="43" s="1"/>
  <c r="Y206" i="43" s="1"/>
  <c r="Y209" i="43" s="1"/>
  <c r="Y18" i="43"/>
  <c r="AB113" i="43"/>
  <c r="AB111" i="43"/>
  <c r="Z165" i="43"/>
  <c r="Z169" i="43"/>
  <c r="W165" i="43"/>
  <c r="W169" i="43"/>
  <c r="Y165" i="43"/>
  <c r="Y169" i="43"/>
  <c r="X165" i="43"/>
  <c r="X169" i="43"/>
  <c r="AA304" i="43"/>
  <c r="AA206" i="43"/>
  <c r="AA209" i="43" s="1"/>
  <c r="Y12" i="43"/>
  <c r="AO4" i="247"/>
  <c r="AJ4" i="247"/>
  <c r="Y4" i="247"/>
  <c r="AD3" i="247"/>
  <c r="X4" i="247"/>
  <c r="AC3" i="247"/>
  <c r="AF3" i="247"/>
  <c r="V2" i="247"/>
  <c r="W2" i="247" s="1"/>
  <c r="W4" i="247" s="1"/>
  <c r="Q4" i="247"/>
  <c r="Z12" i="43"/>
  <c r="V12" i="43"/>
  <c r="U8" i="43"/>
  <c r="U205" i="43" s="1"/>
  <c r="U206" i="43" s="1"/>
  <c r="U209" i="43" s="1"/>
  <c r="U12" i="43"/>
  <c r="W12" i="43"/>
  <c r="X12" i="43"/>
  <c r="AE117" i="43" l="1"/>
  <c r="AH92" i="43"/>
  <c r="X154" i="43"/>
  <c r="W154" i="43"/>
  <c r="Y154" i="43"/>
  <c r="Z154" i="43"/>
  <c r="AE115" i="43"/>
  <c r="AD119" i="43"/>
  <c r="Y215" i="43"/>
  <c r="Y218" i="43" s="1"/>
  <c r="Y220" i="43" s="1"/>
  <c r="Y358" i="43"/>
  <c r="X215" i="43"/>
  <c r="X218" i="43" s="1"/>
  <c r="X223" i="43" s="1"/>
  <c r="X358" i="43"/>
  <c r="W215" i="43"/>
  <c r="W218" i="43" s="1"/>
  <c r="W222" i="43" s="1"/>
  <c r="W358" i="43"/>
  <c r="U215" i="43"/>
  <c r="U218" i="43" s="1"/>
  <c r="U220" i="43" s="1"/>
  <c r="U358" i="43"/>
  <c r="Z215" i="43"/>
  <c r="Z218" i="43" s="1"/>
  <c r="Z222" i="43" s="1"/>
  <c r="Z358" i="43"/>
  <c r="V215" i="43"/>
  <c r="V218" i="43" s="1"/>
  <c r="V220" i="43" s="1"/>
  <c r="V358" i="43"/>
  <c r="AA215" i="43"/>
  <c r="AA218" i="43" s="1"/>
  <c r="AA222" i="43" s="1"/>
  <c r="AA358" i="43"/>
  <c r="AA360" i="43" s="1"/>
  <c r="Z14" i="43"/>
  <c r="Z19" i="43"/>
  <c r="Y14" i="43"/>
  <c r="Y19" i="43"/>
  <c r="W14" i="43"/>
  <c r="W19" i="43"/>
  <c r="U14" i="43"/>
  <c r="U19" i="43"/>
  <c r="X14" i="43"/>
  <c r="X19" i="43"/>
  <c r="V14" i="43"/>
  <c r="V19" i="43"/>
  <c r="AA16" i="43"/>
  <c r="AA20" i="43"/>
  <c r="Y170" i="43"/>
  <c r="X170" i="43"/>
  <c r="Z170" i="43"/>
  <c r="AA170" i="43"/>
  <c r="Y222" i="43"/>
  <c r="AD4" i="247"/>
  <c r="AI3" i="247"/>
  <c r="AK3" i="247"/>
  <c r="AP3" i="247" s="1"/>
  <c r="AC4" i="247"/>
  <c r="AH3" i="247"/>
  <c r="AA2" i="247"/>
  <c r="AB2" i="247" s="1"/>
  <c r="AB4" i="247" s="1"/>
  <c r="V4" i="247"/>
  <c r="U223" i="43" l="1"/>
  <c r="X220" i="43"/>
  <c r="AF117" i="43"/>
  <c r="AI92" i="43"/>
  <c r="Z359" i="43"/>
  <c r="Z360" i="43"/>
  <c r="W359" i="43"/>
  <c r="W360" i="43"/>
  <c r="Y359" i="43"/>
  <c r="Y360" i="43"/>
  <c r="V359" i="43"/>
  <c r="V360" i="43"/>
  <c r="U359" i="43"/>
  <c r="U360" i="43"/>
  <c r="X359" i="43"/>
  <c r="X360" i="43"/>
  <c r="AA361" i="43"/>
  <c r="AA359" i="43"/>
  <c r="X230" i="43"/>
  <c r="X483" i="43" s="1"/>
  <c r="U222" i="43"/>
  <c r="Y223" i="43"/>
  <c r="Y235" i="43" s="1"/>
  <c r="W223" i="43"/>
  <c r="Z220" i="43"/>
  <c r="AA220" i="43"/>
  <c r="Z223" i="43"/>
  <c r="AA223" i="43"/>
  <c r="W220" i="43"/>
  <c r="AF115" i="43"/>
  <c r="AE119" i="43"/>
  <c r="X222" i="43"/>
  <c r="V222" i="43"/>
  <c r="AA362" i="43"/>
  <c r="U362" i="43"/>
  <c r="U361" i="43"/>
  <c r="Z361" i="43"/>
  <c r="Z362" i="43"/>
  <c r="W361" i="43"/>
  <c r="W362" i="43"/>
  <c r="Y361" i="43"/>
  <c r="Y362" i="43"/>
  <c r="X361" i="43"/>
  <c r="X362" i="43"/>
  <c r="V223" i="43"/>
  <c r="V361" i="43"/>
  <c r="V362" i="43"/>
  <c r="V16" i="43"/>
  <c r="AP16" i="43" s="1"/>
  <c r="V20" i="43"/>
  <c r="U16" i="43"/>
  <c r="U20" i="43"/>
  <c r="Y16" i="43"/>
  <c r="Y20" i="43"/>
  <c r="X16" i="43"/>
  <c r="X20" i="43"/>
  <c r="W16" i="43"/>
  <c r="W20" i="43"/>
  <c r="Z16" i="43"/>
  <c r="Z20" i="43"/>
  <c r="AA227" i="43"/>
  <c r="U235" i="43"/>
  <c r="U240" i="43" s="1"/>
  <c r="X227" i="43"/>
  <c r="X235" i="43"/>
  <c r="U227" i="43"/>
  <c r="AF2" i="247"/>
  <c r="AG2" i="247" s="1"/>
  <c r="AG4" i="247" s="1"/>
  <c r="AA4" i="247"/>
  <c r="AH4" i="247"/>
  <c r="AM3" i="247"/>
  <c r="AI4" i="247"/>
  <c r="AN3" i="247"/>
  <c r="AA260" i="43"/>
  <c r="Z260" i="43"/>
  <c r="AG117" i="43" l="1"/>
  <c r="AJ92" i="43"/>
  <c r="Z230" i="43"/>
  <c r="Y230" i="43"/>
  <c r="Y227" i="43"/>
  <c r="AA230" i="43"/>
  <c r="W235" i="43"/>
  <c r="W227" i="43"/>
  <c r="Z235" i="43"/>
  <c r="Z227" i="43"/>
  <c r="AA235" i="43"/>
  <c r="AG115" i="43"/>
  <c r="AF119" i="43"/>
  <c r="V227" i="43"/>
  <c r="V235" i="43"/>
  <c r="AN4" i="247"/>
  <c r="AM4" i="247"/>
  <c r="AK2" i="247"/>
  <c r="AL2" i="247" s="1"/>
  <c r="AL4" i="247" s="1"/>
  <c r="AF4" i="247"/>
  <c r="AA251" i="43"/>
  <c r="AH117" i="43" l="1"/>
  <c r="AK92" i="43"/>
  <c r="AH115" i="43"/>
  <c r="AG119" i="43"/>
  <c r="AP2" i="247"/>
  <c r="AK4" i="247"/>
  <c r="AI117" i="43" l="1"/>
  <c r="AL92" i="43"/>
  <c r="AK94" i="43"/>
  <c r="AI115" i="43"/>
  <c r="AH119" i="43"/>
  <c r="AP4" i="247"/>
  <c r="AQ2" i="247"/>
  <c r="AQ4" i="247" s="1"/>
  <c r="H3" i="43"/>
  <c r="X245" i="43"/>
  <c r="Y245" i="43"/>
  <c r="Z245" i="43"/>
  <c r="AA245" i="43"/>
  <c r="V240" i="43"/>
  <c r="W240" i="43"/>
  <c r="X240" i="43"/>
  <c r="Y240" i="43"/>
  <c r="Z240" i="43"/>
  <c r="AA240" i="43"/>
  <c r="V251" i="43"/>
  <c r="W251" i="43"/>
  <c r="X251" i="43"/>
  <c r="Z251" i="43"/>
  <c r="V260" i="43"/>
  <c r="X260" i="43"/>
  <c r="Y260" i="43"/>
  <c r="V274" i="43"/>
  <c r="W274" i="43"/>
  <c r="X274" i="43"/>
  <c r="X282" i="43" s="1"/>
  <c r="Z274" i="43"/>
  <c r="Z282" i="43" s="1"/>
  <c r="V289" i="43"/>
  <c r="W289" i="43"/>
  <c r="X289" i="43"/>
  <c r="Y289" i="43"/>
  <c r="Z289" i="43"/>
  <c r="AA289" i="43"/>
  <c r="T10" i="22"/>
  <c r="U10" i="22" s="1"/>
  <c r="R11" i="22"/>
  <c r="C12" i="22" a="1"/>
  <c r="C14" i="22" s="1"/>
  <c r="G12" i="22"/>
  <c r="R12" i="22"/>
  <c r="G13" i="22"/>
  <c r="R13" i="22"/>
  <c r="G14" i="22"/>
  <c r="R14" i="22"/>
  <c r="G15" i="22"/>
  <c r="C25" i="22"/>
  <c r="C29" i="22"/>
  <c r="F381" i="43" s="1"/>
  <c r="J34" i="22"/>
  <c r="J36" i="22" s="1"/>
  <c r="J22" i="22" s="1"/>
  <c r="K34" i="22"/>
  <c r="K36" i="22" s="1"/>
  <c r="L34" i="22"/>
  <c r="L36" i="22" s="1"/>
  <c r="D50" i="22"/>
  <c r="E50" i="22" s="1"/>
  <c r="F50" i="22" s="1"/>
  <c r="G50" i="22" s="1"/>
  <c r="H50" i="22" s="1"/>
  <c r="I50" i="22" s="1"/>
  <c r="J50" i="22" s="1"/>
  <c r="K50" i="22" s="1"/>
  <c r="L50" i="22" s="1"/>
  <c r="M50" i="22" s="1"/>
  <c r="C51" i="22"/>
  <c r="C38" i="22"/>
  <c r="C77" i="22"/>
  <c r="C37" i="22" s="1"/>
  <c r="C34" i="22"/>
  <c r="AJ117" i="43" l="1"/>
  <c r="AL98" i="43"/>
  <c r="AL53" i="43" s="1"/>
  <c r="AL94" i="43"/>
  <c r="AL100" i="43" s="1"/>
  <c r="AM92" i="43"/>
  <c r="Y386" i="43"/>
  <c r="W386" i="43"/>
  <c r="AA386" i="43"/>
  <c r="X386" i="43"/>
  <c r="Z386" i="43"/>
  <c r="AJ115" i="43"/>
  <c r="AI119" i="43"/>
  <c r="I3" i="43"/>
  <c r="J3" i="43" s="1"/>
  <c r="K3" i="43" s="1"/>
  <c r="L3" i="43" s="1"/>
  <c r="M3" i="43" s="1"/>
  <c r="D51" i="22"/>
  <c r="W282" i="43"/>
  <c r="C33" i="22"/>
  <c r="AA295" i="43"/>
  <c r="AA300" i="43" s="1"/>
  <c r="W295" i="43"/>
  <c r="W300" i="43" s="1"/>
  <c r="X295" i="43"/>
  <c r="X300" i="43" s="1"/>
  <c r="X301" i="43" s="1"/>
  <c r="Y274" i="43"/>
  <c r="Y282" i="43" s="1"/>
  <c r="X493" i="43"/>
  <c r="AA274" i="43"/>
  <c r="AA282" i="43" s="1"/>
  <c r="W260" i="43"/>
  <c r="W263" i="43" s="1"/>
  <c r="V295" i="43"/>
  <c r="V300" i="43" s="1"/>
  <c r="V282" i="43"/>
  <c r="Y295" i="43"/>
  <c r="Y300" i="43" s="1"/>
  <c r="AB289" i="43"/>
  <c r="V263" i="43"/>
  <c r="Y251" i="43"/>
  <c r="Y263" i="43" s="1"/>
  <c r="Z263" i="43"/>
  <c r="Z295" i="43"/>
  <c r="Z300" i="43" s="1"/>
  <c r="Z301" i="43" s="1"/>
  <c r="AA263" i="43"/>
  <c r="C13" i="22"/>
  <c r="C36" i="22"/>
  <c r="D36" i="22" s="1"/>
  <c r="K22" i="22"/>
  <c r="L22" i="22"/>
  <c r="V10" i="22"/>
  <c r="AC289" i="43"/>
  <c r="Z493" i="43"/>
  <c r="D12" i="22" a="1"/>
  <c r="C12" i="22"/>
  <c r="X263" i="43"/>
  <c r="AK117" i="43" l="1"/>
  <c r="AM94" i="43"/>
  <c r="AM100" i="43" s="1"/>
  <c r="AM98" i="43"/>
  <c r="AM53" i="43" s="1"/>
  <c r="AL99" i="43"/>
  <c r="AL58" i="43"/>
  <c r="AL63" i="43" s="1"/>
  <c r="AK115" i="43"/>
  <c r="AJ119" i="43"/>
  <c r="E51" i="22"/>
  <c r="X305" i="43"/>
  <c r="W305" i="43"/>
  <c r="Z305" i="43"/>
  <c r="W301" i="43"/>
  <c r="V305" i="43"/>
  <c r="Y305" i="43"/>
  <c r="AA301" i="43"/>
  <c r="AA305" i="43"/>
  <c r="AA493" i="43"/>
  <c r="V301" i="43"/>
  <c r="D38" i="22"/>
  <c r="Y301" i="43"/>
  <c r="Z492" i="43"/>
  <c r="D37" i="22"/>
  <c r="Y493" i="43"/>
  <c r="Y492" i="43"/>
  <c r="X492" i="43"/>
  <c r="AD289" i="43"/>
  <c r="N3" i="43"/>
  <c r="W10" i="22"/>
  <c r="D12" i="22"/>
  <c r="D13" i="22"/>
  <c r="D14" i="22"/>
  <c r="AL117" i="43" l="1"/>
  <c r="AM58" i="43"/>
  <c r="AM63" i="43" s="1"/>
  <c r="AM99" i="43"/>
  <c r="AL115" i="43"/>
  <c r="AK119" i="43"/>
  <c r="AA401" i="43"/>
  <c r="AA398" i="43"/>
  <c r="Z398" i="43"/>
  <c r="X398" i="43"/>
  <c r="Y398" i="43"/>
  <c r="V398" i="43"/>
  <c r="W398" i="43"/>
  <c r="F51" i="22"/>
  <c r="Z498" i="43"/>
  <c r="C40" i="22"/>
  <c r="C42" i="22" s="1"/>
  <c r="C46" i="22" s="1"/>
  <c r="Y498" i="43"/>
  <c r="X498" i="43"/>
  <c r="AA492" i="43"/>
  <c r="O3" i="43"/>
  <c r="Z499" i="43"/>
  <c r="AE289" i="43"/>
  <c r="X10" i="22"/>
  <c r="AM117" i="43" l="1"/>
  <c r="AM110" i="43" s="1"/>
  <c r="AL110" i="43"/>
  <c r="Y403" i="43"/>
  <c r="Y405" i="43" s="1"/>
  <c r="Y389" i="43" s="1"/>
  <c r="AM115" i="43"/>
  <c r="AL119" i="43"/>
  <c r="AL109" i="43"/>
  <c r="AL113" i="43" s="1"/>
  <c r="X403" i="43"/>
  <c r="X405" i="43" s="1"/>
  <c r="X389" i="43" s="1"/>
  <c r="AA403" i="43"/>
  <c r="AA405" i="43" s="1"/>
  <c r="AA389" i="43" s="1"/>
  <c r="W403" i="43"/>
  <c r="W405" i="43" s="1"/>
  <c r="W389" i="43" s="1"/>
  <c r="V403" i="43"/>
  <c r="V405" i="43" s="1"/>
  <c r="Z403" i="43"/>
  <c r="Z405" i="43" s="1"/>
  <c r="Z389" i="43" s="1"/>
  <c r="G51" i="22"/>
  <c r="L38" i="22"/>
  <c r="L40" i="22" s="1"/>
  <c r="L37" i="22" s="1"/>
  <c r="J38" i="22"/>
  <c r="J40" i="22" s="1"/>
  <c r="J37" i="22" s="1"/>
  <c r="K38" i="22"/>
  <c r="K40" i="22" s="1"/>
  <c r="K37" i="22" s="1"/>
  <c r="Y499" i="43"/>
  <c r="AA498" i="43"/>
  <c r="X499" i="43"/>
  <c r="AF289" i="43"/>
  <c r="Y10" i="22"/>
  <c r="Z500" i="43"/>
  <c r="P3" i="43"/>
  <c r="Y387" i="43" l="1"/>
  <c r="Y388" i="43" s="1"/>
  <c r="Y390" i="43"/>
  <c r="AA387" i="43"/>
  <c r="AA388" i="43" s="1"/>
  <c r="AA390" i="43"/>
  <c r="Z387" i="43"/>
  <c r="Z388" i="43" s="1"/>
  <c r="Z390" i="43"/>
  <c r="X387" i="43"/>
  <c r="X388" i="43" s="1"/>
  <c r="X390" i="43"/>
  <c r="W387" i="43"/>
  <c r="W388" i="43" s="1"/>
  <c r="W390" i="43"/>
  <c r="AM119" i="43"/>
  <c r="AM109" i="43"/>
  <c r="AM113" i="43" s="1"/>
  <c r="H51" i="22"/>
  <c r="L17" i="22"/>
  <c r="Y500" i="43"/>
  <c r="AA499" i="43"/>
  <c r="X500" i="43"/>
  <c r="Q3" i="43"/>
  <c r="Z10" i="22"/>
  <c r="AG289" i="43"/>
  <c r="I51" i="22" l="1"/>
  <c r="AA500" i="43"/>
  <c r="AA10" i="22"/>
  <c r="AH289" i="43"/>
  <c r="Z501" i="43"/>
  <c r="Z491" i="43" s="1"/>
  <c r="Z494" i="43" s="1"/>
  <c r="Z489" i="43"/>
  <c r="Z488" i="43"/>
  <c r="R3" i="43"/>
  <c r="J51" i="22" l="1"/>
  <c r="Y488" i="43"/>
  <c r="Y489" i="43"/>
  <c r="Y501" i="43"/>
  <c r="Y491" i="43" s="1"/>
  <c r="Y494" i="43" s="1"/>
  <c r="X501" i="43"/>
  <c r="X491" i="43" s="1"/>
  <c r="X494" i="43" s="1"/>
  <c r="X488" i="43"/>
  <c r="X489" i="43"/>
  <c r="AI289" i="43"/>
  <c r="S3" i="43"/>
  <c r="AB10" i="22"/>
  <c r="K51" i="22" l="1"/>
  <c r="V312" i="43"/>
  <c r="AA488" i="43"/>
  <c r="AA489" i="43"/>
  <c r="AA501" i="43"/>
  <c r="AA491" i="43" s="1"/>
  <c r="AA494" i="43" s="1"/>
  <c r="Z312" i="43"/>
  <c r="Z483" i="43"/>
  <c r="AC10" i="22"/>
  <c r="T3" i="43"/>
  <c r="AJ289" i="43"/>
  <c r="L51" i="22" l="1"/>
  <c r="X231" i="43"/>
  <c r="Z231" i="43"/>
  <c r="Y483" i="43"/>
  <c r="Y312" i="43"/>
  <c r="X312" i="43"/>
  <c r="Y231" i="43"/>
  <c r="U3" i="43"/>
  <c r="Z484" i="43"/>
  <c r="Z485" i="43"/>
  <c r="AK289" i="43"/>
  <c r="AD10" i="22"/>
  <c r="M51" i="22" l="1"/>
  <c r="K84" i="22"/>
  <c r="W312" i="43"/>
  <c r="Y484" i="43"/>
  <c r="Y485" i="43"/>
  <c r="AA312" i="43"/>
  <c r="AA483" i="43"/>
  <c r="AA231" i="43"/>
  <c r="X484" i="43"/>
  <c r="X485" i="43"/>
  <c r="V3" i="43"/>
  <c r="AE10" i="22"/>
  <c r="AA485" i="43" l="1"/>
  <c r="AA484" i="43"/>
  <c r="W3" i="43"/>
  <c r="AF10" i="22"/>
  <c r="X3" i="43" l="1"/>
  <c r="AG10" i="22"/>
  <c r="Y3" i="43" l="1"/>
  <c r="AH10" i="22"/>
  <c r="AI10" i="22" l="1"/>
  <c r="Z3" i="43"/>
  <c r="AJ10" i="22" l="1"/>
  <c r="AA3" i="43"/>
  <c r="AK10" i="22" l="1"/>
  <c r="AB3" i="43"/>
  <c r="AL10" i="22" l="1"/>
  <c r="AC3" i="43"/>
  <c r="AD3" i="43" l="1"/>
  <c r="AM10" i="22"/>
  <c r="AN10" i="22" l="1"/>
  <c r="AE3" i="43"/>
  <c r="AO10" i="22" l="1"/>
  <c r="AF3" i="43"/>
  <c r="AG3" i="43" l="1"/>
  <c r="AH3" i="43" l="1"/>
  <c r="AI3" i="43" l="1"/>
  <c r="AJ3" i="43" l="1"/>
  <c r="AK3" i="43" l="1"/>
  <c r="AL3" i="43" l="1"/>
  <c r="AM3" i="43" s="1"/>
  <c r="H47" i="247"/>
  <c r="M48" i="247"/>
  <c r="M47" i="247"/>
  <c r="H48" i="247"/>
  <c r="H6" i="247"/>
  <c r="M11" i="247"/>
  <c r="H13" i="247"/>
  <c r="R19" i="247"/>
  <c r="AL17" i="247"/>
  <c r="AK17" i="247" s="1"/>
  <c r="R11" i="247"/>
  <c r="H26" i="247"/>
  <c r="G26" i="247" s="1"/>
  <c r="H20" i="247"/>
  <c r="R21" i="247"/>
  <c r="Q21" i="247" s="1"/>
  <c r="AL16" i="247"/>
  <c r="H7" i="247"/>
  <c r="M12" i="247"/>
  <c r="AG38" i="247"/>
  <c r="R38" i="247"/>
  <c r="AB38" i="247"/>
  <c r="AG48" i="247"/>
  <c r="R47" i="247"/>
  <c r="Q47" i="247" s="1"/>
  <c r="AL48" i="247"/>
  <c r="W21" i="247"/>
  <c r="V21" i="247" s="1"/>
  <c r="W38" i="247"/>
  <c r="AB47" i="247"/>
  <c r="AA47" i="247" s="1"/>
  <c r="M13" i="247"/>
  <c r="AL20" i="247"/>
  <c r="M17" i="247"/>
  <c r="W12" i="247"/>
  <c r="R8" i="247"/>
  <c r="Q8" i="247" s="1"/>
  <c r="AL47" i="247"/>
  <c r="AK47" i="247" s="1"/>
  <c r="AL21" i="247"/>
  <c r="H38" i="247"/>
  <c r="W26" i="247"/>
  <c r="V26" i="247" s="1"/>
  <c r="AL6" i="247"/>
  <c r="M6" i="247"/>
  <c r="AG47" i="247"/>
  <c r="AF47" i="247" s="1"/>
  <c r="H21" i="247"/>
  <c r="R20" i="247"/>
  <c r="R16" i="247"/>
  <c r="M20" i="247"/>
  <c r="H8" i="247"/>
  <c r="G8" i="247" s="1"/>
  <c r="AL18" i="247"/>
  <c r="AL8" i="247"/>
  <c r="AK8" i="247" s="1"/>
  <c r="R26" i="247"/>
  <c r="Q26" i="247" s="1"/>
  <c r="M38" i="247"/>
  <c r="W25" i="247"/>
  <c r="R18" i="247"/>
  <c r="W19" i="247"/>
  <c r="V19" i="247" s="1"/>
  <c r="M25" i="247"/>
  <c r="L25" i="247" s="1"/>
  <c r="M21" i="247"/>
  <c r="AL26" i="247"/>
  <c r="AL19" i="247"/>
  <c r="AK19" i="247" s="1"/>
  <c r="H16" i="247"/>
  <c r="W11" i="247"/>
  <c r="W6" i="247"/>
  <c r="R6" i="247"/>
  <c r="AL7" i="247"/>
  <c r="H12" i="247"/>
  <c r="H34" i="247" s="1"/>
  <c r="W18" i="247"/>
  <c r="M8" i="247"/>
  <c r="L8" i="247" s="1"/>
  <c r="W7" i="247"/>
  <c r="W33" i="247" s="1"/>
  <c r="R7" i="247"/>
  <c r="AB48" i="247"/>
  <c r="AL11" i="247"/>
  <c r="H11" i="247"/>
  <c r="H19" i="247"/>
  <c r="W16" i="247"/>
  <c r="AL25" i="247"/>
  <c r="R12" i="247"/>
  <c r="AL13" i="247"/>
  <c r="AK13" i="247" s="1"/>
  <c r="M16" i="247"/>
  <c r="W48" i="247"/>
  <c r="M19" i="247"/>
  <c r="R25" i="247"/>
  <c r="M18" i="247"/>
  <c r="H25" i="247"/>
  <c r="G25" i="247" s="1"/>
  <c r="H18" i="247"/>
  <c r="W17" i="247"/>
  <c r="W8" i="247"/>
  <c r="V8" i="247" s="1"/>
  <c r="AL38" i="247"/>
  <c r="W13" i="247"/>
  <c r="V13" i="247" s="1"/>
  <c r="M26" i="247"/>
  <c r="AL12" i="247"/>
  <c r="AL34" i="247" s="1"/>
  <c r="R48" i="247"/>
  <c r="R13" i="247"/>
  <c r="Q13" i="247" s="1"/>
  <c r="M7" i="247"/>
  <c r="W20" i="247"/>
  <c r="W47" i="247"/>
  <c r="V47" i="247" s="1"/>
  <c r="R17" i="247"/>
  <c r="H17" i="247"/>
  <c r="AB6" i="247"/>
  <c r="AG26" i="247"/>
  <c r="AB19" i="247"/>
  <c r="AB12" i="247"/>
  <c r="AB13" i="247"/>
  <c r="AG8" i="247"/>
  <c r="AF8" i="247" s="1"/>
  <c r="AB25" i="247"/>
  <c r="AB20" i="247"/>
  <c r="AB16" i="247"/>
  <c r="AB17" i="247"/>
  <c r="AB7" i="247"/>
  <c r="AG16" i="247"/>
  <c r="AB8" i="247"/>
  <c r="AA8" i="247" s="1"/>
  <c r="AG19" i="247"/>
  <c r="AB26" i="247"/>
  <c r="AG13" i="247"/>
  <c r="AG20" i="247"/>
  <c r="AG17" i="247"/>
  <c r="AG6" i="247"/>
  <c r="AB18" i="247"/>
  <c r="AG11" i="247"/>
  <c r="AB11" i="247"/>
  <c r="AG7" i="247"/>
  <c r="AG18" i="247"/>
  <c r="AB21" i="247"/>
  <c r="AG25" i="247"/>
  <c r="AG12" i="247"/>
  <c r="AG21" i="247"/>
  <c r="D62" i="22"/>
  <c r="E62" i="22"/>
  <c r="C62" i="22"/>
  <c r="F62" i="22"/>
  <c r="C64" i="22"/>
  <c r="G62" i="22"/>
  <c r="I62" i="22"/>
  <c r="H62" i="22"/>
  <c r="J62" i="22"/>
  <c r="K62" i="22"/>
  <c r="M62" i="22"/>
  <c r="L62" i="22"/>
  <c r="AM49" i="247" l="1"/>
  <c r="AM50" i="247"/>
  <c r="R33" i="247"/>
  <c r="M33" i="247"/>
  <c r="H33" i="247"/>
  <c r="H35" i="247" s="1"/>
  <c r="M27" i="247"/>
  <c r="W63" i="247"/>
  <c r="R34" i="247"/>
  <c r="L49" i="247"/>
  <c r="I49" i="247"/>
  <c r="I50" i="247"/>
  <c r="AL27" i="247"/>
  <c r="R63" i="247"/>
  <c r="M34" i="247"/>
  <c r="H50" i="247"/>
  <c r="M50" i="247"/>
  <c r="M49" i="247"/>
  <c r="N49" i="247"/>
  <c r="N50" i="247"/>
  <c r="H49" i="247"/>
  <c r="AB63" i="247"/>
  <c r="R72" i="247"/>
  <c r="W72" i="247"/>
  <c r="W66" i="247"/>
  <c r="AG63" i="247"/>
  <c r="V20" i="247"/>
  <c r="W67" i="247"/>
  <c r="AF21" i="247"/>
  <c r="AG68" i="247"/>
  <c r="AF20" i="247"/>
  <c r="AG67" i="247"/>
  <c r="AA17" i="247"/>
  <c r="AB64" i="247"/>
  <c r="V17" i="247"/>
  <c r="W64" i="247"/>
  <c r="AL72" i="247"/>
  <c r="AK18" i="247"/>
  <c r="AL65" i="247"/>
  <c r="AK20" i="247"/>
  <c r="AL67" i="247"/>
  <c r="W68" i="247"/>
  <c r="AA18" i="247"/>
  <c r="AB65" i="247"/>
  <c r="AA20" i="247"/>
  <c r="AB67" i="247"/>
  <c r="AA21" i="247"/>
  <c r="AB68" i="247"/>
  <c r="AF17" i="247"/>
  <c r="AG64" i="247"/>
  <c r="AA19" i="247"/>
  <c r="AB66" i="247"/>
  <c r="AL63" i="247"/>
  <c r="AF13" i="247"/>
  <c r="AG72" i="247"/>
  <c r="V18" i="247"/>
  <c r="W65" i="247"/>
  <c r="AK21" i="247"/>
  <c r="AL68" i="247"/>
  <c r="AF18" i="247"/>
  <c r="AG65" i="247"/>
  <c r="AF19" i="247"/>
  <c r="AG66" i="247"/>
  <c r="AA13" i="247"/>
  <c r="AB72" i="247"/>
  <c r="AL66" i="247"/>
  <c r="R68" i="247"/>
  <c r="AL64" i="247"/>
  <c r="Q20" i="247"/>
  <c r="R67" i="247"/>
  <c r="Q19" i="247"/>
  <c r="R66" i="247"/>
  <c r="Q18" i="247"/>
  <c r="R65" i="247"/>
  <c r="Q17" i="247"/>
  <c r="R64" i="247"/>
  <c r="L26" i="247"/>
  <c r="H30" i="247"/>
  <c r="AC49" i="247"/>
  <c r="AC50" i="247"/>
  <c r="AA48" i="247"/>
  <c r="R22" i="247"/>
  <c r="AA26" i="247"/>
  <c r="AB27" i="247"/>
  <c r="R50" i="247"/>
  <c r="R49" i="247"/>
  <c r="W30" i="247"/>
  <c r="W14" i="247"/>
  <c r="W50" i="247"/>
  <c r="W49" i="247"/>
  <c r="AL42" i="247"/>
  <c r="AL29" i="247"/>
  <c r="AL60" i="247" s="1"/>
  <c r="AL41" i="247"/>
  <c r="AL9" i="247"/>
  <c r="AL39" i="247"/>
  <c r="AL40" i="247" s="1"/>
  <c r="AA38" i="247"/>
  <c r="AC42" i="247" s="1"/>
  <c r="AD42" i="247"/>
  <c r="AC41" i="247"/>
  <c r="AC40" i="247"/>
  <c r="H27" i="247"/>
  <c r="H14" i="247"/>
  <c r="W22" i="247"/>
  <c r="W41" i="247"/>
  <c r="W39" i="247"/>
  <c r="W40" i="247" s="1"/>
  <c r="W29" i="247"/>
  <c r="W60" i="247" s="1"/>
  <c r="W9" i="247"/>
  <c r="W42" i="247"/>
  <c r="AF48" i="247"/>
  <c r="AH49" i="247"/>
  <c r="AH50" i="247"/>
  <c r="AK26" i="247"/>
  <c r="H22" i="247"/>
  <c r="AL33" i="247"/>
  <c r="AL35" i="247" s="1"/>
  <c r="N41" i="247"/>
  <c r="N42" i="247"/>
  <c r="O42" i="247"/>
  <c r="N40" i="247"/>
  <c r="W27" i="247"/>
  <c r="AK48" i="247"/>
  <c r="Q38" i="247"/>
  <c r="S42" i="247" s="1"/>
  <c r="T42" i="247"/>
  <c r="S41" i="247"/>
  <c r="S40" i="247"/>
  <c r="AL22" i="247"/>
  <c r="AL23" i="247" s="1"/>
  <c r="R30" i="247"/>
  <c r="R14" i="247"/>
  <c r="M30" i="247"/>
  <c r="M14" i="247"/>
  <c r="M22" i="247"/>
  <c r="M42" i="247"/>
  <c r="M41" i="247"/>
  <c r="M29" i="247"/>
  <c r="M9" i="247"/>
  <c r="M39" i="247"/>
  <c r="M40" i="247" s="1"/>
  <c r="Y42" i="247"/>
  <c r="V38" i="247"/>
  <c r="X42" i="247" s="1"/>
  <c r="X41" i="247"/>
  <c r="X40" i="247"/>
  <c r="AF26" i="247"/>
  <c r="AG27" i="247"/>
  <c r="Q48" i="247"/>
  <c r="S50" i="247"/>
  <c r="S49" i="247"/>
  <c r="AK38" i="247"/>
  <c r="AM42" i="247" s="1"/>
  <c r="AM40" i="247"/>
  <c r="AM41" i="247"/>
  <c r="X49" i="247"/>
  <c r="V48" i="247"/>
  <c r="X50" i="247"/>
  <c r="AL49" i="247"/>
  <c r="AL50" i="247"/>
  <c r="AL14" i="247"/>
  <c r="AL30" i="247"/>
  <c r="R42" i="247"/>
  <c r="R29" i="247"/>
  <c r="R60" i="247" s="1"/>
  <c r="R9" i="247"/>
  <c r="R41" i="247"/>
  <c r="R39" i="247"/>
  <c r="R40" i="247" s="1"/>
  <c r="R27" i="247"/>
  <c r="I41" i="247"/>
  <c r="I42" i="247"/>
  <c r="J42" i="247"/>
  <c r="I40" i="247"/>
  <c r="W34" i="247"/>
  <c r="W35" i="247" s="1"/>
  <c r="AH40" i="247"/>
  <c r="AH41" i="247"/>
  <c r="AF38" i="247"/>
  <c r="AH42" i="247" s="1"/>
  <c r="AI42" i="247"/>
  <c r="H29" i="247"/>
  <c r="H39" i="247"/>
  <c r="H40" i="247" s="1"/>
  <c r="H9" i="247"/>
  <c r="H41" i="247"/>
  <c r="H42" i="247"/>
  <c r="AG41" i="247"/>
  <c r="AG42" i="247"/>
  <c r="AB41" i="247"/>
  <c r="AB42" i="247"/>
  <c r="Q25" i="247"/>
  <c r="AK25" i="247"/>
  <c r="V25" i="247"/>
  <c r="AF25" i="247"/>
  <c r="AG49" i="247"/>
  <c r="AG50" i="247"/>
  <c r="AA25" i="247"/>
  <c r="AB49" i="247"/>
  <c r="AB50" i="247"/>
  <c r="AG39" i="247"/>
  <c r="AG40" i="247" s="1"/>
  <c r="AB39" i="247"/>
  <c r="AB40" i="247" s="1"/>
  <c r="V12" i="247"/>
  <c r="V34" i="247" s="1"/>
  <c r="V7" i="247"/>
  <c r="V33" i="247" s="1"/>
  <c r="AG30" i="247"/>
  <c r="AG14" i="247"/>
  <c r="AF11" i="247"/>
  <c r="AA7" i="247"/>
  <c r="AB33" i="247"/>
  <c r="AK11" i="247"/>
  <c r="Q16" i="247"/>
  <c r="AA16" i="247"/>
  <c r="AB22" i="247"/>
  <c r="AA12" i="247"/>
  <c r="AB34" i="247"/>
  <c r="G6" i="247"/>
  <c r="AK16" i="247"/>
  <c r="AB30" i="247"/>
  <c r="AA11" i="247"/>
  <c r="AB14" i="247"/>
  <c r="L7" i="247"/>
  <c r="AG29" i="247"/>
  <c r="AG60" i="247" s="1"/>
  <c r="AF6" i="247"/>
  <c r="AG9" i="247"/>
  <c r="AK6" i="247"/>
  <c r="Q7" i="247"/>
  <c r="Q33" i="247" s="1"/>
  <c r="Q12" i="247"/>
  <c r="Q34" i="247" s="1"/>
  <c r="AF12" i="247"/>
  <c r="AG34" i="247"/>
  <c r="AF7" i="247"/>
  <c r="AG33" i="247"/>
  <c r="V6" i="247"/>
  <c r="G7" i="247"/>
  <c r="Q6" i="247"/>
  <c r="V11" i="247"/>
  <c r="L6" i="247"/>
  <c r="V16" i="247"/>
  <c r="AK12" i="247"/>
  <c r="AK7" i="247"/>
  <c r="Q11" i="247"/>
  <c r="AG22" i="247"/>
  <c r="AF16" i="247"/>
  <c r="AB29" i="247"/>
  <c r="AB60" i="247" s="1"/>
  <c r="AA6" i="247"/>
  <c r="AB9" i="247"/>
  <c r="R35" i="247" l="1"/>
  <c r="AG23" i="247"/>
  <c r="M23" i="247"/>
  <c r="W23" i="247"/>
  <c r="R23" i="247"/>
  <c r="AB23" i="247"/>
  <c r="H23" i="247"/>
  <c r="M35" i="247"/>
  <c r="AF34" i="247"/>
  <c r="M31" i="247"/>
  <c r="Q35" i="247"/>
  <c r="AB35" i="247"/>
  <c r="V35" i="247"/>
  <c r="AF43" i="247"/>
  <c r="Q72" i="247"/>
  <c r="V43" i="247"/>
  <c r="H31" i="247"/>
  <c r="AK43" i="247"/>
  <c r="L50" i="247"/>
  <c r="AG61" i="247"/>
  <c r="AG31" i="247"/>
  <c r="AL61" i="247"/>
  <c r="AL31" i="247"/>
  <c r="R61" i="247"/>
  <c r="R31" i="247"/>
  <c r="W61" i="247"/>
  <c r="W31" i="247"/>
  <c r="AG35" i="247"/>
  <c r="AB61" i="247"/>
  <c r="AB31" i="247"/>
  <c r="W69" i="247"/>
  <c r="AK64" i="247"/>
  <c r="AF33" i="247"/>
  <c r="Q64" i="247"/>
  <c r="Q66" i="247"/>
  <c r="R69" i="247"/>
  <c r="Q68" i="247"/>
  <c r="V72" i="247"/>
  <c r="V64" i="247"/>
  <c r="AA49" i="247"/>
  <c r="AL69" i="247"/>
  <c r="AK68" i="247"/>
  <c r="V68" i="247"/>
  <c r="AF64" i="247"/>
  <c r="AA67" i="247"/>
  <c r="AK65" i="247"/>
  <c r="AB69" i="247"/>
  <c r="AF67" i="247"/>
  <c r="AK22" i="247"/>
  <c r="AK63" i="247"/>
  <c r="Q65" i="247"/>
  <c r="Q67" i="247"/>
  <c r="AF66" i="247"/>
  <c r="AF65" i="247"/>
  <c r="AA66" i="247"/>
  <c r="AA64" i="247"/>
  <c r="V67" i="247"/>
  <c r="AF22" i="247"/>
  <c r="AF63" i="247"/>
  <c r="AK34" i="247"/>
  <c r="AA22" i="247"/>
  <c r="AA63" i="247"/>
  <c r="AA72" i="247"/>
  <c r="V66" i="247"/>
  <c r="V65" i="247"/>
  <c r="AF72" i="247"/>
  <c r="AK66" i="247"/>
  <c r="AA68" i="247"/>
  <c r="AA65" i="247"/>
  <c r="AK67" i="247"/>
  <c r="AK72" i="247"/>
  <c r="AF68" i="247"/>
  <c r="AG69" i="247"/>
  <c r="V22" i="247"/>
  <c r="V63" i="247"/>
  <c r="Q22" i="247"/>
  <c r="Q63" i="247"/>
  <c r="AK33" i="247"/>
  <c r="AA34" i="247"/>
  <c r="AA33" i="247"/>
  <c r="V49" i="247"/>
  <c r="AF27" i="247"/>
  <c r="Q49" i="247"/>
  <c r="Q50" i="247"/>
  <c r="AA27" i="247"/>
  <c r="V50" i="247"/>
  <c r="Q27" i="247"/>
  <c r="V27" i="247"/>
  <c r="AK27" i="247"/>
  <c r="Q41" i="247"/>
  <c r="Q42" i="247"/>
  <c r="AA41" i="247"/>
  <c r="AA42" i="247"/>
  <c r="AF41" i="247"/>
  <c r="AF42" i="247"/>
  <c r="V41" i="247"/>
  <c r="V42" i="247"/>
  <c r="V39" i="247"/>
  <c r="V40" i="247" s="1"/>
  <c r="L41" i="247"/>
  <c r="L42" i="247"/>
  <c r="AK41" i="247"/>
  <c r="AK42" i="247"/>
  <c r="AA43" i="247"/>
  <c r="G41" i="247"/>
  <c r="G42" i="247"/>
  <c r="AK50" i="247"/>
  <c r="AK49" i="247"/>
  <c r="AA50" i="247"/>
  <c r="AF50" i="247"/>
  <c r="AF49" i="247"/>
  <c r="G9" i="247"/>
  <c r="G39" i="247"/>
  <c r="G40" i="247" s="1"/>
  <c r="Q29" i="247"/>
  <c r="Q60" i="247" s="1"/>
  <c r="Q9" i="247"/>
  <c r="Q39" i="247"/>
  <c r="Q40" i="247" s="1"/>
  <c r="V29" i="247"/>
  <c r="V60" i="247" s="1"/>
  <c r="V9" i="247"/>
  <c r="AF14" i="247"/>
  <c r="AF30" i="247"/>
  <c r="AA39" i="247"/>
  <c r="AA40" i="247" s="1"/>
  <c r="AA29" i="247"/>
  <c r="AA60" i="247" s="1"/>
  <c r="AA9" i="247"/>
  <c r="Q14" i="247"/>
  <c r="Q30" i="247"/>
  <c r="V14" i="247"/>
  <c r="V30" i="247"/>
  <c r="AF29" i="247"/>
  <c r="AF60" i="247" s="1"/>
  <c r="AF9" i="247"/>
  <c r="AF39" i="247"/>
  <c r="AF40" i="247" s="1"/>
  <c r="AK14" i="247"/>
  <c r="AK30" i="247"/>
  <c r="L39" i="247"/>
  <c r="L40" i="247" s="1"/>
  <c r="L9" i="247"/>
  <c r="AK29" i="247"/>
  <c r="AK60" i="247" s="1"/>
  <c r="AK9" i="247"/>
  <c r="AK39" i="247"/>
  <c r="AK40" i="247" s="1"/>
  <c r="AA14" i="247"/>
  <c r="AA30" i="247"/>
  <c r="Q23" i="247" l="1"/>
  <c r="V23" i="247"/>
  <c r="AF23" i="247"/>
  <c r="AA23" i="247"/>
  <c r="AK23" i="247"/>
  <c r="AG71" i="247"/>
  <c r="AG73" i="247" s="1"/>
  <c r="R71" i="247"/>
  <c r="R73" i="247" s="1"/>
  <c r="AF35" i="247"/>
  <c r="AB71" i="247"/>
  <c r="AB73" i="247" s="1"/>
  <c r="W71" i="247"/>
  <c r="W73" i="247" s="1"/>
  <c r="AL71" i="247"/>
  <c r="AL73" i="247" s="1"/>
  <c r="AK35" i="247"/>
  <c r="AA35" i="247"/>
  <c r="AA31" i="247"/>
  <c r="V31" i="247"/>
  <c r="AK31" i="247"/>
  <c r="AF31" i="247"/>
  <c r="Q31" i="247"/>
  <c r="AA61" i="247"/>
  <c r="AK61" i="247"/>
  <c r="V61" i="247"/>
  <c r="AF61" i="247"/>
  <c r="Q61" i="247"/>
  <c r="AK69" i="247"/>
  <c r="AK71" i="247" s="1"/>
  <c r="AK73" i="247" s="1"/>
  <c r="Q69" i="247"/>
  <c r="AA69" i="247"/>
  <c r="V69" i="247"/>
  <c r="AF69" i="247"/>
  <c r="AA71" i="247" l="1"/>
  <c r="AA73" i="247" s="1"/>
  <c r="V71" i="247"/>
  <c r="V73" i="247" s="1"/>
  <c r="AF71" i="247"/>
  <c r="AF73" i="247" s="1"/>
  <c r="Q71" i="247"/>
  <c r="Q73" i="247" s="1"/>
  <c r="C72" i="22" l="1"/>
  <c r="AB70" i="43" l="1"/>
  <c r="AC69" i="43"/>
  <c r="AC91" i="43" s="1"/>
  <c r="AC83" i="43"/>
  <c r="AD69" i="43"/>
  <c r="AD83" i="43"/>
  <c r="AE69" i="43"/>
  <c r="AE83" i="43"/>
  <c r="AB426" i="43" l="1"/>
  <c r="AB425" i="43" s="1"/>
  <c r="AD164" i="43"/>
  <c r="AD163" i="43" s="1"/>
  <c r="AD167" i="43" s="1"/>
  <c r="AE164" i="43"/>
  <c r="AE163" i="43" s="1"/>
  <c r="AE160" i="43" s="1"/>
  <c r="AE144" i="43" s="1"/>
  <c r="AE145" i="43" s="1"/>
  <c r="AC164" i="43"/>
  <c r="AC163" i="43" s="1"/>
  <c r="AC167" i="43" s="1"/>
  <c r="AD110" i="43"/>
  <c r="AD109" i="43"/>
  <c r="AE110" i="43"/>
  <c r="AE109" i="43"/>
  <c r="AC110" i="43"/>
  <c r="AC109" i="43"/>
  <c r="AD70" i="43"/>
  <c r="AE70" i="43"/>
  <c r="AC70" i="43"/>
  <c r="AC85" i="43"/>
  <c r="AE85" i="43"/>
  <c r="AB98" i="43"/>
  <c r="AB100" i="43"/>
  <c r="AD85" i="43"/>
  <c r="AB74" i="43"/>
  <c r="AB87" i="43"/>
  <c r="AC74" i="43"/>
  <c r="AD74" i="43"/>
  <c r="AE74" i="43"/>
  <c r="AF74" i="43"/>
  <c r="AG74" i="43"/>
  <c r="AH74" i="43"/>
  <c r="AI74" i="43"/>
  <c r="AJ74" i="43"/>
  <c r="AK74" i="43"/>
  <c r="AL74" i="43"/>
  <c r="AM74" i="43"/>
  <c r="AC87" i="43"/>
  <c r="AD87" i="43"/>
  <c r="AE87" i="43"/>
  <c r="AL87" i="43"/>
  <c r="AM87" i="43"/>
  <c r="AE167" i="43" l="1"/>
  <c r="AC160" i="43"/>
  <c r="AC144" i="43" s="1"/>
  <c r="AC145" i="43" s="1"/>
  <c r="AD160" i="43"/>
  <c r="AD144" i="43" s="1"/>
  <c r="AD145" i="43" s="1"/>
  <c r="AD186" i="43" s="1"/>
  <c r="AD180" i="43" s="1"/>
  <c r="AD132" i="43" s="1"/>
  <c r="AD150" i="43" s="1"/>
  <c r="AB53" i="43"/>
  <c r="AE52" i="43"/>
  <c r="AE57" i="43"/>
  <c r="AD52" i="43"/>
  <c r="AC52" i="43"/>
  <c r="AE148" i="43"/>
  <c r="AE108" i="43" s="1"/>
  <c r="AE168" i="43"/>
  <c r="AE186" i="43"/>
  <c r="AE180" i="43" s="1"/>
  <c r="AE132" i="43" s="1"/>
  <c r="AE150" i="43" s="1"/>
  <c r="AC148" i="43"/>
  <c r="AC108" i="43" s="1"/>
  <c r="AD148" i="43"/>
  <c r="AD108" i="43" s="1"/>
  <c r="AC186" i="43"/>
  <c r="AC180" i="43" s="1"/>
  <c r="AC132" i="43" s="1"/>
  <c r="AC113" i="43"/>
  <c r="AD113" i="43"/>
  <c r="AE113" i="43"/>
  <c r="AB99" i="43"/>
  <c r="AB58" i="43"/>
  <c r="AB86" i="43"/>
  <c r="AB57" i="43"/>
  <c r="AM86" i="43"/>
  <c r="AM57" i="43"/>
  <c r="AL86" i="43"/>
  <c r="AL57" i="43"/>
  <c r="AD86" i="43"/>
  <c r="AD57" i="43"/>
  <c r="AC86" i="43"/>
  <c r="AC57" i="43"/>
  <c r="AE86" i="43"/>
  <c r="AF69" i="43"/>
  <c r="AF83" i="43"/>
  <c r="AC168" i="43" l="1"/>
  <c r="AB63" i="43"/>
  <c r="AD168" i="43"/>
  <c r="AD62" i="43"/>
  <c r="AE62" i="43"/>
  <c r="AC62" i="43"/>
  <c r="AF164" i="43"/>
  <c r="AF163" i="43" s="1"/>
  <c r="AF167" i="43" s="1"/>
  <c r="AC150" i="43"/>
  <c r="AC151" i="43" s="1"/>
  <c r="AC242" i="43" s="1"/>
  <c r="AC133" i="43"/>
  <c r="AC272" i="43" s="1"/>
  <c r="AF110" i="43"/>
  <c r="AF109" i="43"/>
  <c r="AF87" i="43"/>
  <c r="AF70" i="43"/>
  <c r="AB62" i="43"/>
  <c r="AL62" i="43"/>
  <c r="AM62" i="43"/>
  <c r="AF85" i="43"/>
  <c r="AF160" i="43" l="1"/>
  <c r="AF144" i="43" s="1"/>
  <c r="AF145" i="43" s="1"/>
  <c r="AF52" i="43"/>
  <c r="AF57" i="43"/>
  <c r="AD129" i="43"/>
  <c r="AD131" i="43"/>
  <c r="AD250" i="43" s="1"/>
  <c r="AC376" i="43"/>
  <c r="AC154" i="43"/>
  <c r="AD146" i="43"/>
  <c r="AC270" i="43"/>
  <c r="AC156" i="43"/>
  <c r="AC158" i="43" s="1"/>
  <c r="AD143" i="43"/>
  <c r="AD149" i="43"/>
  <c r="AF168" i="43"/>
  <c r="AF148" i="43"/>
  <c r="AF108" i="43" s="1"/>
  <c r="AF186" i="43"/>
  <c r="AF180" i="43" s="1"/>
  <c r="AF132" i="43" s="1"/>
  <c r="AF150" i="43" s="1"/>
  <c r="AF113" i="43"/>
  <c r="AF86" i="43"/>
  <c r="AF62" i="43" l="1"/>
  <c r="AD133" i="43"/>
  <c r="AD272" i="43" s="1"/>
  <c r="AC107" i="43"/>
  <c r="AD151" i="43"/>
  <c r="AD242" i="43" s="1"/>
  <c r="AC111" i="43" l="1"/>
  <c r="AC122" i="43" s="1"/>
  <c r="AC104" i="43" s="1"/>
  <c r="AE131" i="43"/>
  <c r="AE250" i="43" s="1"/>
  <c r="AD376" i="43"/>
  <c r="AE129" i="43"/>
  <c r="AD270" i="43"/>
  <c r="AD154" i="43"/>
  <c r="AE146" i="43"/>
  <c r="AE149" i="43"/>
  <c r="AE143" i="43"/>
  <c r="AD156" i="43"/>
  <c r="AD158" i="43" s="1"/>
  <c r="AC124" i="43" l="1"/>
  <c r="AC59" i="43" s="1"/>
  <c r="AC54" i="43"/>
  <c r="AE133" i="43"/>
  <c r="AE376" i="43" s="1"/>
  <c r="AD107" i="43"/>
  <c r="AE151" i="43"/>
  <c r="AE242" i="43" s="1"/>
  <c r="AC64" i="43" l="1"/>
  <c r="AC105" i="43"/>
  <c r="AC123" i="43"/>
  <c r="AF131" i="43"/>
  <c r="AF250" i="43" s="1"/>
  <c r="AD111" i="43"/>
  <c r="AD122" i="43" s="1"/>
  <c r="AD54" i="43" s="1"/>
  <c r="AF129" i="43"/>
  <c r="AE272" i="43"/>
  <c r="AE154" i="43"/>
  <c r="AF149" i="43"/>
  <c r="AE270" i="43"/>
  <c r="AF143" i="43"/>
  <c r="AE156" i="43"/>
  <c r="AE158" i="43" s="1"/>
  <c r="AF146" i="43"/>
  <c r="AF133" i="43" l="1"/>
  <c r="AF376" i="43" s="1"/>
  <c r="AD124" i="43"/>
  <c r="AD123" i="43" s="1"/>
  <c r="AD104" i="43"/>
  <c r="AE107" i="43"/>
  <c r="AF151" i="43"/>
  <c r="AD59" i="43" l="1"/>
  <c r="AD64" i="43" s="1"/>
  <c r="AG131" i="43"/>
  <c r="AG250" i="43" s="1"/>
  <c r="AG129" i="43"/>
  <c r="AF272" i="43"/>
  <c r="AD105" i="43"/>
  <c r="AE111" i="43"/>
  <c r="AE122" i="43" s="1"/>
  <c r="AE54" i="43" s="1"/>
  <c r="AF154" i="43"/>
  <c r="AF242" i="43"/>
  <c r="AF156" i="43"/>
  <c r="AF158" i="43" s="1"/>
  <c r="AF107" i="43" s="1"/>
  <c r="AF270" i="43"/>
  <c r="AG149" i="43"/>
  <c r="AG143" i="43"/>
  <c r="AG146" i="43"/>
  <c r="AE104" i="43" l="1"/>
  <c r="AE124" i="43"/>
  <c r="AE123" i="43" s="1"/>
  <c r="AF111" i="43"/>
  <c r="AF122" i="43" s="1"/>
  <c r="AF124" i="43" s="1"/>
  <c r="AF123" i="43" s="1"/>
  <c r="AF105" i="43" l="1"/>
  <c r="AF59" i="43"/>
  <c r="AF104" i="43"/>
  <c r="AE59" i="43"/>
  <c r="AE64" i="43" s="1"/>
  <c r="AF54" i="43"/>
  <c r="AE105" i="43"/>
  <c r="AK69" i="43"/>
  <c r="AK91" i="43" s="1"/>
  <c r="AO91" i="43" s="1"/>
  <c r="AL83" i="43"/>
  <c r="AF64" i="43" l="1"/>
  <c r="AO69" i="43"/>
  <c r="AK164" i="43"/>
  <c r="AK163" i="43" s="1"/>
  <c r="AK110" i="43"/>
  <c r="AK109" i="43"/>
  <c r="AK87" i="43"/>
  <c r="AK85" i="43"/>
  <c r="AL70" i="43"/>
  <c r="AO85" i="43" l="1"/>
  <c r="AO87" i="43"/>
  <c r="AK160" i="43"/>
  <c r="AK144" i="43" s="1"/>
  <c r="AK145" i="43" s="1"/>
  <c r="AK167" i="43"/>
  <c r="AK86" i="43"/>
  <c r="AK52" i="43"/>
  <c r="AK57" i="43"/>
  <c r="AK113" i="43"/>
  <c r="AK148" i="43" l="1"/>
  <c r="AK108" i="43" s="1"/>
  <c r="AK168" i="43"/>
  <c r="AK62" i="43"/>
  <c r="AK186" i="43" l="1"/>
  <c r="AK180" i="43" s="1"/>
  <c r="AK132" i="43" s="1"/>
  <c r="AK150" i="43" s="1"/>
  <c r="AB122" i="43" l="1"/>
  <c r="AB54" i="43" s="1"/>
  <c r="AB55" i="43" s="1"/>
  <c r="AB7" i="43" s="1"/>
  <c r="AB438" i="43" s="1"/>
  <c r="AB440" i="43" l="1"/>
  <c r="AB442" i="43"/>
  <c r="AB421" i="43"/>
  <c r="AC431" i="43"/>
  <c r="AC436" i="43" s="1"/>
  <c r="AB275" i="43"/>
  <c r="AB465" i="43"/>
  <c r="AB204" i="43"/>
  <c r="C55" i="22"/>
  <c r="AB124" i="43"/>
  <c r="AB59" i="43" s="1"/>
  <c r="AB64" i="43" s="1"/>
  <c r="AB22" i="43"/>
  <c r="AB24" i="43"/>
  <c r="AB26" i="43"/>
  <c r="AB23" i="43"/>
  <c r="AB39" i="43" s="1"/>
  <c r="AB25" i="43"/>
  <c r="AB27" i="43"/>
  <c r="AB104" i="43"/>
  <c r="AB428" i="43" l="1"/>
  <c r="AB429" i="43"/>
  <c r="AB40" i="43"/>
  <c r="AB42" i="43"/>
  <c r="AB41" i="43"/>
  <c r="AB38" i="43"/>
  <c r="AB467" i="43"/>
  <c r="AC458" i="43"/>
  <c r="AC459" i="43" s="1"/>
  <c r="AC13" i="43"/>
  <c r="AC210" i="43" s="1"/>
  <c r="AB280" i="43"/>
  <c r="AB293" i="43" s="1"/>
  <c r="AB464" i="43"/>
  <c r="AC462" i="43"/>
  <c r="AB43" i="43"/>
  <c r="AB472" i="43"/>
  <c r="AB60" i="43"/>
  <c r="AB9" i="43" s="1"/>
  <c r="AB18" i="43" s="1"/>
  <c r="AB105" i="43"/>
  <c r="AB123" i="43"/>
  <c r="AB28" i="43"/>
  <c r="AB44" i="43" l="1"/>
  <c r="AC236" i="43"/>
  <c r="D64" i="22"/>
  <c r="AC469" i="43"/>
  <c r="AC470" i="43"/>
  <c r="AB65" i="43"/>
  <c r="AB10" i="43"/>
  <c r="AB207" i="43" s="1"/>
  <c r="AB36" i="43"/>
  <c r="AB8" i="43"/>
  <c r="AB205" i="43" s="1"/>
  <c r="AB206" i="43" s="1"/>
  <c r="AC463" i="43" l="1"/>
  <c r="AC471" i="43"/>
  <c r="AB12" i="43"/>
  <c r="AB209" i="43"/>
  <c r="AB358" i="43" s="1"/>
  <c r="AB498" i="43"/>
  <c r="AB14" i="43" l="1"/>
  <c r="AB19" i="43"/>
  <c r="C57" i="22"/>
  <c r="C59" i="22" s="1"/>
  <c r="AB215" i="43"/>
  <c r="AB499" i="43"/>
  <c r="AB20" i="43" l="1"/>
  <c r="C61" i="22"/>
  <c r="C63" i="22" s="1"/>
  <c r="AB500" i="43"/>
  <c r="AB303" i="43" l="1"/>
  <c r="AB305" i="43" s="1"/>
  <c r="AB243" i="43" l="1"/>
  <c r="AB269" i="43"/>
  <c r="AB268" i="43"/>
  <c r="AB396" i="43" s="1"/>
  <c r="AB398" i="43" s="1"/>
  <c r="AB273" i="43"/>
  <c r="AB271" i="43"/>
  <c r="AB374" i="43" s="1"/>
  <c r="C66" i="22"/>
  <c r="AB306" i="43" l="1"/>
  <c r="AB382" i="43"/>
  <c r="AB354" i="43" s="1"/>
  <c r="AB361" i="43" s="1"/>
  <c r="AB403" i="43"/>
  <c r="AB290" i="43" l="1"/>
  <c r="AB359" i="43"/>
  <c r="AB371" i="43"/>
  <c r="AB372" i="43" s="1"/>
  <c r="AB385" i="43"/>
  <c r="AB384" i="43"/>
  <c r="AK426" i="43" l="1"/>
  <c r="AK425" i="43" s="1"/>
  <c r="AK98" i="43" l="1"/>
  <c r="AK53" i="43" s="1"/>
  <c r="AK100" i="43"/>
  <c r="AK99" i="43" l="1"/>
  <c r="AK58" i="43"/>
  <c r="AK63" i="43" l="1"/>
  <c r="AC426" i="43" l="1"/>
  <c r="AC98" i="43"/>
  <c r="AC53" i="43" l="1"/>
  <c r="AC55" i="43" s="1"/>
  <c r="AC7" i="43" s="1"/>
  <c r="AC204" i="43" l="1"/>
  <c r="AC438" i="43"/>
  <c r="AC22" i="43"/>
  <c r="AC24" i="43"/>
  <c r="AC40" i="43" l="1"/>
  <c r="AC38" i="43"/>
  <c r="AC275" i="43"/>
  <c r="AC442" i="43"/>
  <c r="AC440" i="43"/>
  <c r="AC421" i="43"/>
  <c r="AC429" i="43" s="1"/>
  <c r="AC465" i="43"/>
  <c r="AD431" i="43"/>
  <c r="AD436" i="43" s="1"/>
  <c r="D55" i="22"/>
  <c r="D56" i="22" s="1"/>
  <c r="AC303" i="43"/>
  <c r="AC305" i="43" s="1"/>
  <c r="AC100" i="43"/>
  <c r="AC99" i="43" s="1"/>
  <c r="AC464" i="43" l="1"/>
  <c r="AD462" i="43"/>
  <c r="AC280" i="43"/>
  <c r="AC293" i="43" s="1"/>
  <c r="AC467" i="43"/>
  <c r="AC243" i="43"/>
  <c r="AC268" i="43"/>
  <c r="AC396" i="43" s="1"/>
  <c r="AC398" i="43" s="1"/>
  <c r="AC403" i="43" s="1"/>
  <c r="AC271" i="43"/>
  <c r="AC273" i="43"/>
  <c r="AC269" i="43"/>
  <c r="AD458" i="43"/>
  <c r="AD459" i="43" s="1"/>
  <c r="AD13" i="43"/>
  <c r="AD210" i="43" s="1"/>
  <c r="AC58" i="43"/>
  <c r="E64" i="22" l="1"/>
  <c r="AD236" i="43"/>
  <c r="AC374" i="43"/>
  <c r="AC306" i="43"/>
  <c r="AD470" i="43"/>
  <c r="AD469" i="43"/>
  <c r="D66" i="22"/>
  <c r="AC63" i="43"/>
  <c r="AC60" i="43"/>
  <c r="AD471" i="43" l="1"/>
  <c r="AD463" i="43"/>
  <c r="AC9" i="43"/>
  <c r="AC65" i="43"/>
  <c r="AC8" i="43" l="1"/>
  <c r="AC205" i="43" s="1"/>
  <c r="AC206" i="43" s="1"/>
  <c r="AC18" i="43"/>
  <c r="AC498" i="43" l="1"/>
  <c r="AD94" i="43"/>
  <c r="AC425" i="43"/>
  <c r="AC428" i="43" s="1"/>
  <c r="AC375" i="43" l="1"/>
  <c r="AC382" i="43" l="1"/>
  <c r="AC385" i="43" l="1"/>
  <c r="AC371" i="43"/>
  <c r="AC372" i="43" s="1"/>
  <c r="AC354" i="43"/>
  <c r="AC290" i="43" l="1"/>
  <c r="AC384" i="43" l="1"/>
  <c r="E11" i="22"/>
  <c r="M17" i="22"/>
  <c r="I23" i="22"/>
  <c r="K27" i="22"/>
  <c r="K28" i="22"/>
  <c r="J41" i="22"/>
  <c r="K41" i="22"/>
  <c r="L41" i="22"/>
  <c r="D46" i="22"/>
  <c r="E46" i="22"/>
  <c r="F46" i="22"/>
  <c r="G46" i="22"/>
  <c r="H46" i="22"/>
  <c r="I46" i="22"/>
  <c r="J46" i="22"/>
  <c r="K46" i="22"/>
  <c r="L46" i="22"/>
  <c r="M46" i="22"/>
  <c r="C53" i="22"/>
  <c r="D53" i="22"/>
  <c r="E53" i="22"/>
  <c r="F53" i="22"/>
  <c r="G53" i="22"/>
  <c r="H53" i="22"/>
  <c r="I53" i="22"/>
  <c r="J53" i="22"/>
  <c r="K53" i="22"/>
  <c r="L53" i="22"/>
  <c r="M53" i="22"/>
  <c r="D54" i="22"/>
  <c r="E54" i="22"/>
  <c r="F54" i="22"/>
  <c r="G54" i="22"/>
  <c r="H54" i="22"/>
  <c r="I54" i="22"/>
  <c r="J54" i="22"/>
  <c r="K54" i="22"/>
  <c r="L54" i="22"/>
  <c r="M54" i="22"/>
  <c r="E55" i="22"/>
  <c r="F55" i="22"/>
  <c r="G55" i="22"/>
  <c r="H55" i="22"/>
  <c r="I55" i="22"/>
  <c r="J55" i="22"/>
  <c r="K55" i="22"/>
  <c r="L55" i="22"/>
  <c r="M55" i="22"/>
  <c r="E56" i="22"/>
  <c r="F56" i="22"/>
  <c r="G56" i="22"/>
  <c r="H56" i="22"/>
  <c r="I56" i="22"/>
  <c r="J56" i="22"/>
  <c r="K56" i="22"/>
  <c r="L56" i="22"/>
  <c r="M56" i="22"/>
  <c r="D57" i="22"/>
  <c r="E57" i="22"/>
  <c r="F57" i="22"/>
  <c r="G57" i="22"/>
  <c r="H57" i="22"/>
  <c r="I57" i="22"/>
  <c r="J57" i="22"/>
  <c r="K57" i="22"/>
  <c r="L57" i="22"/>
  <c r="M57" i="22"/>
  <c r="D58" i="22"/>
  <c r="E58" i="22"/>
  <c r="F58" i="22"/>
  <c r="G58" i="22"/>
  <c r="H58" i="22"/>
  <c r="I58" i="22"/>
  <c r="J58" i="22"/>
  <c r="K58" i="22"/>
  <c r="L58" i="22"/>
  <c r="M58" i="22"/>
  <c r="D59" i="22"/>
  <c r="E59" i="22"/>
  <c r="F59" i="22"/>
  <c r="G59" i="22"/>
  <c r="H59" i="22"/>
  <c r="I59" i="22"/>
  <c r="J59" i="22"/>
  <c r="K59" i="22"/>
  <c r="L59" i="22"/>
  <c r="M59" i="22"/>
  <c r="D61" i="22"/>
  <c r="E61" i="22"/>
  <c r="F61" i="22"/>
  <c r="G61" i="22"/>
  <c r="H61" i="22"/>
  <c r="I61" i="22"/>
  <c r="J61" i="22"/>
  <c r="K61" i="22"/>
  <c r="L61" i="22"/>
  <c r="M61" i="22"/>
  <c r="D63" i="22"/>
  <c r="E63" i="22"/>
  <c r="F63" i="22"/>
  <c r="G63" i="22"/>
  <c r="H63" i="22"/>
  <c r="I63" i="22"/>
  <c r="J63" i="22"/>
  <c r="K63" i="22"/>
  <c r="L63" i="22"/>
  <c r="M63" i="22"/>
  <c r="F64" i="22"/>
  <c r="G64" i="22"/>
  <c r="H64" i="22"/>
  <c r="I64" i="22"/>
  <c r="J64" i="22"/>
  <c r="K64" i="22"/>
  <c r="L64" i="22"/>
  <c r="M64" i="22"/>
  <c r="C65" i="22"/>
  <c r="D65" i="22"/>
  <c r="E65" i="22"/>
  <c r="F65" i="22"/>
  <c r="G65" i="22"/>
  <c r="H65" i="22"/>
  <c r="I65" i="22"/>
  <c r="J65" i="22"/>
  <c r="K65" i="22"/>
  <c r="L65" i="22"/>
  <c r="M65" i="22"/>
  <c r="E66" i="22"/>
  <c r="F66" i="22"/>
  <c r="G66" i="22"/>
  <c r="H66" i="22"/>
  <c r="I66" i="22"/>
  <c r="J66" i="22"/>
  <c r="K66" i="22"/>
  <c r="L66" i="22"/>
  <c r="M66" i="22"/>
  <c r="C67" i="22"/>
  <c r="D67" i="22"/>
  <c r="E67" i="22"/>
  <c r="F67" i="22"/>
  <c r="G67" i="22"/>
  <c r="H67" i="22"/>
  <c r="I67" i="22"/>
  <c r="J67" i="22"/>
  <c r="K67" i="22"/>
  <c r="L67" i="22"/>
  <c r="M67" i="22"/>
  <c r="C68" i="22"/>
  <c r="D68" i="22"/>
  <c r="E68" i="22"/>
  <c r="F68" i="22"/>
  <c r="G68" i="22"/>
  <c r="H68" i="22"/>
  <c r="I68" i="22"/>
  <c r="J68" i="22"/>
  <c r="K68" i="22"/>
  <c r="L68" i="22"/>
  <c r="M68" i="22"/>
  <c r="D69" i="22"/>
  <c r="E69" i="22"/>
  <c r="F69" i="22"/>
  <c r="G69" i="22"/>
  <c r="H69" i="22"/>
  <c r="I69" i="22"/>
  <c r="J69" i="22"/>
  <c r="K69" i="22"/>
  <c r="L69" i="22"/>
  <c r="M69" i="22"/>
  <c r="C71" i="22"/>
  <c r="D71" i="22"/>
  <c r="E71" i="22"/>
  <c r="F71" i="22"/>
  <c r="G71" i="22"/>
  <c r="H71" i="22"/>
  <c r="I71" i="22"/>
  <c r="J71" i="22"/>
  <c r="K71" i="22"/>
  <c r="L71" i="22"/>
  <c r="D72" i="22"/>
  <c r="E72" i="22"/>
  <c r="F72" i="22"/>
  <c r="G72" i="22"/>
  <c r="H72" i="22"/>
  <c r="I72" i="22"/>
  <c r="J72" i="22"/>
  <c r="K72" i="22"/>
  <c r="L72" i="22"/>
  <c r="C73" i="22"/>
  <c r="D73" i="22"/>
  <c r="E73" i="22"/>
  <c r="F73" i="22"/>
  <c r="G73" i="22"/>
  <c r="H73" i="22"/>
  <c r="I73" i="22"/>
  <c r="J73" i="22"/>
  <c r="K73" i="22"/>
  <c r="L73" i="22"/>
  <c r="C75" i="22"/>
  <c r="L75" i="22"/>
  <c r="L76" i="22"/>
  <c r="L79" i="22"/>
  <c r="C80" i="22"/>
  <c r="L80" i="22"/>
  <c r="L81" i="22"/>
  <c r="C82" i="22"/>
  <c r="L82" i="22"/>
  <c r="L83" i="22"/>
  <c r="L84" i="22"/>
  <c r="D1" i="43"/>
  <c r="AD7" i="43"/>
  <c r="AE7" i="43"/>
  <c r="AF7" i="43"/>
  <c r="AG7" i="43"/>
  <c r="AH7" i="43"/>
  <c r="AI7" i="43"/>
  <c r="AJ7" i="43"/>
  <c r="AK7" i="43"/>
  <c r="AL7" i="43"/>
  <c r="AM7" i="43"/>
  <c r="AO7" i="43"/>
  <c r="AD8" i="43"/>
  <c r="AE8" i="43"/>
  <c r="AF8" i="43"/>
  <c r="AG8" i="43"/>
  <c r="AH8" i="43"/>
  <c r="AI8" i="43"/>
  <c r="AJ8" i="43"/>
  <c r="AK8" i="43"/>
  <c r="AL8" i="43"/>
  <c r="AM8" i="43"/>
  <c r="AD9" i="43"/>
  <c r="AE9" i="43"/>
  <c r="AF9" i="43"/>
  <c r="AG9" i="43"/>
  <c r="AH9" i="43"/>
  <c r="AI9" i="43"/>
  <c r="AJ9" i="43"/>
  <c r="AK9" i="43"/>
  <c r="AL9" i="43"/>
  <c r="AM9" i="43"/>
  <c r="AO9" i="43"/>
  <c r="AC10" i="43"/>
  <c r="AD10" i="43"/>
  <c r="AE10" i="43"/>
  <c r="AF10" i="43"/>
  <c r="AG10" i="43"/>
  <c r="AH10" i="43"/>
  <c r="AI10" i="43"/>
  <c r="AJ10" i="43"/>
  <c r="AK10" i="43"/>
  <c r="AL10" i="43"/>
  <c r="AM10" i="43"/>
  <c r="AC12" i="43"/>
  <c r="AD12" i="43"/>
  <c r="AE12" i="43"/>
  <c r="AF12" i="43"/>
  <c r="AG12" i="43"/>
  <c r="AH12" i="43"/>
  <c r="AI12" i="43"/>
  <c r="AJ12" i="43"/>
  <c r="AK12" i="43"/>
  <c r="AL12" i="43"/>
  <c r="AM12" i="43"/>
  <c r="AO12" i="43"/>
  <c r="AE13" i="43"/>
  <c r="AF13" i="43"/>
  <c r="AG13" i="43"/>
  <c r="AH13" i="43"/>
  <c r="AI13" i="43"/>
  <c r="AJ13" i="43"/>
  <c r="AK13" i="43"/>
  <c r="AL13" i="43"/>
  <c r="AM13" i="43"/>
  <c r="AC14" i="43"/>
  <c r="AD14" i="43"/>
  <c r="AE14" i="43"/>
  <c r="AF14" i="43"/>
  <c r="AG14" i="43"/>
  <c r="AH14" i="43"/>
  <c r="AI14" i="43"/>
  <c r="AJ14" i="43"/>
  <c r="AK14" i="43"/>
  <c r="AL14" i="43"/>
  <c r="AM14" i="43"/>
  <c r="AO14" i="43"/>
  <c r="AB15" i="43"/>
  <c r="AC15" i="43"/>
  <c r="AD15" i="43"/>
  <c r="AE15" i="43"/>
  <c r="AF15" i="43"/>
  <c r="AG15" i="43"/>
  <c r="AH15" i="43"/>
  <c r="AI15" i="43"/>
  <c r="AJ15" i="43"/>
  <c r="AK15" i="43"/>
  <c r="AL15" i="43"/>
  <c r="AM15" i="43"/>
  <c r="AB16" i="43"/>
  <c r="AC16" i="43"/>
  <c r="AD16" i="43"/>
  <c r="AE16" i="43"/>
  <c r="AF16" i="43"/>
  <c r="AG16" i="43"/>
  <c r="AH16" i="43"/>
  <c r="AI16" i="43"/>
  <c r="AJ16" i="43"/>
  <c r="AK16" i="43"/>
  <c r="AL16" i="43"/>
  <c r="AM16" i="43"/>
  <c r="AO16" i="43"/>
  <c r="AD18" i="43"/>
  <c r="AE18" i="43"/>
  <c r="AF18" i="43"/>
  <c r="AG18" i="43"/>
  <c r="AH18" i="43"/>
  <c r="AI18" i="43"/>
  <c r="AJ18" i="43"/>
  <c r="AK18" i="43"/>
  <c r="AL18" i="43"/>
  <c r="AM18" i="43"/>
  <c r="AC19" i="43"/>
  <c r="AD19" i="43"/>
  <c r="AE19" i="43"/>
  <c r="AF19" i="43"/>
  <c r="AG19" i="43"/>
  <c r="AH19" i="43"/>
  <c r="AI19" i="43"/>
  <c r="AJ19" i="43"/>
  <c r="AK19" i="43"/>
  <c r="AL19" i="43"/>
  <c r="AM19" i="43"/>
  <c r="AC20" i="43"/>
  <c r="AD20" i="43"/>
  <c r="AE20" i="43"/>
  <c r="AF20" i="43"/>
  <c r="AG20" i="43"/>
  <c r="AH20" i="43"/>
  <c r="AI20" i="43"/>
  <c r="AJ20" i="43"/>
  <c r="AK20" i="43"/>
  <c r="AL20" i="43"/>
  <c r="AM20" i="43"/>
  <c r="AD22" i="43"/>
  <c r="AE22" i="43"/>
  <c r="AF22" i="43"/>
  <c r="AG22" i="43"/>
  <c r="AH22" i="43"/>
  <c r="AI22" i="43"/>
  <c r="AJ22" i="43"/>
  <c r="AK22" i="43"/>
  <c r="AL22" i="43"/>
  <c r="AM22" i="43"/>
  <c r="AO22" i="43"/>
  <c r="AC23" i="43"/>
  <c r="AD23" i="43"/>
  <c r="AE23" i="43"/>
  <c r="AF23" i="43"/>
  <c r="AG23" i="43"/>
  <c r="AH23" i="43"/>
  <c r="AI23" i="43"/>
  <c r="AJ23" i="43"/>
  <c r="AK23" i="43"/>
  <c r="AL23" i="43"/>
  <c r="AM23" i="43"/>
  <c r="AD24" i="43"/>
  <c r="AE24" i="43"/>
  <c r="AF24" i="43"/>
  <c r="AG24" i="43"/>
  <c r="AH24" i="43"/>
  <c r="AI24" i="43"/>
  <c r="AJ24" i="43"/>
  <c r="AK24" i="43"/>
  <c r="AL24" i="43"/>
  <c r="AM24" i="43"/>
  <c r="AO24" i="43"/>
  <c r="AC25" i="43"/>
  <c r="AD25" i="43"/>
  <c r="AE25" i="43"/>
  <c r="AF25" i="43"/>
  <c r="AG25" i="43"/>
  <c r="AH25" i="43"/>
  <c r="AI25" i="43"/>
  <c r="AJ25" i="43"/>
  <c r="AK25" i="43"/>
  <c r="AL25" i="43"/>
  <c r="AM25" i="43"/>
  <c r="AO25" i="43"/>
  <c r="AC26" i="43"/>
  <c r="AD26" i="43"/>
  <c r="AE26" i="43"/>
  <c r="AF26" i="43"/>
  <c r="AG26" i="43"/>
  <c r="AH26" i="43"/>
  <c r="AI26" i="43"/>
  <c r="AJ26" i="43"/>
  <c r="AK26" i="43"/>
  <c r="AL26" i="43"/>
  <c r="AM26" i="43"/>
  <c r="AO26" i="43"/>
  <c r="AC27" i="43"/>
  <c r="AD27" i="43"/>
  <c r="AE27" i="43"/>
  <c r="AF27" i="43"/>
  <c r="AG27" i="43"/>
  <c r="AH27" i="43"/>
  <c r="AI27" i="43"/>
  <c r="AJ27" i="43"/>
  <c r="AK27" i="43"/>
  <c r="AL27" i="43"/>
  <c r="AM27" i="43"/>
  <c r="AO27" i="43"/>
  <c r="AC28" i="43"/>
  <c r="AD28" i="43"/>
  <c r="AE28" i="43"/>
  <c r="AF28" i="43"/>
  <c r="AG28" i="43"/>
  <c r="AH28" i="43"/>
  <c r="AI28" i="43"/>
  <c r="AJ28" i="43"/>
  <c r="AK28" i="43"/>
  <c r="AL28" i="43"/>
  <c r="AM28" i="43"/>
  <c r="AO28" i="43"/>
  <c r="AF30" i="43"/>
  <c r="AG30" i="43"/>
  <c r="AH30" i="43"/>
  <c r="AI30" i="43"/>
  <c r="AJ30" i="43"/>
  <c r="AC31" i="43"/>
  <c r="AD31" i="43"/>
  <c r="AE31" i="43"/>
  <c r="AF31" i="43"/>
  <c r="AG31" i="43"/>
  <c r="AH31" i="43"/>
  <c r="AI31" i="43"/>
  <c r="AJ31" i="43"/>
  <c r="AD32" i="43"/>
  <c r="AE32" i="43"/>
  <c r="AF32" i="43"/>
  <c r="AG32" i="43"/>
  <c r="AH32" i="43"/>
  <c r="AI32" i="43"/>
  <c r="AJ32" i="43"/>
  <c r="AC33" i="43"/>
  <c r="AD33" i="43"/>
  <c r="AE33" i="43"/>
  <c r="AF33" i="43"/>
  <c r="AG33" i="43"/>
  <c r="AH33" i="43"/>
  <c r="AI33" i="43"/>
  <c r="AJ33" i="43"/>
  <c r="AC34" i="43"/>
  <c r="AD34" i="43"/>
  <c r="AE34" i="43"/>
  <c r="AF34" i="43"/>
  <c r="AG34" i="43"/>
  <c r="AH34" i="43"/>
  <c r="AI34" i="43"/>
  <c r="AJ34" i="43"/>
  <c r="AC35" i="43"/>
  <c r="AD35" i="43"/>
  <c r="AE35" i="43"/>
  <c r="AF35" i="43"/>
  <c r="AG35" i="43"/>
  <c r="AH35" i="43"/>
  <c r="AI35" i="43"/>
  <c r="AJ35" i="43"/>
  <c r="AC36" i="43"/>
  <c r="AD36" i="43"/>
  <c r="AE36" i="43"/>
  <c r="AF36" i="43"/>
  <c r="AG36" i="43"/>
  <c r="AH36" i="43"/>
  <c r="AI36" i="43"/>
  <c r="AJ36" i="43"/>
  <c r="AK36" i="43"/>
  <c r="AL36" i="43"/>
  <c r="AM36" i="43"/>
  <c r="AD38" i="43"/>
  <c r="AE38" i="43"/>
  <c r="AF38" i="43"/>
  <c r="AG38" i="43"/>
  <c r="AH38" i="43"/>
  <c r="AI38" i="43"/>
  <c r="AJ38" i="43"/>
  <c r="AK38" i="43"/>
  <c r="AL38" i="43"/>
  <c r="AM38" i="43"/>
  <c r="AO38" i="43"/>
  <c r="AC39" i="43"/>
  <c r="AD39" i="43"/>
  <c r="AE39" i="43"/>
  <c r="AF39" i="43"/>
  <c r="AG39" i="43"/>
  <c r="AH39" i="43"/>
  <c r="AI39" i="43"/>
  <c r="AJ39" i="43"/>
  <c r="AK39" i="43"/>
  <c r="AL39" i="43"/>
  <c r="AM39" i="43"/>
  <c r="AD40" i="43"/>
  <c r="AE40" i="43"/>
  <c r="AF40" i="43"/>
  <c r="AG40" i="43"/>
  <c r="AH40" i="43"/>
  <c r="AI40" i="43"/>
  <c r="AJ40" i="43"/>
  <c r="AK40" i="43"/>
  <c r="AL40" i="43"/>
  <c r="AM40" i="43"/>
  <c r="AO40" i="43"/>
  <c r="AC41" i="43"/>
  <c r="AD41" i="43"/>
  <c r="AE41" i="43"/>
  <c r="AF41" i="43"/>
  <c r="AG41" i="43"/>
  <c r="AH41" i="43"/>
  <c r="AI41" i="43"/>
  <c r="AJ41" i="43"/>
  <c r="AK41" i="43"/>
  <c r="AL41" i="43"/>
  <c r="AM41" i="43"/>
  <c r="AO41" i="43"/>
  <c r="AC42" i="43"/>
  <c r="AD42" i="43"/>
  <c r="AE42" i="43"/>
  <c r="AF42" i="43"/>
  <c r="AG42" i="43"/>
  <c r="AH42" i="43"/>
  <c r="AI42" i="43"/>
  <c r="AJ42" i="43"/>
  <c r="AK42" i="43"/>
  <c r="AL42" i="43"/>
  <c r="AM42" i="43"/>
  <c r="AO42" i="43"/>
  <c r="AC43" i="43"/>
  <c r="AD43" i="43"/>
  <c r="AE43" i="43"/>
  <c r="AF43" i="43"/>
  <c r="AG43" i="43"/>
  <c r="AH43" i="43"/>
  <c r="AI43" i="43"/>
  <c r="AJ43" i="43"/>
  <c r="AK43" i="43"/>
  <c r="AL43" i="43"/>
  <c r="AM43" i="43"/>
  <c r="AO43" i="43"/>
  <c r="AC44" i="43"/>
  <c r="AD44" i="43"/>
  <c r="AE44" i="43"/>
  <c r="AF44" i="43"/>
  <c r="AG44" i="43"/>
  <c r="AH44" i="43"/>
  <c r="AI44" i="43"/>
  <c r="AJ44" i="43"/>
  <c r="AK44" i="43"/>
  <c r="AL44" i="43"/>
  <c r="AM44" i="43"/>
  <c r="AO44" i="43"/>
  <c r="AG52" i="43"/>
  <c r="AH52" i="43"/>
  <c r="AI52" i="43"/>
  <c r="AJ52" i="43"/>
  <c r="AD53" i="43"/>
  <c r="AE53" i="43"/>
  <c r="AF53" i="43"/>
  <c r="AG53" i="43"/>
  <c r="AH53" i="43"/>
  <c r="AI53" i="43"/>
  <c r="AJ53" i="43"/>
  <c r="AG54" i="43"/>
  <c r="AH54" i="43"/>
  <c r="AI54" i="43"/>
  <c r="AJ54" i="43"/>
  <c r="AK54" i="43"/>
  <c r="AL54" i="43"/>
  <c r="AM54" i="43"/>
  <c r="AD55" i="43"/>
  <c r="AE55" i="43"/>
  <c r="AF55" i="43"/>
  <c r="AG55" i="43"/>
  <c r="AH55" i="43"/>
  <c r="AI55" i="43"/>
  <c r="AJ55" i="43"/>
  <c r="AK55" i="43"/>
  <c r="AL55" i="43"/>
  <c r="AM55" i="43"/>
  <c r="AG57" i="43"/>
  <c r="AH57" i="43"/>
  <c r="AI57" i="43"/>
  <c r="AJ57" i="43"/>
  <c r="AD58" i="43"/>
  <c r="AE58" i="43"/>
  <c r="AF58" i="43"/>
  <c r="AG58" i="43"/>
  <c r="AH58" i="43"/>
  <c r="AI58" i="43"/>
  <c r="AJ58" i="43"/>
  <c r="AG59" i="43"/>
  <c r="AH59" i="43"/>
  <c r="AI59" i="43"/>
  <c r="AJ59" i="43"/>
  <c r="AK59" i="43"/>
  <c r="AL59" i="43"/>
  <c r="AM59" i="43"/>
  <c r="AD60" i="43"/>
  <c r="AE60" i="43"/>
  <c r="AF60" i="43"/>
  <c r="AG60" i="43"/>
  <c r="AH60" i="43"/>
  <c r="AI60" i="43"/>
  <c r="AJ60" i="43"/>
  <c r="AK60" i="43"/>
  <c r="AL60" i="43"/>
  <c r="AM60" i="43"/>
  <c r="AG62" i="43"/>
  <c r="AH62" i="43"/>
  <c r="AI62" i="43"/>
  <c r="AJ62" i="43"/>
  <c r="AD63" i="43"/>
  <c r="AE63" i="43"/>
  <c r="AF63" i="43"/>
  <c r="AG63" i="43"/>
  <c r="AH63" i="43"/>
  <c r="AI63" i="43"/>
  <c r="AJ63" i="43"/>
  <c r="AG64" i="43"/>
  <c r="AH64" i="43"/>
  <c r="AI64" i="43"/>
  <c r="AJ64" i="43"/>
  <c r="AK64" i="43"/>
  <c r="AL64" i="43"/>
  <c r="AM64" i="43"/>
  <c r="AD65" i="43"/>
  <c r="AE65" i="43"/>
  <c r="AF65" i="43"/>
  <c r="AG65" i="43"/>
  <c r="AH65" i="43"/>
  <c r="AI65" i="43"/>
  <c r="AJ65" i="43"/>
  <c r="AK65" i="43"/>
  <c r="AL65" i="43"/>
  <c r="AM65" i="43"/>
  <c r="AG69" i="43"/>
  <c r="AH69" i="43"/>
  <c r="AI69" i="43"/>
  <c r="AJ69" i="43"/>
  <c r="AG70" i="43"/>
  <c r="AH70" i="43"/>
  <c r="AI70" i="43"/>
  <c r="AJ70" i="43"/>
  <c r="AK70" i="43"/>
  <c r="AG82" i="43"/>
  <c r="AH82" i="43"/>
  <c r="AI82" i="43"/>
  <c r="AJ82" i="43"/>
  <c r="AG83" i="43"/>
  <c r="AH83" i="43"/>
  <c r="AI83" i="43"/>
  <c r="AJ83" i="43"/>
  <c r="AK83" i="43"/>
  <c r="AG85" i="43"/>
  <c r="AH85" i="43"/>
  <c r="AI85" i="43"/>
  <c r="AJ85" i="43"/>
  <c r="AG86" i="43"/>
  <c r="AH86" i="43"/>
  <c r="AI86" i="43"/>
  <c r="AJ86" i="43"/>
  <c r="AG87" i="43"/>
  <c r="AH87" i="43"/>
  <c r="AI87" i="43"/>
  <c r="AJ87" i="43"/>
  <c r="AD91" i="43"/>
  <c r="AE91" i="43"/>
  <c r="AF91" i="43"/>
  <c r="AG91" i="43"/>
  <c r="AH91" i="43"/>
  <c r="AI91" i="43"/>
  <c r="AJ91" i="43"/>
  <c r="AE94" i="43"/>
  <c r="AF94" i="43"/>
  <c r="AG94" i="43"/>
  <c r="AH94" i="43"/>
  <c r="AI94" i="43"/>
  <c r="AJ94" i="43"/>
  <c r="AE95" i="43"/>
  <c r="AF95" i="43"/>
  <c r="AG95" i="43"/>
  <c r="AH95" i="43"/>
  <c r="AI95" i="43"/>
  <c r="AJ95" i="43"/>
  <c r="AD96" i="43"/>
  <c r="AE96" i="43"/>
  <c r="AF96" i="43"/>
  <c r="AG96" i="43"/>
  <c r="AH96" i="43"/>
  <c r="AI96" i="43"/>
  <c r="AJ96" i="43"/>
  <c r="AD98" i="43"/>
  <c r="AE98" i="43"/>
  <c r="AF98" i="43"/>
  <c r="AG98" i="43"/>
  <c r="AH98" i="43"/>
  <c r="AI98" i="43"/>
  <c r="AJ98" i="43"/>
  <c r="AD99" i="43"/>
  <c r="AE99" i="43"/>
  <c r="AF99" i="43"/>
  <c r="AG99" i="43"/>
  <c r="AH99" i="43"/>
  <c r="AI99" i="43"/>
  <c r="AJ99" i="43"/>
  <c r="AD100" i="43"/>
  <c r="AE100" i="43"/>
  <c r="AF100" i="43"/>
  <c r="AG100" i="43"/>
  <c r="AH100" i="43"/>
  <c r="AI100" i="43"/>
  <c r="AJ100" i="43"/>
  <c r="AG104" i="43"/>
  <c r="AH104" i="43"/>
  <c r="AI104" i="43"/>
  <c r="AJ104" i="43"/>
  <c r="AK104" i="43"/>
  <c r="AL104" i="43"/>
  <c r="AM104" i="43"/>
  <c r="AG105" i="43"/>
  <c r="AH105" i="43"/>
  <c r="AI105" i="43"/>
  <c r="AJ105" i="43"/>
  <c r="AK105" i="43"/>
  <c r="AL105" i="43"/>
  <c r="AM105" i="43"/>
  <c r="AG107" i="43"/>
  <c r="AH107" i="43"/>
  <c r="AI107" i="43"/>
  <c r="AJ107" i="43"/>
  <c r="AK107" i="43"/>
  <c r="AL107" i="43"/>
  <c r="AM107" i="43"/>
  <c r="AG108" i="43"/>
  <c r="AH108" i="43"/>
  <c r="AI108" i="43"/>
  <c r="AJ108" i="43"/>
  <c r="AG109" i="43"/>
  <c r="AH109" i="43"/>
  <c r="AI109" i="43"/>
  <c r="AJ109" i="43"/>
  <c r="AG110" i="43"/>
  <c r="AH110" i="43"/>
  <c r="AI110" i="43"/>
  <c r="AJ110" i="43"/>
  <c r="AG111" i="43"/>
  <c r="AH111" i="43"/>
  <c r="AI111" i="43"/>
  <c r="AJ111" i="43"/>
  <c r="AK111" i="43"/>
  <c r="AL111" i="43"/>
  <c r="AM111" i="43"/>
  <c r="AG113" i="43"/>
  <c r="AH113" i="43"/>
  <c r="AI113" i="43"/>
  <c r="AJ113" i="43"/>
  <c r="AG122" i="43"/>
  <c r="AH122" i="43"/>
  <c r="AI122" i="43"/>
  <c r="AJ122" i="43"/>
  <c r="AK122" i="43"/>
  <c r="AL122" i="43"/>
  <c r="AM122" i="43"/>
  <c r="AG123" i="43"/>
  <c r="AH123" i="43"/>
  <c r="AI123" i="43"/>
  <c r="AJ123" i="43"/>
  <c r="AK123" i="43"/>
  <c r="AL123" i="43"/>
  <c r="AM123" i="43"/>
  <c r="AG124" i="43"/>
  <c r="AH124" i="43"/>
  <c r="AI124" i="43"/>
  <c r="AJ124" i="43"/>
  <c r="AK124" i="43"/>
  <c r="AL124" i="43"/>
  <c r="AM124" i="43"/>
  <c r="AH129" i="43"/>
  <c r="AI129" i="43"/>
  <c r="AJ129" i="43"/>
  <c r="AK129" i="43"/>
  <c r="AL129" i="43"/>
  <c r="AM129" i="43"/>
  <c r="AH131" i="43"/>
  <c r="AI131" i="43"/>
  <c r="AJ131" i="43"/>
  <c r="AK131" i="43"/>
  <c r="AL131" i="43"/>
  <c r="AM131" i="43"/>
  <c r="AG132" i="43"/>
  <c r="AH132" i="43"/>
  <c r="AI132" i="43"/>
  <c r="AJ132" i="43"/>
  <c r="AG133" i="43"/>
  <c r="AH133" i="43"/>
  <c r="AI133" i="43"/>
  <c r="AJ133" i="43"/>
  <c r="AK133" i="43"/>
  <c r="AL133" i="43"/>
  <c r="AM133" i="43"/>
  <c r="AH143" i="43"/>
  <c r="AI143" i="43"/>
  <c r="AJ143" i="43"/>
  <c r="AK143" i="43"/>
  <c r="AL143" i="43"/>
  <c r="AM143" i="43"/>
  <c r="AG144" i="43"/>
  <c r="AH144" i="43"/>
  <c r="AI144" i="43"/>
  <c r="AJ144" i="43"/>
  <c r="AG145" i="43"/>
  <c r="AH145" i="43"/>
  <c r="AI145" i="43"/>
  <c r="AJ145" i="43"/>
  <c r="AH146" i="43"/>
  <c r="AI146" i="43"/>
  <c r="AJ146" i="43"/>
  <c r="AK146" i="43"/>
  <c r="AL146" i="43"/>
  <c r="AM146" i="43"/>
  <c r="AG148" i="43"/>
  <c r="AH148" i="43"/>
  <c r="AI148" i="43"/>
  <c r="AJ148" i="43"/>
  <c r="AH149" i="43"/>
  <c r="AI149" i="43"/>
  <c r="AJ149" i="43"/>
  <c r="AK149" i="43"/>
  <c r="AL149" i="43"/>
  <c r="AM149" i="43"/>
  <c r="AG150" i="43"/>
  <c r="AH150" i="43"/>
  <c r="AI150" i="43"/>
  <c r="AJ150" i="43"/>
  <c r="AG151" i="43"/>
  <c r="AH151" i="43"/>
  <c r="AI151" i="43"/>
  <c r="AJ151" i="43"/>
  <c r="AK151" i="43"/>
  <c r="AL151" i="43"/>
  <c r="AM151" i="43"/>
  <c r="AG154" i="43"/>
  <c r="AH154" i="43"/>
  <c r="AI154" i="43"/>
  <c r="AJ154" i="43"/>
  <c r="AK154" i="43"/>
  <c r="AL154" i="43"/>
  <c r="AM154" i="43"/>
  <c r="AG156" i="43"/>
  <c r="AH156" i="43"/>
  <c r="AI156" i="43"/>
  <c r="AJ156" i="43"/>
  <c r="AK156" i="43"/>
  <c r="AL156" i="43"/>
  <c r="AM156" i="43"/>
  <c r="AG158" i="43"/>
  <c r="AH158" i="43"/>
  <c r="AI158" i="43"/>
  <c r="AJ158" i="43"/>
  <c r="AK158" i="43"/>
  <c r="AL158" i="43"/>
  <c r="AM158" i="43"/>
  <c r="AG160" i="43"/>
  <c r="AH160" i="43"/>
  <c r="AI160" i="43"/>
  <c r="AJ160" i="43"/>
  <c r="AG163" i="43"/>
  <c r="AH163" i="43"/>
  <c r="AI163" i="43"/>
  <c r="AJ163" i="43"/>
  <c r="AG164" i="43"/>
  <c r="AH164" i="43"/>
  <c r="AI164" i="43"/>
  <c r="AJ164" i="43"/>
  <c r="AG167" i="43"/>
  <c r="AH167" i="43"/>
  <c r="AI167" i="43"/>
  <c r="AJ167" i="43"/>
  <c r="AG168" i="43"/>
  <c r="AH168" i="43"/>
  <c r="AI168" i="43"/>
  <c r="AJ168" i="43"/>
  <c r="AG180" i="43"/>
  <c r="AH180" i="43"/>
  <c r="AI180" i="43"/>
  <c r="AJ180" i="43"/>
  <c r="AG186" i="43"/>
  <c r="AH186" i="43"/>
  <c r="AI186" i="43"/>
  <c r="AJ186" i="43"/>
  <c r="AD204" i="43"/>
  <c r="AE204" i="43"/>
  <c r="AF204" i="43"/>
  <c r="AG204" i="43"/>
  <c r="AH204" i="43"/>
  <c r="AI204" i="43"/>
  <c r="AJ204" i="43"/>
  <c r="AK204" i="43"/>
  <c r="AL204" i="43"/>
  <c r="AM204" i="43"/>
  <c r="AO204" i="43"/>
  <c r="AD205" i="43"/>
  <c r="AE205" i="43"/>
  <c r="AF205" i="43"/>
  <c r="AG205" i="43"/>
  <c r="AH205" i="43"/>
  <c r="AI205" i="43"/>
  <c r="AJ205" i="43"/>
  <c r="AK205" i="43"/>
  <c r="AL205" i="43"/>
  <c r="AM205" i="43"/>
  <c r="AD206" i="43"/>
  <c r="AE206" i="43"/>
  <c r="AF206" i="43"/>
  <c r="AG206" i="43"/>
  <c r="AH206" i="43"/>
  <c r="AI206" i="43"/>
  <c r="AJ206" i="43"/>
  <c r="AK206" i="43"/>
  <c r="AL206" i="43"/>
  <c r="AM206" i="43"/>
  <c r="AO206" i="43"/>
  <c r="AC207" i="43"/>
  <c r="AD207" i="43"/>
  <c r="AE207" i="43"/>
  <c r="AF207" i="43"/>
  <c r="AG207" i="43"/>
  <c r="AH207" i="43"/>
  <c r="AI207" i="43"/>
  <c r="AJ207" i="43"/>
  <c r="AK207" i="43"/>
  <c r="AL207" i="43"/>
  <c r="AM207" i="43"/>
  <c r="AC209" i="43"/>
  <c r="AD209" i="43"/>
  <c r="AE209" i="43"/>
  <c r="AF209" i="43"/>
  <c r="AG209" i="43"/>
  <c r="AH209" i="43"/>
  <c r="AI209" i="43"/>
  <c r="AJ209" i="43"/>
  <c r="AK209" i="43"/>
  <c r="AL209" i="43"/>
  <c r="AM209" i="43"/>
  <c r="AE210" i="43"/>
  <c r="AF210" i="43"/>
  <c r="AG210" i="43"/>
  <c r="AH210" i="43"/>
  <c r="AI210" i="43"/>
  <c r="AJ210" i="43"/>
  <c r="AK210" i="43"/>
  <c r="AL210" i="43"/>
  <c r="AM210" i="43"/>
  <c r="AC215" i="43"/>
  <c r="AD215" i="43"/>
  <c r="AE215" i="43"/>
  <c r="AF215" i="43"/>
  <c r="AG215" i="43"/>
  <c r="AH215" i="43"/>
  <c r="AI215" i="43"/>
  <c r="AJ215" i="43"/>
  <c r="AK215" i="43"/>
  <c r="AL215" i="43"/>
  <c r="AM215" i="43"/>
  <c r="AB217" i="43"/>
  <c r="AC217" i="43"/>
  <c r="AD217" i="43"/>
  <c r="AE217" i="43"/>
  <c r="AF217" i="43"/>
  <c r="AG217" i="43"/>
  <c r="AH217" i="43"/>
  <c r="AI217" i="43"/>
  <c r="AJ217" i="43"/>
  <c r="AK217" i="43"/>
  <c r="AL217" i="43"/>
  <c r="AM217" i="43"/>
  <c r="AB218" i="43"/>
  <c r="AC218" i="43"/>
  <c r="AD218" i="43"/>
  <c r="AE218" i="43"/>
  <c r="AF218" i="43"/>
  <c r="AG218" i="43"/>
  <c r="AH218" i="43"/>
  <c r="AI218" i="43"/>
  <c r="AJ218" i="43"/>
  <c r="AK218" i="43"/>
  <c r="AL218" i="43"/>
  <c r="AM218" i="43"/>
  <c r="AB219" i="43"/>
  <c r="AC219" i="43"/>
  <c r="AD219" i="43"/>
  <c r="AE219" i="43"/>
  <c r="AF219" i="43"/>
  <c r="AG219" i="43"/>
  <c r="AH219" i="43"/>
  <c r="AI219" i="43"/>
  <c r="AJ219" i="43"/>
  <c r="AK219" i="43"/>
  <c r="AL219" i="43"/>
  <c r="AM219" i="43"/>
  <c r="AB221" i="43"/>
  <c r="AC221" i="43"/>
  <c r="AD221" i="43"/>
  <c r="AE221" i="43"/>
  <c r="AF221" i="43"/>
  <c r="AG221" i="43"/>
  <c r="AH221" i="43"/>
  <c r="AI221" i="43"/>
  <c r="AJ221" i="43"/>
  <c r="AK221" i="43"/>
  <c r="AL221" i="43"/>
  <c r="AM221" i="43"/>
  <c r="AB223" i="43"/>
  <c r="AC223" i="43"/>
  <c r="AD223" i="43"/>
  <c r="AE223" i="43"/>
  <c r="AF223" i="43"/>
  <c r="AG223" i="43"/>
  <c r="AH223" i="43"/>
  <c r="AI223" i="43"/>
  <c r="AJ223" i="43"/>
  <c r="AK223" i="43"/>
  <c r="AL223" i="43"/>
  <c r="AM223" i="43"/>
  <c r="AB225" i="43"/>
  <c r="AC225" i="43"/>
  <c r="AD225" i="43"/>
  <c r="AE225" i="43"/>
  <c r="AF225" i="43"/>
  <c r="AG225" i="43"/>
  <c r="AH225" i="43"/>
  <c r="AI225" i="43"/>
  <c r="AJ225" i="43"/>
  <c r="AK225" i="43"/>
  <c r="AL225" i="43"/>
  <c r="AM225" i="43"/>
  <c r="AB227" i="43"/>
  <c r="AC227" i="43"/>
  <c r="AD227" i="43"/>
  <c r="AE227" i="43"/>
  <c r="AF227" i="43"/>
  <c r="AG227" i="43"/>
  <c r="AH227" i="43"/>
  <c r="AI227" i="43"/>
  <c r="AJ227" i="43"/>
  <c r="AK227" i="43"/>
  <c r="AL227" i="43"/>
  <c r="AM227" i="43"/>
  <c r="AC229" i="43"/>
  <c r="AD229" i="43"/>
  <c r="AE229" i="43"/>
  <c r="AF229" i="43"/>
  <c r="AG229" i="43"/>
  <c r="AH229" i="43"/>
  <c r="AI229" i="43"/>
  <c r="AJ229" i="43"/>
  <c r="AK229" i="43"/>
  <c r="AL229" i="43"/>
  <c r="AM229" i="43"/>
  <c r="AB230" i="43"/>
  <c r="AC230" i="43"/>
  <c r="AD230" i="43"/>
  <c r="AE230" i="43"/>
  <c r="AF230" i="43"/>
  <c r="AG230" i="43"/>
  <c r="AH230" i="43"/>
  <c r="AI230" i="43"/>
  <c r="AJ230" i="43"/>
  <c r="AK230" i="43"/>
  <c r="AL230" i="43"/>
  <c r="AM230" i="43"/>
  <c r="AB231" i="43"/>
  <c r="AC231" i="43"/>
  <c r="AD231" i="43"/>
  <c r="AE231" i="43"/>
  <c r="AF231" i="43"/>
  <c r="AG231" i="43"/>
  <c r="AH231" i="43"/>
  <c r="AI231" i="43"/>
  <c r="AJ231" i="43"/>
  <c r="AK231" i="43"/>
  <c r="AL231" i="43"/>
  <c r="AM231" i="43"/>
  <c r="AB235" i="43"/>
  <c r="AC235" i="43"/>
  <c r="AD235" i="43"/>
  <c r="AE235" i="43"/>
  <c r="AF235" i="43"/>
  <c r="AG235" i="43"/>
  <c r="AH235" i="43"/>
  <c r="AI235" i="43"/>
  <c r="AJ235" i="43"/>
  <c r="AK235" i="43"/>
  <c r="AL235" i="43"/>
  <c r="AM235" i="43"/>
  <c r="AE236" i="43"/>
  <c r="AF236" i="43"/>
  <c r="AG236" i="43"/>
  <c r="AH236" i="43"/>
  <c r="AI236" i="43"/>
  <c r="AJ236" i="43"/>
  <c r="AK236" i="43"/>
  <c r="AL236" i="43"/>
  <c r="AM236" i="43"/>
  <c r="AB238" i="43"/>
  <c r="AC238" i="43"/>
  <c r="AD238" i="43"/>
  <c r="AE238" i="43"/>
  <c r="AF238" i="43"/>
  <c r="AG238" i="43"/>
  <c r="AH238" i="43"/>
  <c r="AI238" i="43"/>
  <c r="AJ238" i="43"/>
  <c r="AK238" i="43"/>
  <c r="AL238" i="43"/>
  <c r="AM238" i="43"/>
  <c r="AB241" i="43"/>
  <c r="AC241" i="43"/>
  <c r="AD241" i="43"/>
  <c r="AE241" i="43"/>
  <c r="AF241" i="43"/>
  <c r="AG241" i="43"/>
  <c r="AH241" i="43"/>
  <c r="AI241" i="43"/>
  <c r="AJ241" i="43"/>
  <c r="AK241" i="43"/>
  <c r="AL241" i="43"/>
  <c r="AM241" i="43"/>
  <c r="AG242" i="43"/>
  <c r="AH242" i="43"/>
  <c r="AI242" i="43"/>
  <c r="AJ242" i="43"/>
  <c r="AK242" i="43"/>
  <c r="AL242" i="43"/>
  <c r="AM242" i="43"/>
  <c r="AD243" i="43"/>
  <c r="AE243" i="43"/>
  <c r="AF243" i="43"/>
  <c r="AG243" i="43"/>
  <c r="AH243" i="43"/>
  <c r="AI243" i="43"/>
  <c r="AJ243" i="43"/>
  <c r="AK243" i="43"/>
  <c r="AL243" i="43"/>
  <c r="AM243" i="43"/>
  <c r="AB244" i="43"/>
  <c r="AC244" i="43"/>
  <c r="AD244" i="43"/>
  <c r="AE244" i="43"/>
  <c r="AF244" i="43"/>
  <c r="AG244" i="43"/>
  <c r="AH244" i="43"/>
  <c r="AI244" i="43"/>
  <c r="AJ244" i="43"/>
  <c r="AK244" i="43"/>
  <c r="AL244" i="43"/>
  <c r="AM244" i="43"/>
  <c r="AB245" i="43"/>
  <c r="AC245" i="43"/>
  <c r="AD245" i="43"/>
  <c r="AE245" i="43"/>
  <c r="AF245" i="43"/>
  <c r="AG245" i="43"/>
  <c r="AH245" i="43"/>
  <c r="AI245" i="43"/>
  <c r="AJ245" i="43"/>
  <c r="AK245" i="43"/>
  <c r="AL245" i="43"/>
  <c r="AM245" i="43"/>
  <c r="AB247" i="43"/>
  <c r="AC247" i="43"/>
  <c r="AD247" i="43"/>
  <c r="AE247" i="43"/>
  <c r="AF247" i="43"/>
  <c r="AG247" i="43"/>
  <c r="AH247" i="43"/>
  <c r="AI247" i="43"/>
  <c r="AJ247" i="43"/>
  <c r="AK247" i="43"/>
  <c r="AL247" i="43"/>
  <c r="AM247" i="43"/>
  <c r="AH250" i="43"/>
  <c r="AI250" i="43"/>
  <c r="AJ250" i="43"/>
  <c r="AK250" i="43"/>
  <c r="AL250" i="43"/>
  <c r="AM250" i="43"/>
  <c r="AB251" i="43"/>
  <c r="AC251" i="43"/>
  <c r="AD251" i="43"/>
  <c r="AE251" i="43"/>
  <c r="AF251" i="43"/>
  <c r="AG251" i="43"/>
  <c r="AH251" i="43"/>
  <c r="AI251" i="43"/>
  <c r="AJ251" i="43"/>
  <c r="AK251" i="43"/>
  <c r="AL251" i="43"/>
  <c r="AM251" i="43"/>
  <c r="AB253" i="43"/>
  <c r="AC253" i="43"/>
  <c r="AD253" i="43"/>
  <c r="AE253" i="43"/>
  <c r="AF253" i="43"/>
  <c r="AG253" i="43"/>
  <c r="AH253" i="43"/>
  <c r="AI253" i="43"/>
  <c r="AJ253" i="43"/>
  <c r="AK253" i="43"/>
  <c r="AL253" i="43"/>
  <c r="AM253" i="43"/>
  <c r="AB260" i="43"/>
  <c r="AC260" i="43"/>
  <c r="AD260" i="43"/>
  <c r="AE260" i="43"/>
  <c r="AF260" i="43"/>
  <c r="AG260" i="43"/>
  <c r="AH260" i="43"/>
  <c r="AI260" i="43"/>
  <c r="AJ260" i="43"/>
  <c r="AK260" i="43"/>
  <c r="AL260" i="43"/>
  <c r="AM260" i="43"/>
  <c r="AB263" i="43"/>
  <c r="AC263" i="43"/>
  <c r="AD263" i="43"/>
  <c r="AE263" i="43"/>
  <c r="AF263" i="43"/>
  <c r="AG263" i="43"/>
  <c r="AH263" i="43"/>
  <c r="AI263" i="43"/>
  <c r="AJ263" i="43"/>
  <c r="AK263" i="43"/>
  <c r="AL263" i="43"/>
  <c r="AM263" i="43"/>
  <c r="AB267" i="43"/>
  <c r="AC267" i="43"/>
  <c r="AD267" i="43"/>
  <c r="AE267" i="43"/>
  <c r="AF267" i="43"/>
  <c r="AG267" i="43"/>
  <c r="AH267" i="43"/>
  <c r="AI267" i="43"/>
  <c r="AJ267" i="43"/>
  <c r="AK267" i="43"/>
  <c r="AL267" i="43"/>
  <c r="AM267" i="43"/>
  <c r="AD268" i="43"/>
  <c r="AE268" i="43"/>
  <c r="AF268" i="43"/>
  <c r="AG268" i="43"/>
  <c r="AH268" i="43"/>
  <c r="AI268" i="43"/>
  <c r="AJ268" i="43"/>
  <c r="AK268" i="43"/>
  <c r="AL268" i="43"/>
  <c r="AM268" i="43"/>
  <c r="AD269" i="43"/>
  <c r="AE269" i="43"/>
  <c r="AF269" i="43"/>
  <c r="AG269" i="43"/>
  <c r="AH269" i="43"/>
  <c r="AI269" i="43"/>
  <c r="AJ269" i="43"/>
  <c r="AK269" i="43"/>
  <c r="AL269" i="43"/>
  <c r="AM269" i="43"/>
  <c r="AG270" i="43"/>
  <c r="AH270" i="43"/>
  <c r="AI270" i="43"/>
  <c r="AJ270" i="43"/>
  <c r="AK270" i="43"/>
  <c r="AL270" i="43"/>
  <c r="AM270" i="43"/>
  <c r="AD271" i="43"/>
  <c r="AE271" i="43"/>
  <c r="AF271" i="43"/>
  <c r="AG271" i="43"/>
  <c r="AH271" i="43"/>
  <c r="AI271" i="43"/>
  <c r="AJ271" i="43"/>
  <c r="AK271" i="43"/>
  <c r="AL271" i="43"/>
  <c r="AM271" i="43"/>
  <c r="AG272" i="43"/>
  <c r="AH272" i="43"/>
  <c r="AI272" i="43"/>
  <c r="AJ272" i="43"/>
  <c r="AK272" i="43"/>
  <c r="AL272" i="43"/>
  <c r="AM272" i="43"/>
  <c r="AD273" i="43"/>
  <c r="AE273" i="43"/>
  <c r="AF273" i="43"/>
  <c r="AG273" i="43"/>
  <c r="AH273" i="43"/>
  <c r="AI273" i="43"/>
  <c r="AJ273" i="43"/>
  <c r="AK273" i="43"/>
  <c r="AL273" i="43"/>
  <c r="AM273" i="43"/>
  <c r="AB274" i="43"/>
  <c r="AC274" i="43"/>
  <c r="AD274" i="43"/>
  <c r="AE274" i="43"/>
  <c r="AF274" i="43"/>
  <c r="AG274" i="43"/>
  <c r="AH274" i="43"/>
  <c r="AI274" i="43"/>
  <c r="AJ274" i="43"/>
  <c r="AK274" i="43"/>
  <c r="AL274" i="43"/>
  <c r="AM274" i="43"/>
  <c r="AD275" i="43"/>
  <c r="AE275" i="43"/>
  <c r="AF275" i="43"/>
  <c r="AG275" i="43"/>
  <c r="AH275" i="43"/>
  <c r="AI275" i="43"/>
  <c r="AJ275" i="43"/>
  <c r="AK275" i="43"/>
  <c r="AL275" i="43"/>
  <c r="AM275" i="43"/>
  <c r="AD280" i="43"/>
  <c r="AE280" i="43"/>
  <c r="AF280" i="43"/>
  <c r="AG280" i="43"/>
  <c r="AH280" i="43"/>
  <c r="AI280" i="43"/>
  <c r="AJ280" i="43"/>
  <c r="AK280" i="43"/>
  <c r="AL280" i="43"/>
  <c r="AM280" i="43"/>
  <c r="AB282" i="43"/>
  <c r="AC282" i="43"/>
  <c r="AD282" i="43"/>
  <c r="AE282" i="43"/>
  <c r="AF282" i="43"/>
  <c r="AG282" i="43"/>
  <c r="AH282" i="43"/>
  <c r="AI282" i="43"/>
  <c r="AJ282" i="43"/>
  <c r="AK282" i="43"/>
  <c r="AL282" i="43"/>
  <c r="AM282" i="43"/>
  <c r="AD290" i="43"/>
  <c r="AE290" i="43"/>
  <c r="AF290" i="43"/>
  <c r="AG290" i="43"/>
  <c r="AH290" i="43"/>
  <c r="AI290" i="43"/>
  <c r="AJ290" i="43"/>
  <c r="AK290" i="43"/>
  <c r="AL290" i="43"/>
  <c r="AM290" i="43"/>
  <c r="AB292" i="43"/>
  <c r="AC292" i="43"/>
  <c r="AD292" i="43"/>
  <c r="AE292" i="43"/>
  <c r="AF292" i="43"/>
  <c r="AG292" i="43"/>
  <c r="AH292" i="43"/>
  <c r="AI292" i="43"/>
  <c r="AJ292" i="43"/>
  <c r="AK292" i="43"/>
  <c r="AL292" i="43"/>
  <c r="AM292" i="43"/>
  <c r="AD293" i="43"/>
  <c r="AE293" i="43"/>
  <c r="AF293" i="43"/>
  <c r="AG293" i="43"/>
  <c r="AH293" i="43"/>
  <c r="AI293" i="43"/>
  <c r="AJ293" i="43"/>
  <c r="AK293" i="43"/>
  <c r="AL293" i="43"/>
  <c r="AM293" i="43"/>
  <c r="AB295" i="43"/>
  <c r="AC295" i="43"/>
  <c r="AD295" i="43"/>
  <c r="AE295" i="43"/>
  <c r="AF295" i="43"/>
  <c r="AG295" i="43"/>
  <c r="AH295" i="43"/>
  <c r="AI295" i="43"/>
  <c r="AJ295" i="43"/>
  <c r="AK295" i="43"/>
  <c r="AL295" i="43"/>
  <c r="AM295" i="43"/>
  <c r="AC296" i="43"/>
  <c r="AD296" i="43"/>
  <c r="AE296" i="43"/>
  <c r="AF296" i="43"/>
  <c r="AG296" i="43"/>
  <c r="AH296" i="43"/>
  <c r="AI296" i="43"/>
  <c r="AJ296" i="43"/>
  <c r="AK296" i="43"/>
  <c r="AL296" i="43"/>
  <c r="AM296" i="43"/>
  <c r="AB298" i="43"/>
  <c r="AC298" i="43"/>
  <c r="AD298" i="43"/>
  <c r="AE298" i="43"/>
  <c r="AF298" i="43"/>
  <c r="AG298" i="43"/>
  <c r="AH298" i="43"/>
  <c r="AI298" i="43"/>
  <c r="AJ298" i="43"/>
  <c r="AK298" i="43"/>
  <c r="AL298" i="43"/>
  <c r="AM298" i="43"/>
  <c r="AB299" i="43"/>
  <c r="AC299" i="43"/>
  <c r="AD299" i="43"/>
  <c r="AE299" i="43"/>
  <c r="AF299" i="43"/>
  <c r="AG299" i="43"/>
  <c r="AH299" i="43"/>
  <c r="AI299" i="43"/>
  <c r="AJ299" i="43"/>
  <c r="AK299" i="43"/>
  <c r="AL299" i="43"/>
  <c r="AM299" i="43"/>
  <c r="AB300" i="43"/>
  <c r="AC300" i="43"/>
  <c r="AD300" i="43"/>
  <c r="AE300" i="43"/>
  <c r="AF300" i="43"/>
  <c r="AG300" i="43"/>
  <c r="AH300" i="43"/>
  <c r="AI300" i="43"/>
  <c r="AJ300" i="43"/>
  <c r="AK300" i="43"/>
  <c r="AL300" i="43"/>
  <c r="AM300" i="43"/>
  <c r="AB301" i="43"/>
  <c r="AC301" i="43"/>
  <c r="AD301" i="43"/>
  <c r="AE301" i="43"/>
  <c r="AF301" i="43"/>
  <c r="AG301" i="43"/>
  <c r="AH301" i="43"/>
  <c r="AI301" i="43"/>
  <c r="AJ301" i="43"/>
  <c r="AK301" i="43"/>
  <c r="AL301" i="43"/>
  <c r="AM301" i="43"/>
  <c r="AD303" i="43"/>
  <c r="AE303" i="43"/>
  <c r="AF303" i="43"/>
  <c r="AG303" i="43"/>
  <c r="AH303" i="43"/>
  <c r="AI303" i="43"/>
  <c r="AJ303" i="43"/>
  <c r="AK303" i="43"/>
  <c r="AL303" i="43"/>
  <c r="AM303" i="43"/>
  <c r="AD305" i="43"/>
  <c r="AE305" i="43"/>
  <c r="AF305" i="43"/>
  <c r="AG305" i="43"/>
  <c r="AH305" i="43"/>
  <c r="AI305" i="43"/>
  <c r="AJ305" i="43"/>
  <c r="AK305" i="43"/>
  <c r="AL305" i="43"/>
  <c r="AM305" i="43"/>
  <c r="AD306" i="43"/>
  <c r="AE306" i="43"/>
  <c r="AF306" i="43"/>
  <c r="AG306" i="43"/>
  <c r="AH306" i="43"/>
  <c r="AI306" i="43"/>
  <c r="AJ306" i="43"/>
  <c r="AK306" i="43"/>
  <c r="AL306" i="43"/>
  <c r="AM306" i="43"/>
  <c r="AC310" i="43"/>
  <c r="AD310" i="43"/>
  <c r="AE310" i="43"/>
  <c r="AF310" i="43"/>
  <c r="AG310" i="43"/>
  <c r="AH310" i="43"/>
  <c r="AI310" i="43"/>
  <c r="AJ310" i="43"/>
  <c r="AK310" i="43"/>
  <c r="AL310" i="43"/>
  <c r="AM310" i="43"/>
  <c r="AO310" i="43"/>
  <c r="AB312" i="43"/>
  <c r="AC312" i="43"/>
  <c r="AD312" i="43"/>
  <c r="AE312" i="43"/>
  <c r="AF312" i="43"/>
  <c r="AG312" i="43"/>
  <c r="AH312" i="43"/>
  <c r="AI312" i="43"/>
  <c r="AJ312" i="43"/>
  <c r="AK312" i="43"/>
  <c r="AL312" i="43"/>
  <c r="AM312" i="43"/>
  <c r="AD314" i="43"/>
  <c r="AE314" i="43"/>
  <c r="AF314" i="43"/>
  <c r="AG314" i="43"/>
  <c r="AH314" i="43"/>
  <c r="AI314" i="43"/>
  <c r="AJ314" i="43"/>
  <c r="AK314" i="43"/>
  <c r="AL314" i="43"/>
  <c r="AM314" i="43"/>
  <c r="AC315" i="43"/>
  <c r="AD315" i="43"/>
  <c r="AE315" i="43"/>
  <c r="AF315" i="43"/>
  <c r="AG315" i="43"/>
  <c r="AH315" i="43"/>
  <c r="AI315" i="43"/>
  <c r="AJ315" i="43"/>
  <c r="AK315" i="43"/>
  <c r="AL315" i="43"/>
  <c r="AM315" i="43"/>
  <c r="AC318" i="43"/>
  <c r="AD318" i="43"/>
  <c r="AE318" i="43"/>
  <c r="AF318" i="43"/>
  <c r="AG318" i="43"/>
  <c r="AH318" i="43"/>
  <c r="AI318" i="43"/>
  <c r="AJ318" i="43"/>
  <c r="AK318" i="43"/>
  <c r="AL318" i="43"/>
  <c r="AM318" i="43"/>
  <c r="AC319" i="43"/>
  <c r="AD319" i="43"/>
  <c r="AE319" i="43"/>
  <c r="AF319" i="43"/>
  <c r="AG319" i="43"/>
  <c r="AH319" i="43"/>
  <c r="AI319" i="43"/>
  <c r="AJ319" i="43"/>
  <c r="AK319" i="43"/>
  <c r="AL319" i="43"/>
  <c r="AM319" i="43"/>
  <c r="AC320" i="43"/>
  <c r="AD320" i="43"/>
  <c r="AE320" i="43"/>
  <c r="AF320" i="43"/>
  <c r="AG320" i="43"/>
  <c r="AH320" i="43"/>
  <c r="AI320" i="43"/>
  <c r="AJ320" i="43"/>
  <c r="AK320" i="43"/>
  <c r="AL320" i="43"/>
  <c r="AM320" i="43"/>
  <c r="AC321" i="43"/>
  <c r="AD321" i="43"/>
  <c r="AE321" i="43"/>
  <c r="AF321" i="43"/>
  <c r="AG321" i="43"/>
  <c r="AH321" i="43"/>
  <c r="AI321" i="43"/>
  <c r="AJ321" i="43"/>
  <c r="AK321" i="43"/>
  <c r="AL321" i="43"/>
  <c r="AM321" i="43"/>
  <c r="AD329" i="43"/>
  <c r="AE329" i="43"/>
  <c r="AF329" i="43"/>
  <c r="AG329" i="43"/>
  <c r="AH329" i="43"/>
  <c r="AI329" i="43"/>
  <c r="AJ329" i="43"/>
  <c r="AK329" i="43"/>
  <c r="AL329" i="43"/>
  <c r="AM329" i="43"/>
  <c r="AC330" i="43"/>
  <c r="AD330" i="43"/>
  <c r="AE330" i="43"/>
  <c r="AF330" i="43"/>
  <c r="AG330" i="43"/>
  <c r="AH330" i="43"/>
  <c r="AI330" i="43"/>
  <c r="AJ330" i="43"/>
  <c r="AK330" i="43"/>
  <c r="AL330" i="43"/>
  <c r="AM330" i="43"/>
  <c r="AC333" i="43"/>
  <c r="AD333" i="43"/>
  <c r="AE333" i="43"/>
  <c r="AF333" i="43"/>
  <c r="AG333" i="43"/>
  <c r="AH333" i="43"/>
  <c r="AI333" i="43"/>
  <c r="AJ333" i="43"/>
  <c r="AK333" i="43"/>
  <c r="AL333" i="43"/>
  <c r="AM333" i="43"/>
  <c r="AC334" i="43"/>
  <c r="AD334" i="43"/>
  <c r="AE334" i="43"/>
  <c r="AF334" i="43"/>
  <c r="AG334" i="43"/>
  <c r="AH334" i="43"/>
  <c r="AI334" i="43"/>
  <c r="AJ334" i="43"/>
  <c r="AK334" i="43"/>
  <c r="AL334" i="43"/>
  <c r="AM334" i="43"/>
  <c r="AC335" i="43"/>
  <c r="AD335" i="43"/>
  <c r="AE335" i="43"/>
  <c r="AF335" i="43"/>
  <c r="AG335" i="43"/>
  <c r="AH335" i="43"/>
  <c r="AI335" i="43"/>
  <c r="AJ335" i="43"/>
  <c r="AK335" i="43"/>
  <c r="AL335" i="43"/>
  <c r="AM335" i="43"/>
  <c r="AD343" i="43"/>
  <c r="AE343" i="43"/>
  <c r="AF343" i="43"/>
  <c r="AG343" i="43"/>
  <c r="AH343" i="43"/>
  <c r="AI343" i="43"/>
  <c r="AJ343" i="43"/>
  <c r="AK343" i="43"/>
  <c r="AL343" i="43"/>
  <c r="AM343" i="43"/>
  <c r="AC344" i="43"/>
  <c r="AD344" i="43"/>
  <c r="AE344" i="43"/>
  <c r="AF344" i="43"/>
  <c r="AG344" i="43"/>
  <c r="AH344" i="43"/>
  <c r="AI344" i="43"/>
  <c r="AJ344" i="43"/>
  <c r="AK344" i="43"/>
  <c r="AL344" i="43"/>
  <c r="AM344" i="43"/>
  <c r="AC346" i="43"/>
  <c r="AD346" i="43"/>
  <c r="AE346" i="43"/>
  <c r="AF346" i="43"/>
  <c r="AG346" i="43"/>
  <c r="AH346" i="43"/>
  <c r="AI346" i="43"/>
  <c r="AJ346" i="43"/>
  <c r="AK346" i="43"/>
  <c r="AL346" i="43"/>
  <c r="AM346" i="43"/>
  <c r="AD354" i="43"/>
  <c r="AE354" i="43"/>
  <c r="AF354" i="43"/>
  <c r="AG354" i="43"/>
  <c r="AH354" i="43"/>
  <c r="AI354" i="43"/>
  <c r="AJ354" i="43"/>
  <c r="AK354" i="43"/>
  <c r="AL354" i="43"/>
  <c r="AM354" i="43"/>
  <c r="AH355" i="43"/>
  <c r="AI355" i="43"/>
  <c r="AJ355" i="43"/>
  <c r="AK355" i="43"/>
  <c r="AL355" i="43"/>
  <c r="AM355" i="43"/>
  <c r="AB356" i="43"/>
  <c r="AC356" i="43"/>
  <c r="AD356" i="43"/>
  <c r="AE356" i="43"/>
  <c r="AF356" i="43"/>
  <c r="AG356" i="43"/>
  <c r="AH356" i="43"/>
  <c r="AI356" i="43"/>
  <c r="AJ356" i="43"/>
  <c r="AK356" i="43"/>
  <c r="AL356" i="43"/>
  <c r="AM356" i="43"/>
  <c r="AB357" i="43"/>
  <c r="AC357" i="43"/>
  <c r="AD357" i="43"/>
  <c r="AE357" i="43"/>
  <c r="AF357" i="43"/>
  <c r="AG357" i="43"/>
  <c r="AH357" i="43"/>
  <c r="AI357" i="43"/>
  <c r="AJ357" i="43"/>
  <c r="AK357" i="43"/>
  <c r="AL357" i="43"/>
  <c r="AM357" i="43"/>
  <c r="AC358" i="43"/>
  <c r="AD358" i="43"/>
  <c r="AE358" i="43"/>
  <c r="AF358" i="43"/>
  <c r="AG358" i="43"/>
  <c r="AH358" i="43"/>
  <c r="AI358" i="43"/>
  <c r="AJ358" i="43"/>
  <c r="AK358" i="43"/>
  <c r="AL358" i="43"/>
  <c r="AM358" i="43"/>
  <c r="AC359" i="43"/>
  <c r="AD359" i="43"/>
  <c r="AE359" i="43"/>
  <c r="AF359" i="43"/>
  <c r="AG359" i="43"/>
  <c r="AB360" i="43"/>
  <c r="AC360" i="43"/>
  <c r="AD360" i="43"/>
  <c r="AE360" i="43"/>
  <c r="AF360" i="43"/>
  <c r="AG360" i="43"/>
  <c r="AH360" i="43"/>
  <c r="AI360" i="43"/>
  <c r="AJ360" i="43"/>
  <c r="AK360" i="43"/>
  <c r="AL360" i="43"/>
  <c r="AM360" i="43"/>
  <c r="AC361" i="43"/>
  <c r="AD361" i="43"/>
  <c r="AE361" i="43"/>
  <c r="AF361" i="43"/>
  <c r="AG361" i="43"/>
  <c r="AH361" i="43"/>
  <c r="AI361" i="43"/>
  <c r="AJ361" i="43"/>
  <c r="AK361" i="43"/>
  <c r="AL361" i="43"/>
  <c r="AM361" i="43"/>
  <c r="AB362" i="43"/>
  <c r="AC362" i="43"/>
  <c r="AD362" i="43"/>
  <c r="AE362" i="43"/>
  <c r="AF362" i="43"/>
  <c r="AG362" i="43"/>
  <c r="AH362" i="43"/>
  <c r="AI362" i="43"/>
  <c r="AJ362" i="43"/>
  <c r="AK362" i="43"/>
  <c r="AL362" i="43"/>
  <c r="AM362" i="43"/>
  <c r="AD371" i="43"/>
  <c r="AE371" i="43"/>
  <c r="AF371" i="43"/>
  <c r="AG371" i="43"/>
  <c r="AH371" i="43"/>
  <c r="AI371" i="43"/>
  <c r="AJ371" i="43"/>
  <c r="AK371" i="43"/>
  <c r="AL371" i="43"/>
  <c r="AM371" i="43"/>
  <c r="AD372" i="43"/>
  <c r="AE372" i="43"/>
  <c r="AF372" i="43"/>
  <c r="AG372" i="43"/>
  <c r="AH372" i="43"/>
  <c r="AI372" i="43"/>
  <c r="AJ372" i="43"/>
  <c r="AK372" i="43"/>
  <c r="AL372" i="43"/>
  <c r="AM372" i="43"/>
  <c r="AD374" i="43"/>
  <c r="AE374" i="43"/>
  <c r="AF374" i="43"/>
  <c r="AG374" i="43"/>
  <c r="AH374" i="43"/>
  <c r="AI374" i="43"/>
  <c r="AJ374" i="43"/>
  <c r="AK374" i="43"/>
  <c r="AL374" i="43"/>
  <c r="AM374" i="43"/>
  <c r="AD375" i="43"/>
  <c r="AE375" i="43"/>
  <c r="AF375" i="43"/>
  <c r="AG375" i="43"/>
  <c r="AH375" i="43"/>
  <c r="AI375" i="43"/>
  <c r="AJ375" i="43"/>
  <c r="AK375" i="43"/>
  <c r="AL375" i="43"/>
  <c r="AM375" i="43"/>
  <c r="AG376" i="43"/>
  <c r="AH376" i="43"/>
  <c r="AI376" i="43"/>
  <c r="AJ376" i="43"/>
  <c r="AK376" i="43"/>
  <c r="AL376" i="43"/>
  <c r="AM376" i="43"/>
  <c r="AB378" i="43"/>
  <c r="AC378" i="43"/>
  <c r="AD378" i="43"/>
  <c r="AE378" i="43"/>
  <c r="AF378" i="43"/>
  <c r="AG378" i="43"/>
  <c r="AH378" i="43"/>
  <c r="AI378" i="43"/>
  <c r="AJ378" i="43"/>
  <c r="AK378" i="43"/>
  <c r="AL378" i="43"/>
  <c r="AM378" i="43"/>
  <c r="AB380" i="43"/>
  <c r="AC380" i="43"/>
  <c r="AD380" i="43"/>
  <c r="AE380" i="43"/>
  <c r="AF380" i="43"/>
  <c r="AG380" i="43"/>
  <c r="AH380" i="43"/>
  <c r="AI380" i="43"/>
  <c r="AJ380" i="43"/>
  <c r="AK380" i="43"/>
  <c r="AL380" i="43"/>
  <c r="AM380" i="43"/>
  <c r="AB381" i="43"/>
  <c r="AC381" i="43"/>
  <c r="AD381" i="43"/>
  <c r="AE381" i="43"/>
  <c r="AF381" i="43"/>
  <c r="AG381" i="43"/>
  <c r="AH381" i="43"/>
  <c r="AI381" i="43"/>
  <c r="AJ381" i="43"/>
  <c r="AK381" i="43"/>
  <c r="AL381" i="43"/>
  <c r="AM381" i="43"/>
  <c r="AD382" i="43"/>
  <c r="AE382" i="43"/>
  <c r="AF382" i="43"/>
  <c r="AG382" i="43"/>
  <c r="AH382" i="43"/>
  <c r="AI382" i="43"/>
  <c r="AJ382" i="43"/>
  <c r="AK382" i="43"/>
  <c r="AL382" i="43"/>
  <c r="AM382" i="43"/>
  <c r="AH383" i="43"/>
  <c r="AI383" i="43"/>
  <c r="AJ383" i="43"/>
  <c r="AK383" i="43"/>
  <c r="AL383" i="43"/>
  <c r="AM383" i="43"/>
  <c r="AD384" i="43"/>
  <c r="AE384" i="43"/>
  <c r="AF384" i="43"/>
  <c r="AG384" i="43"/>
  <c r="AH384" i="43"/>
  <c r="AI384" i="43"/>
  <c r="AJ384" i="43"/>
  <c r="AK384" i="43"/>
  <c r="AL384" i="43"/>
  <c r="AM384" i="43"/>
  <c r="AD385" i="43"/>
  <c r="AE385" i="43"/>
  <c r="AF385" i="43"/>
  <c r="AG385" i="43"/>
  <c r="AH385" i="43"/>
  <c r="AI385" i="43"/>
  <c r="AJ385" i="43"/>
  <c r="AK385" i="43"/>
  <c r="AL385" i="43"/>
  <c r="AM385" i="43"/>
  <c r="AB386" i="43"/>
  <c r="AC386" i="43"/>
  <c r="AD386" i="43"/>
  <c r="AE386" i="43"/>
  <c r="AF386" i="43"/>
  <c r="AG386" i="43"/>
  <c r="AH386" i="43"/>
  <c r="AI386" i="43"/>
  <c r="AJ386" i="43"/>
  <c r="AK386" i="43"/>
  <c r="AL386" i="43"/>
  <c r="AM386" i="43"/>
  <c r="AB387" i="43"/>
  <c r="AC387" i="43"/>
  <c r="AD387" i="43"/>
  <c r="AE387" i="43"/>
  <c r="AF387" i="43"/>
  <c r="AG387" i="43"/>
  <c r="AH387" i="43"/>
  <c r="AI387" i="43"/>
  <c r="AJ387" i="43"/>
  <c r="AK387" i="43"/>
  <c r="AL387" i="43"/>
  <c r="AM387" i="43"/>
  <c r="AB389" i="43"/>
  <c r="AC389" i="43"/>
  <c r="AD389" i="43"/>
  <c r="AE389" i="43"/>
  <c r="AF389" i="43"/>
  <c r="AG389" i="43"/>
  <c r="AH389" i="43"/>
  <c r="AI389" i="43"/>
  <c r="AJ389" i="43"/>
  <c r="AK389" i="43"/>
  <c r="AL389" i="43"/>
  <c r="AM389" i="43"/>
  <c r="AB390" i="43"/>
  <c r="AC390" i="43"/>
  <c r="AD390" i="43"/>
  <c r="AE390" i="43"/>
  <c r="AF390" i="43"/>
  <c r="AG390" i="43"/>
  <c r="AH390" i="43"/>
  <c r="AI390" i="43"/>
  <c r="AJ390" i="43"/>
  <c r="AK390" i="43"/>
  <c r="AL390" i="43"/>
  <c r="AM390" i="43"/>
  <c r="AD392" i="43"/>
  <c r="AE392" i="43"/>
  <c r="AF392" i="43"/>
  <c r="AG392" i="43"/>
  <c r="AH392" i="43"/>
  <c r="AI392" i="43"/>
  <c r="AJ392" i="43"/>
  <c r="AF393" i="43"/>
  <c r="AG393" i="43"/>
  <c r="AH393" i="43"/>
  <c r="AI393" i="43"/>
  <c r="AJ393" i="43"/>
  <c r="AD396" i="43"/>
  <c r="AE396" i="43"/>
  <c r="AF396" i="43"/>
  <c r="AG396" i="43"/>
  <c r="AH396" i="43"/>
  <c r="AI396" i="43"/>
  <c r="AJ396" i="43"/>
  <c r="AK396" i="43"/>
  <c r="AL396" i="43"/>
  <c r="AM396" i="43"/>
  <c r="AD398" i="43"/>
  <c r="AE398" i="43"/>
  <c r="AF398" i="43"/>
  <c r="AG398" i="43"/>
  <c r="AH398" i="43"/>
  <c r="AI398" i="43"/>
  <c r="AJ398" i="43"/>
  <c r="AK398" i="43"/>
  <c r="AL398" i="43"/>
  <c r="AM398" i="43"/>
  <c r="AD403" i="43"/>
  <c r="AE403" i="43"/>
  <c r="AF403" i="43"/>
  <c r="AG403" i="43"/>
  <c r="AH403" i="43"/>
  <c r="AI403" i="43"/>
  <c r="AJ403" i="43"/>
  <c r="AK403" i="43"/>
  <c r="AL403" i="43"/>
  <c r="AM403" i="43"/>
  <c r="AB405" i="43"/>
  <c r="AC405" i="43"/>
  <c r="AD405" i="43"/>
  <c r="AE405" i="43"/>
  <c r="AF405" i="43"/>
  <c r="AG405" i="43"/>
  <c r="AH405" i="43"/>
  <c r="AI405" i="43"/>
  <c r="AJ405" i="43"/>
  <c r="AK405" i="43"/>
  <c r="AL405" i="43"/>
  <c r="AM405" i="43"/>
  <c r="AB406" i="43"/>
  <c r="AC406" i="43"/>
  <c r="AD406" i="43"/>
  <c r="AE406" i="43"/>
  <c r="AF406" i="43"/>
  <c r="AG406" i="43"/>
  <c r="AH406" i="43"/>
  <c r="AI406" i="43"/>
  <c r="AJ406" i="43"/>
  <c r="AK406" i="43"/>
  <c r="AL406" i="43"/>
  <c r="AM406" i="43"/>
  <c r="AB408" i="43"/>
  <c r="AC408" i="43"/>
  <c r="AD408" i="43"/>
  <c r="AE408" i="43"/>
  <c r="AF408" i="43"/>
  <c r="AG408" i="43"/>
  <c r="AH408" i="43"/>
  <c r="AI408" i="43"/>
  <c r="AJ408" i="43"/>
  <c r="AK408" i="43"/>
  <c r="AL408" i="43"/>
  <c r="AM408" i="43"/>
  <c r="AD421" i="43"/>
  <c r="AE421" i="43"/>
  <c r="AF421" i="43"/>
  <c r="AG421" i="43"/>
  <c r="AH421" i="43"/>
  <c r="AI421" i="43"/>
  <c r="AJ421" i="43"/>
  <c r="AK421" i="43"/>
  <c r="AL421" i="43"/>
  <c r="AM421" i="43"/>
  <c r="AD425" i="43"/>
  <c r="AE425" i="43"/>
  <c r="AF425" i="43"/>
  <c r="AG425" i="43"/>
  <c r="AH425" i="43"/>
  <c r="AI425" i="43"/>
  <c r="AJ425" i="43"/>
  <c r="AD426" i="43"/>
  <c r="AE426" i="43"/>
  <c r="AF426" i="43"/>
  <c r="AG426" i="43"/>
  <c r="AH426" i="43"/>
  <c r="AI426" i="43"/>
  <c r="AJ426" i="43"/>
  <c r="AD427" i="43"/>
  <c r="AE427" i="43"/>
  <c r="AF427" i="43"/>
  <c r="AG427" i="43"/>
  <c r="AH427" i="43"/>
  <c r="AI427" i="43"/>
  <c r="AJ427" i="43"/>
  <c r="AD428" i="43"/>
  <c r="AE428" i="43"/>
  <c r="AF428" i="43"/>
  <c r="AG428" i="43"/>
  <c r="AH428" i="43"/>
  <c r="AI428" i="43"/>
  <c r="AJ428" i="43"/>
  <c r="AK428" i="43"/>
  <c r="AL428" i="43"/>
  <c r="AM428" i="43"/>
  <c r="AD429" i="43"/>
  <c r="AE429" i="43"/>
  <c r="AF429" i="43"/>
  <c r="AG429" i="43"/>
  <c r="AH429" i="43"/>
  <c r="AI429" i="43"/>
  <c r="AJ429" i="43"/>
  <c r="AK429" i="43"/>
  <c r="AL429" i="43"/>
  <c r="AM429" i="43"/>
  <c r="AE431" i="43"/>
  <c r="AF431" i="43"/>
  <c r="AG431" i="43"/>
  <c r="AH431" i="43"/>
  <c r="AI431" i="43"/>
  <c r="AJ431" i="43"/>
  <c r="AK431" i="43"/>
  <c r="AL431" i="43"/>
  <c r="AM431" i="43"/>
  <c r="AB435" i="43"/>
  <c r="AC435" i="43"/>
  <c r="AD435" i="43"/>
  <c r="AE435" i="43"/>
  <c r="AF435" i="43"/>
  <c r="AG435" i="43"/>
  <c r="AH435" i="43"/>
  <c r="AI435" i="43"/>
  <c r="AJ435" i="43"/>
  <c r="AK435" i="43"/>
  <c r="AL435" i="43"/>
  <c r="AM435" i="43"/>
  <c r="AE436" i="43"/>
  <c r="AF436" i="43"/>
  <c r="AG436" i="43"/>
  <c r="AH436" i="43"/>
  <c r="AI436" i="43"/>
  <c r="AJ436" i="43"/>
  <c r="AK436" i="43"/>
  <c r="AL436" i="43"/>
  <c r="AM436" i="43"/>
  <c r="AB437" i="43"/>
  <c r="AC437" i="43"/>
  <c r="AD437" i="43"/>
  <c r="AE437" i="43"/>
  <c r="AF437" i="43"/>
  <c r="AG437" i="43"/>
  <c r="AH437" i="43"/>
  <c r="AI437" i="43"/>
  <c r="AJ437" i="43"/>
  <c r="AK437" i="43"/>
  <c r="AL437" i="43"/>
  <c r="AM437" i="43"/>
  <c r="AD438" i="43"/>
  <c r="AE438" i="43"/>
  <c r="AF438" i="43"/>
  <c r="AG438" i="43"/>
  <c r="AH438" i="43"/>
  <c r="AI438" i="43"/>
  <c r="AJ438" i="43"/>
  <c r="AK438" i="43"/>
  <c r="AL438" i="43"/>
  <c r="AM438" i="43"/>
  <c r="AD440" i="43"/>
  <c r="AE440" i="43"/>
  <c r="AF440" i="43"/>
  <c r="AG440" i="43"/>
  <c r="AH440" i="43"/>
  <c r="AI440" i="43"/>
  <c r="AJ440" i="43"/>
  <c r="AK440" i="43"/>
  <c r="AL440" i="43"/>
  <c r="AM440" i="43"/>
  <c r="AD442" i="43"/>
  <c r="AE442" i="43"/>
  <c r="AF442" i="43"/>
  <c r="AG442" i="43"/>
  <c r="AH442" i="43"/>
  <c r="AI442" i="43"/>
  <c r="AJ442" i="43"/>
  <c r="AK442" i="43"/>
  <c r="AL442" i="43"/>
  <c r="AM442" i="43"/>
  <c r="AE458" i="43"/>
  <c r="AF458" i="43"/>
  <c r="AG458" i="43"/>
  <c r="AH458" i="43"/>
  <c r="AI458" i="43"/>
  <c r="AJ458" i="43"/>
  <c r="AK458" i="43"/>
  <c r="AL458" i="43"/>
  <c r="AM458" i="43"/>
  <c r="AE459" i="43"/>
  <c r="AF459" i="43"/>
  <c r="AG459" i="43"/>
  <c r="AH459" i="43"/>
  <c r="AI459" i="43"/>
  <c r="AJ459" i="43"/>
  <c r="AK459" i="43"/>
  <c r="AL459" i="43"/>
  <c r="AM459" i="43"/>
  <c r="AE462" i="43"/>
  <c r="AF462" i="43"/>
  <c r="AG462" i="43"/>
  <c r="AH462" i="43"/>
  <c r="AI462" i="43"/>
  <c r="AJ462" i="43"/>
  <c r="AK462" i="43"/>
  <c r="AL462" i="43"/>
  <c r="AM462" i="43"/>
  <c r="AE463" i="43"/>
  <c r="AF463" i="43"/>
  <c r="AG463" i="43"/>
  <c r="AH463" i="43"/>
  <c r="AI463" i="43"/>
  <c r="AJ463" i="43"/>
  <c r="AK463" i="43"/>
  <c r="AL463" i="43"/>
  <c r="AM463" i="43"/>
  <c r="AD464" i="43"/>
  <c r="AE464" i="43"/>
  <c r="AF464" i="43"/>
  <c r="AG464" i="43"/>
  <c r="AH464" i="43"/>
  <c r="AI464" i="43"/>
  <c r="AJ464" i="43"/>
  <c r="AK464" i="43"/>
  <c r="AL464" i="43"/>
  <c r="AM464" i="43"/>
  <c r="AD465" i="43"/>
  <c r="AE465" i="43"/>
  <c r="AF465" i="43"/>
  <c r="AG465" i="43"/>
  <c r="AH465" i="43"/>
  <c r="AI465" i="43"/>
  <c r="AJ465" i="43"/>
  <c r="AK465" i="43"/>
  <c r="AL465" i="43"/>
  <c r="AM465" i="43"/>
  <c r="AD467" i="43"/>
  <c r="AE467" i="43"/>
  <c r="AF467" i="43"/>
  <c r="AG467" i="43"/>
  <c r="AH467" i="43"/>
  <c r="AI467" i="43"/>
  <c r="AJ467" i="43"/>
  <c r="AK467" i="43"/>
  <c r="AL467" i="43"/>
  <c r="AM467" i="43"/>
  <c r="AE469" i="43"/>
  <c r="AF469" i="43"/>
  <c r="AG469" i="43"/>
  <c r="AH469" i="43"/>
  <c r="AI469" i="43"/>
  <c r="AJ469" i="43"/>
  <c r="AK469" i="43"/>
  <c r="AL469" i="43"/>
  <c r="AM469" i="43"/>
  <c r="AE470" i="43"/>
  <c r="AF470" i="43"/>
  <c r="AG470" i="43"/>
  <c r="AH470" i="43"/>
  <c r="AI470" i="43"/>
  <c r="AJ470" i="43"/>
  <c r="AK470" i="43"/>
  <c r="AL470" i="43"/>
  <c r="AM470" i="43"/>
  <c r="AE471" i="43"/>
  <c r="AF471" i="43"/>
  <c r="AG471" i="43"/>
  <c r="AH471" i="43"/>
  <c r="AI471" i="43"/>
  <c r="AJ471" i="43"/>
  <c r="AK471" i="43"/>
  <c r="AL471" i="43"/>
  <c r="AM471" i="43"/>
  <c r="AC472" i="43"/>
  <c r="AD472" i="43"/>
  <c r="AE472" i="43"/>
  <c r="AF472" i="43"/>
  <c r="AG472" i="43"/>
  <c r="AH472" i="43"/>
  <c r="AI472" i="43"/>
  <c r="AJ472" i="43"/>
  <c r="AK472" i="43"/>
  <c r="AL472" i="43"/>
  <c r="AM472" i="43"/>
  <c r="AB480" i="43"/>
  <c r="AC480" i="43"/>
  <c r="AD480" i="43"/>
  <c r="AE480" i="43"/>
  <c r="AF480" i="43"/>
  <c r="AG480" i="43"/>
  <c r="AH480" i="43"/>
  <c r="AI480" i="43"/>
  <c r="AJ480" i="43"/>
  <c r="AK480" i="43"/>
  <c r="AL480" i="43"/>
  <c r="AM480" i="43"/>
  <c r="AB481" i="43"/>
  <c r="AC481" i="43"/>
  <c r="AD481" i="43"/>
  <c r="AE481" i="43"/>
  <c r="AF481" i="43"/>
  <c r="AG481" i="43"/>
  <c r="AH481" i="43"/>
  <c r="AI481" i="43"/>
  <c r="AJ481" i="43"/>
  <c r="AK481" i="43"/>
  <c r="AL481" i="43"/>
  <c r="AM481" i="43"/>
  <c r="AB482" i="43"/>
  <c r="AC482" i="43"/>
  <c r="AD482" i="43"/>
  <c r="AE482" i="43"/>
  <c r="AF482" i="43"/>
  <c r="AG482" i="43"/>
  <c r="AH482" i="43"/>
  <c r="AI482" i="43"/>
  <c r="AJ482" i="43"/>
  <c r="AK482" i="43"/>
  <c r="AL482" i="43"/>
  <c r="AM482" i="43"/>
  <c r="AB483" i="43"/>
  <c r="AC483" i="43"/>
  <c r="AD483" i="43"/>
  <c r="AE483" i="43"/>
  <c r="AF483" i="43"/>
  <c r="AG483" i="43"/>
  <c r="AH483" i="43"/>
  <c r="AI483" i="43"/>
  <c r="AJ483" i="43"/>
  <c r="AK483" i="43"/>
  <c r="AL483" i="43"/>
  <c r="AM483" i="43"/>
  <c r="AB484" i="43"/>
  <c r="AC484" i="43"/>
  <c r="AD484" i="43"/>
  <c r="AE484" i="43"/>
  <c r="AF484" i="43"/>
  <c r="AG484" i="43"/>
  <c r="AH484" i="43"/>
  <c r="AI484" i="43"/>
  <c r="AJ484" i="43"/>
  <c r="AK484" i="43"/>
  <c r="AL484" i="43"/>
  <c r="AM484" i="43"/>
  <c r="AB485" i="43"/>
  <c r="AC485" i="43"/>
  <c r="AD485" i="43"/>
  <c r="AE485" i="43"/>
  <c r="AF485" i="43"/>
  <c r="AG485" i="43"/>
  <c r="AH485" i="43"/>
  <c r="AI485" i="43"/>
  <c r="AJ485" i="43"/>
  <c r="AK485" i="43"/>
  <c r="AL485" i="43"/>
  <c r="AM485" i="43"/>
  <c r="AB486" i="43"/>
  <c r="AC486" i="43"/>
  <c r="AD486" i="43"/>
  <c r="AE486" i="43"/>
  <c r="AF486" i="43"/>
  <c r="AG486" i="43"/>
  <c r="AH486" i="43"/>
  <c r="AI486" i="43"/>
  <c r="AJ486" i="43"/>
  <c r="AK486" i="43"/>
  <c r="AL486" i="43"/>
  <c r="AM486" i="43"/>
  <c r="AB487" i="43"/>
  <c r="AC487" i="43"/>
  <c r="AD487" i="43"/>
  <c r="AE487" i="43"/>
  <c r="AF487" i="43"/>
  <c r="AG487" i="43"/>
  <c r="AH487" i="43"/>
  <c r="AI487" i="43"/>
  <c r="AJ487" i="43"/>
  <c r="AK487" i="43"/>
  <c r="AL487" i="43"/>
  <c r="AM487" i="43"/>
  <c r="AB488" i="43"/>
  <c r="AC488" i="43"/>
  <c r="AD488" i="43"/>
  <c r="AE488" i="43"/>
  <c r="AF488" i="43"/>
  <c r="AG488" i="43"/>
  <c r="AH488" i="43"/>
  <c r="AI488" i="43"/>
  <c r="AJ488" i="43"/>
  <c r="AK488" i="43"/>
  <c r="AL488" i="43"/>
  <c r="AM488" i="43"/>
  <c r="AB489" i="43"/>
  <c r="AC489" i="43"/>
  <c r="AD489" i="43"/>
  <c r="AE489" i="43"/>
  <c r="AF489" i="43"/>
  <c r="AG489" i="43"/>
  <c r="AH489" i="43"/>
  <c r="AI489" i="43"/>
  <c r="AJ489" i="43"/>
  <c r="AK489" i="43"/>
  <c r="AL489" i="43"/>
  <c r="AM489" i="43"/>
  <c r="AB491" i="43"/>
  <c r="AC491" i="43"/>
  <c r="AD491" i="43"/>
  <c r="AE491" i="43"/>
  <c r="AF491" i="43"/>
  <c r="AG491" i="43"/>
  <c r="AH491" i="43"/>
  <c r="AI491" i="43"/>
  <c r="AJ491" i="43"/>
  <c r="AK491" i="43"/>
  <c r="AL491" i="43"/>
  <c r="AM491" i="43"/>
  <c r="AB492" i="43"/>
  <c r="AC492" i="43"/>
  <c r="AD492" i="43"/>
  <c r="AE492" i="43"/>
  <c r="AF492" i="43"/>
  <c r="AG492" i="43"/>
  <c r="AH492" i="43"/>
  <c r="AI492" i="43"/>
  <c r="AJ492" i="43"/>
  <c r="AK492" i="43"/>
  <c r="AL492" i="43"/>
  <c r="AM492" i="43"/>
  <c r="AB493" i="43"/>
  <c r="AC493" i="43"/>
  <c r="AD493" i="43"/>
  <c r="AE493" i="43"/>
  <c r="AF493" i="43"/>
  <c r="AG493" i="43"/>
  <c r="AH493" i="43"/>
  <c r="AI493" i="43"/>
  <c r="AJ493" i="43"/>
  <c r="AK493" i="43"/>
  <c r="AL493" i="43"/>
  <c r="AM493" i="43"/>
  <c r="AB494" i="43"/>
  <c r="AC494" i="43"/>
  <c r="AD494" i="43"/>
  <c r="AE494" i="43"/>
  <c r="AF494" i="43"/>
  <c r="AG494" i="43"/>
  <c r="AH494" i="43"/>
  <c r="AI494" i="43"/>
  <c r="AJ494" i="43"/>
  <c r="AK494" i="43"/>
  <c r="AL494" i="43"/>
  <c r="AM494" i="43"/>
  <c r="AD498" i="43"/>
  <c r="AE498" i="43"/>
  <c r="AF498" i="43"/>
  <c r="AG498" i="43"/>
  <c r="AH498" i="43"/>
  <c r="AI498" i="43"/>
  <c r="AJ498" i="43"/>
  <c r="AK498" i="43"/>
  <c r="AL498" i="43"/>
  <c r="AM498" i="43"/>
  <c r="AC499" i="43"/>
  <c r="AD499" i="43"/>
  <c r="AE499" i="43"/>
  <c r="AF499" i="43"/>
  <c r="AG499" i="43"/>
  <c r="AH499" i="43"/>
  <c r="AI499" i="43"/>
  <c r="AJ499" i="43"/>
  <c r="AK499" i="43"/>
  <c r="AL499" i="43"/>
  <c r="AM499" i="43"/>
  <c r="AC500" i="43"/>
  <c r="AD500" i="43"/>
  <c r="AE500" i="43"/>
  <c r="AF500" i="43"/>
  <c r="AG500" i="43"/>
  <c r="AH500" i="43"/>
  <c r="AI500" i="43"/>
  <c r="AJ500" i="43"/>
  <c r="AK500" i="43"/>
  <c r="AL500" i="43"/>
  <c r="AM500" i="43"/>
  <c r="AB501" i="43"/>
  <c r="AC501" i="43"/>
  <c r="AD501" i="43"/>
  <c r="AE501" i="43"/>
  <c r="AF501" i="43"/>
  <c r="AG501" i="43"/>
  <c r="AH501" i="43"/>
  <c r="AI501" i="43"/>
  <c r="AJ501" i="43"/>
  <c r="AK501" i="43"/>
  <c r="AL501" i="43"/>
  <c r="AM501" i="43"/>
</calcChain>
</file>

<file path=xl/sharedStrings.xml><?xml version="1.0" encoding="utf-8"?>
<sst xmlns="http://schemas.openxmlformats.org/spreadsheetml/2006/main" count="737" uniqueCount="544">
  <si>
    <t>P/E</t>
  </si>
  <si>
    <t>ROE</t>
  </si>
  <si>
    <t>Cost of Equity</t>
  </si>
  <si>
    <t>Beta</t>
  </si>
  <si>
    <t>EBIT</t>
  </si>
  <si>
    <t>Tax Rate</t>
  </si>
  <si>
    <t>EBIT*(1-Tax Rate)</t>
  </si>
  <si>
    <t>DD&amp;A</t>
  </si>
  <si>
    <t>Year</t>
  </si>
  <si>
    <t>Period</t>
  </si>
  <si>
    <t>Free Cash Flow to Firm</t>
  </si>
  <si>
    <t>WACC</t>
  </si>
  <si>
    <t>Discount Factor</t>
  </si>
  <si>
    <t>Half-year adjustemnt</t>
  </si>
  <si>
    <t>Current period adjustment</t>
  </si>
  <si>
    <t>PV FCFF</t>
  </si>
  <si>
    <t>Enterprise Value</t>
  </si>
  <si>
    <t>Less: Debt</t>
  </si>
  <si>
    <t>Less: Prefs</t>
  </si>
  <si>
    <t>Less: Minority Interest</t>
  </si>
  <si>
    <t>Plus: Net Cash</t>
  </si>
  <si>
    <t>Equity Value</t>
  </si>
  <si>
    <t>Shares Outstanding</t>
  </si>
  <si>
    <t>Intrinsic value/share</t>
  </si>
  <si>
    <t>Exit Share Price</t>
  </si>
  <si>
    <t>EPS</t>
  </si>
  <si>
    <t>FV FCFF</t>
  </si>
  <si>
    <t>Y/Y EPS Growth</t>
  </si>
  <si>
    <t>Y/Y FCFF Growth</t>
  </si>
  <si>
    <t>Discounted Cash Flow (DCF)</t>
  </si>
  <si>
    <t>Current year</t>
  </si>
  <si>
    <t>Risk free rate</t>
  </si>
  <si>
    <t>EQRP</t>
  </si>
  <si>
    <t>Cost of Prefs</t>
  </si>
  <si>
    <t>Cost of Debt</t>
  </si>
  <si>
    <t>After-tax Cost of Debt</t>
  </si>
  <si>
    <t>Current Price</t>
  </si>
  <si>
    <t>Pref Value</t>
  </si>
  <si>
    <t>Debt Value</t>
  </si>
  <si>
    <t>Override</t>
  </si>
  <si>
    <t>WACC - Model</t>
  </si>
  <si>
    <t>na</t>
  </si>
  <si>
    <t>Bear</t>
  </si>
  <si>
    <t>Base</t>
  </si>
  <si>
    <t>Bull</t>
  </si>
  <si>
    <t>Industrial</t>
  </si>
  <si>
    <t>Utilities</t>
  </si>
  <si>
    <t>Energy</t>
  </si>
  <si>
    <t>Terminal Value Assumptions - Equity</t>
  </si>
  <si>
    <t>Terminal Value Assumptions - EV</t>
  </si>
  <si>
    <t>Terminal Growth Rate</t>
  </si>
  <si>
    <t>Cost of Capital</t>
  </si>
  <si>
    <t>Excess ROIC</t>
  </si>
  <si>
    <t>Terminal Growth</t>
  </si>
  <si>
    <t>n=</t>
  </si>
  <si>
    <t>ROIC</t>
  </si>
  <si>
    <t>Avg. ROIC</t>
  </si>
  <si>
    <t>Avg. ROE</t>
  </si>
  <si>
    <t>Terminal Value Assumptions vs. Historicals and Industry Base Rates</t>
  </si>
  <si>
    <t>'96-18</t>
  </si>
  <si>
    <t>Actual Company History</t>
  </si>
  <si>
    <t>Bear case</t>
  </si>
  <si>
    <t>Bull case</t>
  </si>
  <si>
    <t>Base case</t>
  </si>
  <si>
    <t>Target</t>
  </si>
  <si>
    <t>Terminal</t>
  </si>
  <si>
    <t>"G"</t>
  </si>
  <si>
    <t>Implied ROIC</t>
  </si>
  <si>
    <t>Industry</t>
  </si>
  <si>
    <t>SubIndustry</t>
  </si>
  <si>
    <t>Country</t>
  </si>
  <si>
    <t>Implied Exit P/E (1Y Forward)</t>
  </si>
  <si>
    <t>Output</t>
  </si>
  <si>
    <t>ALL SECTORS</t>
  </si>
  <si>
    <t>Financial</t>
  </si>
  <si>
    <t>Basic Materials</t>
  </si>
  <si>
    <t>Consumer, Cyclical</t>
  </si>
  <si>
    <t>Diversified</t>
  </si>
  <si>
    <t>Communications</t>
  </si>
  <si>
    <t>Technology</t>
  </si>
  <si>
    <t>Consumer, Non-cyclical</t>
  </si>
  <si>
    <t>UNITED STATES</t>
  </si>
  <si>
    <t>Entertainment</t>
  </si>
  <si>
    <t>LOOKUP DATA</t>
  </si>
  <si>
    <t>ND/EBITDA</t>
  </si>
  <si>
    <t>Forecast</t>
  </si>
  <si>
    <t>Graph Data</t>
  </si>
  <si>
    <t>Sector Comparison</t>
  </si>
  <si>
    <t>Avg.</t>
  </si>
  <si>
    <t>Valuation Summary (Sensitivity Based on TV)</t>
  </si>
  <si>
    <t>Reinvest. Rate (Capex/EBIT)</t>
  </si>
  <si>
    <t>Regression ROIC</t>
  </si>
  <si>
    <t>Date:</t>
  </si>
  <si>
    <t>Exchange:</t>
  </si>
  <si>
    <t>Ticker:</t>
  </si>
  <si>
    <t>Terminal Enterprise Value</t>
  </si>
  <si>
    <t>Terminal Equity Value</t>
  </si>
  <si>
    <t>Terminal Growth Spread</t>
  </si>
  <si>
    <t>10Y Treasury Rate</t>
  </si>
  <si>
    <t>Cap./EBIT</t>
  </si>
  <si>
    <t>Credit Spread</t>
  </si>
  <si>
    <t>Ticker Details</t>
  </si>
  <si>
    <t>CAGR</t>
  </si>
  <si>
    <t>EBITDA</t>
  </si>
  <si>
    <t>EBITDA Margin</t>
  </si>
  <si>
    <t>Income Statement</t>
  </si>
  <si>
    <t>SG&amp;A (incl. stock-based comp)</t>
  </si>
  <si>
    <t>Impairment</t>
  </si>
  <si>
    <t>FX</t>
  </si>
  <si>
    <t>Interest income</t>
  </si>
  <si>
    <t>Interest expense</t>
  </si>
  <si>
    <t>EBT</t>
  </si>
  <si>
    <t>Current tax</t>
  </si>
  <si>
    <t>Current tax rate</t>
  </si>
  <si>
    <t>Deferred tax</t>
  </si>
  <si>
    <t>Deferred tax rate</t>
  </si>
  <si>
    <t>Net Income</t>
  </si>
  <si>
    <t>Discontinued operations</t>
  </si>
  <si>
    <t>Minority Interest</t>
  </si>
  <si>
    <t>Prefs</t>
  </si>
  <si>
    <t>Net Income to Common</t>
  </si>
  <si>
    <t>Check</t>
  </si>
  <si>
    <t>W.A. shares outstanding (diluted)</t>
  </si>
  <si>
    <t>EPS to common</t>
  </si>
  <si>
    <t>EPS growth rate</t>
  </si>
  <si>
    <t>Cash Flow Statement</t>
  </si>
  <si>
    <t>Deferred taxes</t>
  </si>
  <si>
    <t>Share Based Comp</t>
  </si>
  <si>
    <t>Other</t>
  </si>
  <si>
    <t>Change in NWC</t>
  </si>
  <si>
    <t>Cash Flow from Operations</t>
  </si>
  <si>
    <t>Capex</t>
  </si>
  <si>
    <t>M&amp;A</t>
  </si>
  <si>
    <t>Cash Flow from Investing</t>
  </si>
  <si>
    <t>Change in debt</t>
  </si>
  <si>
    <t>Change in converts</t>
  </si>
  <si>
    <t>Change in prefs</t>
  </si>
  <si>
    <t>Preferred dividends</t>
  </si>
  <si>
    <t>Common dividends (net of DRIP)</t>
  </si>
  <si>
    <t>Cash Flow from Financing</t>
  </si>
  <si>
    <t>Esimated Share Price</t>
  </si>
  <si>
    <t>Other changes in cash</t>
  </si>
  <si>
    <t>Total change in cash</t>
  </si>
  <si>
    <t>Balance Sheet</t>
  </si>
  <si>
    <t>Cash &amp; equivalents</t>
  </si>
  <si>
    <t>Accounts receivable</t>
  </si>
  <si>
    <t>Investment Securities</t>
  </si>
  <si>
    <t>Current assets</t>
  </si>
  <si>
    <t>PP&amp;E</t>
  </si>
  <si>
    <t>Goodwill</t>
  </si>
  <si>
    <t>Intangibles</t>
  </si>
  <si>
    <t>Total assets</t>
  </si>
  <si>
    <t>Short-term debt</t>
  </si>
  <si>
    <t>Trade &amp; other payables</t>
  </si>
  <si>
    <t>Accrued expenses &amp; other liabilities</t>
  </si>
  <si>
    <t>Current liabilities</t>
  </si>
  <si>
    <t>Long-term debt</t>
  </si>
  <si>
    <t>Total liabilities</t>
  </si>
  <si>
    <t>Common equity</t>
  </si>
  <si>
    <t>Preferred equty</t>
  </si>
  <si>
    <t>Retained earnings and OCI</t>
  </si>
  <si>
    <t>Total liabilities &amp; equity</t>
  </si>
  <si>
    <t>non-cash NWC</t>
  </si>
  <si>
    <t>Segment Summary</t>
  </si>
  <si>
    <t>Gross Margin</t>
  </si>
  <si>
    <t>Net Margin</t>
  </si>
  <si>
    <t>Debt &amp; Interest Expense</t>
  </si>
  <si>
    <t>Total debt</t>
  </si>
  <si>
    <t>Net debt</t>
  </si>
  <si>
    <t>D/EBITDA</t>
  </si>
  <si>
    <t>Debt</t>
  </si>
  <si>
    <t>Average debt</t>
  </si>
  <si>
    <t>Implied interest rate</t>
  </si>
  <si>
    <t>Interest rate</t>
  </si>
  <si>
    <t>Cash &amp; Interest Bearing Securities</t>
  </si>
  <si>
    <t>Interest Income</t>
  </si>
  <si>
    <t>EPS (Diluted/share)</t>
  </si>
  <si>
    <t>PP&amp;E &amp; Other Assets</t>
  </si>
  <si>
    <t>Ratios</t>
  </si>
  <si>
    <t>Book Value of Equity</t>
  </si>
  <si>
    <t>BVPS</t>
  </si>
  <si>
    <t>Invested Capital</t>
  </si>
  <si>
    <t>EBIT Margin</t>
  </si>
  <si>
    <t>Net margin (NI/S)</t>
  </si>
  <si>
    <t>Asset turnover (S/A)</t>
  </si>
  <si>
    <t>Leverage (A/E)</t>
  </si>
  <si>
    <t>Financial Statements</t>
  </si>
  <si>
    <t>Change in Equity</t>
  </si>
  <si>
    <t>Gross Revenue</t>
  </si>
  <si>
    <t>Cost of Revenue</t>
  </si>
  <si>
    <t>W.A. Shares Outstanding</t>
  </si>
  <si>
    <t>EPS Growth Rate</t>
  </si>
  <si>
    <t>Cash Flow From Investing</t>
  </si>
  <si>
    <t>Cash Flow From Financing</t>
  </si>
  <si>
    <t>Change in Investments</t>
  </si>
  <si>
    <t>Current Assets</t>
  </si>
  <si>
    <t>Cash &amp; Equivalents</t>
  </si>
  <si>
    <t>Total Assets</t>
  </si>
  <si>
    <t>Short-term Debt</t>
  </si>
  <si>
    <t>Current Liabilities</t>
  </si>
  <si>
    <t>Total Liabilities</t>
  </si>
  <si>
    <t>Long-term Debt</t>
  </si>
  <si>
    <t>Convertibles</t>
  </si>
  <si>
    <t>Convertible Debt</t>
  </si>
  <si>
    <t>Common Equity</t>
  </si>
  <si>
    <t>non-NWC as % of revenue</t>
  </si>
  <si>
    <t>Segment Analysis</t>
  </si>
  <si>
    <t>Balance Sheet Drivers</t>
  </si>
  <si>
    <t>Profitability (Return)</t>
  </si>
  <si>
    <t>Profitability (Margins)</t>
  </si>
  <si>
    <t>Revenue</t>
  </si>
  <si>
    <t>EBITDA Margins</t>
  </si>
  <si>
    <t>Capex, M&amp;A</t>
  </si>
  <si>
    <t>Y/Y Revenue Growth</t>
  </si>
  <si>
    <t>Y/Y EBITDA Growth</t>
  </si>
  <si>
    <t>Cash Flow from Operating Activities</t>
  </si>
  <si>
    <t>Inventory</t>
  </si>
  <si>
    <t>Change in non-cash NWC</t>
  </si>
  <si>
    <t>ROIC (excl. excess cash)</t>
  </si>
  <si>
    <t>Gain(loss) assets held for sale</t>
  </si>
  <si>
    <t>Net Revenue</t>
  </si>
  <si>
    <t>Deferred revenue</t>
  </si>
  <si>
    <t>CFO/share</t>
  </si>
  <si>
    <t>BVPS - ex.cash</t>
  </si>
  <si>
    <t>ROE - exc.cash</t>
  </si>
  <si>
    <t>Invested Capital - ex.cash</t>
  </si>
  <si>
    <t>Terminal WACC</t>
  </si>
  <si>
    <t>Terminal WACC Assumptions</t>
  </si>
  <si>
    <t>Terminal D/EBITDA</t>
  </si>
  <si>
    <t>Terminal D/Cap</t>
  </si>
  <si>
    <t>Change in common equity (net)</t>
  </si>
  <si>
    <t>'20-30</t>
  </si>
  <si>
    <t>Model Drivers</t>
  </si>
  <si>
    <t>Impairments</t>
  </si>
  <si>
    <t>Restricted Cash</t>
  </si>
  <si>
    <t>Other (prepaids, deferred COGS)</t>
  </si>
  <si>
    <t>AwABTAVMT0NBTAFI/////wFQEgAAADtDSVFBVkcuTkFTREFRR1M6VFRXTy5JUV9MQVNUU0FMRVBSSUNFLjAxLzAxLzIwMTAuMzEvMTIvMjAxMAEAAABRqgUAAgAAABAxMC4yODI0NjAzMTc0NjAzAHD7R4YQcdgIZfFLhhBx2Ag7Q0lRQVZHLk5BU0RBUUdTOlRUV08uSVFfTEFTVFNBTEVQUklDRS4wMS8wMS8yMDE0LjMxLzEyLzIwMTQBAAAAUaoFAAIAAAAQMjIuMDY3OTE2NjY2NjY2NwBw+0eGEHHYCITKS4YQcdgIO0NJUUFWRy5OQVNEQVFHUzpUVFdPLklRX0xBU1RTQUxFUFJJQ0UuMDEvMDEvMjAxMi4zMS8xMi8yMDEyAQAAAFGqBQACAAAACjEyLjI4MDc3OTYAcPtHhhBx2Ahl8UuGEHHYCDtDSVFBVkcuTkFTREFRR1M6VFRXTy5JUV9MQVNUU0FMRVBSSUNFLjAxLzAxLzIwMDUuMzEvMTIvMjAwNQEAAABRqgUAAgAAABAyMy41MDQxNjc1Mzk2ODI1AHD7R4YQcdgIZfFLhhBx2Ag7Q0lRQVZHLk5BU0RBUUdTOlRUV08uSVFfTEFTVFNBTEVQUklDRS4wMS8wMS8yMDE3LjMxLzEyLzIwMTcBAAAAUaoFAAIAAAAQODAuODYwMTU5MzYyNTQ5OABw+0eGEHHYCIqjS4YQcdgIK0NJUS5OQVNEQVE6VFRXTy5JUV9MQVNUU0FMRVBSSUNFLjE1LzEwLzIwMjABAAAAUaoFAAIAAAAHMTY4LjAwNQBw+0eGEHHYCN92s4YQcdgIIUNJUS5OQVNEQVE6VFRXTy5JUV9MQVNUU0FMRVBSSUNFLgEAAABRqgUAAgAAAAcxNjguMDA1</t>
  </si>
  <si>
    <t>AKxEsIYQcdgI33azhhBx2Ag7Q0lRQVZHLk5BU0RBUUdTOlRUV08uSVFfTEFTVFNBTEVQUklDRS4wMS8wMS8yMDE5LjMxLzEyLzIwMTkBAAAAUaoFAAIAAAAQMTExLjgwMjIyMjIyMjIyMgBw+0eGEHHYCITKS4YQcdgIO0NJUUFWRy5OQVNEQVFHUzpUVFdPLklRX0xBU1RTQUxFUFJJQ0UuMDEvMDEvMjAwOS4zMS8xMi8yMDA5AQAAAFGqBQACAAAAEDkuMjEzNjcwNjM0OTIwNjQAcPtHhhBx2Ahl8UuGEHHYCDtDSVFBVkcuTkFTREFRR1M6VFRXTy5JUV9MQVNUU0FMRVBSSUNFLjAxLzAxLzIwMTEuMzEvMTIvMjAxMQEAAABRqgUAAgAAABAxNC4zNzQyMDYzNDkyMDYzAHD7R4YQcdgIZfFLhhBx2Ag7Q0lRQVZHLk5BU0RBUUdTOlRUV08uSVFfTEFTVFNBTEVQUklDRS4wMS8wMS8yMDE2LjMxLzEyLzIwMTYBAAAAUaoFAAIAAAAQNDAuMjQ4NTMxNzQ2MDMxNwBw+0eGEHHYCITKS4YQcdgIO0NJUUFWRy5OQVNEQVFHUzpUVFdPLklRX0xBU1RTQUxFUFJJQ0UuMDEvMDEvMjAyMC4zMS8xMi8yMDIwAQAAAFGqBQACAAAAEDEzOC43MTIzMzY2ODM0MTcAcPtHhhBx2AiEykuGEHHYCDtDSVFBVkcuTkFTREFRR1M6VFRXTy5JUV9MQVNUU0FMRVBSSUNFLjAxLzAxLzIwMDcuMzEvMTIvMjAwNwEAAABRqgUAAgAAABAxOC4yNjM3NDAyMzkwNDM4AHD7R4YQcdgIZfFLhhBx2Ag7Q0lRQVZHLk5BU0RBUUdTOlRUV08uSVFfTEFT</t>
  </si>
  <si>
    <t>VFNBTEVQUklDRS4wMS8wMS8yMDE4LjMxLzEyLzIwMTgBAAAAUaoFAAIAAAAQMTE1Ljg5NzUwOTk2MDE1OQBw+0eGEHHYCITKS4YQcdgIO0NJUUFWRy5OQVNEQVFHUzpUVFdPLklRX0xBU1RTQUxFUFJJQ0UuMDEvMDEvMjAwOC4zMS8xMi8yMDA4AQAAAFGqBQACAAAAEDIwLjEyMzI4MDYzMjQxMTEAcPtHhhBx2AgpF0yGEHHYCDtDSVFBVkcuTkFTREFRR1M6VFRXTy5JUV9MQVNUU0FMRVBSSUNFLjAxLzAxLzIwMTUuMzEvMTIvMjAxNQEAAABRqgUAAgAAABAyOS4yNjcxNDI4NTcxNDI5AHD7R4YQcdgIhMpLhhBx2Ag7Q0lRQVZHLk5BU0RBUUdTOlRUV08uSVFfTEFTVFNBTEVQUklDRS4wMS8wMS8yMDEzLjMxLzEyLzIwMTMBAAAAUaoFAAIAAAAQMTYuMTc2MTc0NjAzMTc0NgBw+0eGEHHYCITKS4YQcdgIO0NJUUFWRy5OQVNEQVFHUzpUVFdPLklRX0xBU1RTQUxFUFJJQ0UuMDEvMDEvMjAwNi4zMS8xMi8yMDA2AQAAAFGqBQACAAAAEDE1LjE5NDU0MTQzNDI2MjkAcPtHhhBx2Ahl8UuGEHHYCA==</t>
  </si>
  <si>
    <t>NYSE</t>
  </si>
  <si>
    <t>CVNA</t>
  </si>
  <si>
    <t>Infrastructure</t>
  </si>
  <si>
    <t>Year-end IRCs</t>
  </si>
  <si>
    <t>Reconditioning capacity (000)</t>
  </si>
  <si>
    <t>Capacity per IRC (000)</t>
  </si>
  <si>
    <t>Utilization</t>
  </si>
  <si>
    <t>Average Capacity (000)</t>
  </si>
  <si>
    <t>Retail Units Sold (000)</t>
  </si>
  <si>
    <t>Retail</t>
  </si>
  <si>
    <t>Wholesale</t>
  </si>
  <si>
    <t>Total Revenue</t>
  </si>
  <si>
    <t>Total Gross Profit</t>
  </si>
  <si>
    <t>Unit sales (000)</t>
  </si>
  <si>
    <t>ASP</t>
  </si>
  <si>
    <t>GPU</t>
  </si>
  <si>
    <t>Revenue per Retail unit</t>
  </si>
  <si>
    <t>Gross Profit per Retail unit</t>
  </si>
  <si>
    <t>Compensation &amp; benefits</t>
  </si>
  <si>
    <t>100k Milestone Gift</t>
  </si>
  <si>
    <t>Advertising</t>
  </si>
  <si>
    <t>Market occupancy</t>
  </si>
  <si>
    <t>Logistics</t>
  </si>
  <si>
    <t>SG&amp;A</t>
  </si>
  <si>
    <t>COGS</t>
  </si>
  <si>
    <t>Gross Profit</t>
  </si>
  <si>
    <t>Net Interest</t>
  </si>
  <si>
    <t>Wholesale as % of Total Units</t>
  </si>
  <si>
    <t>Year-ending employees</t>
  </si>
  <si>
    <t>Retail Units Sold</t>
  </si>
  <si>
    <t>Number of markets</t>
  </si>
  <si>
    <t>IRCs</t>
  </si>
  <si>
    <t>Vehicle Inventory</t>
  </si>
  <si>
    <t>Total Vehicle Revenue</t>
  </si>
  <si>
    <t>Wholesale Units Sold</t>
  </si>
  <si>
    <t>Retail GPU</t>
  </si>
  <si>
    <t>Wholesale GPU</t>
  </si>
  <si>
    <t>Retail ASP</t>
  </si>
  <si>
    <t>Wholesale ASP</t>
  </si>
  <si>
    <t>Finance receivables held for sale, net</t>
  </si>
  <si>
    <t>Beneficial interests in securitizations</t>
  </si>
  <si>
    <t>Operating leases</t>
  </si>
  <si>
    <t>Calc. Days to Sale (Total)</t>
  </si>
  <si>
    <t>Reported Days to Sale (Retail)</t>
  </si>
  <si>
    <t>Calc. Days to Sale (Retail)</t>
  </si>
  <si>
    <t>Calc. Days to Sale (Retail) #2</t>
  </si>
  <si>
    <t>Vending Machines</t>
  </si>
  <si>
    <t>Wholesale as % of Total</t>
  </si>
  <si>
    <t>Utilization (Retail)</t>
  </si>
  <si>
    <t>Utilization (Total)</t>
  </si>
  <si>
    <t>IRC Capacity (000 Units)</t>
  </si>
  <si>
    <t>Net change in finance receivables</t>
  </si>
  <si>
    <t>Per Unit</t>
  </si>
  <si>
    <t>Total SG&amp;A</t>
  </si>
  <si>
    <t>Retail EBIT</t>
  </si>
  <si>
    <t>Plus Other GPU</t>
  </si>
  <si>
    <t>Retail + Other EBIT</t>
  </si>
  <si>
    <t>Gain on sale of auto finance receivables</t>
  </si>
  <si>
    <t>VSC commission</t>
  </si>
  <si>
    <t>GAP</t>
  </si>
  <si>
    <t>GAP to VSC ratio</t>
  </si>
  <si>
    <t>Total Other Revenue</t>
  </si>
  <si>
    <t>VSC per unit ($/unit)</t>
  </si>
  <si>
    <t>GAP per unit ($/unit)</t>
  </si>
  <si>
    <t>Floor Plan Facility</t>
  </si>
  <si>
    <t>Financing Receivable Facilities</t>
  </si>
  <si>
    <t>Financing of beneficial securit.</t>
  </si>
  <si>
    <t>Notes Payable</t>
  </si>
  <si>
    <t>Real estate financing</t>
  </si>
  <si>
    <t>Senior Notes</t>
  </si>
  <si>
    <t>Finance Leases</t>
  </si>
  <si>
    <t>Total Lease Expense</t>
  </si>
  <si>
    <t>Additions</t>
  </si>
  <si>
    <t>Cars purchased from consumers</t>
  </si>
  <si>
    <t>Markets &lt;12M Old</t>
  </si>
  <si>
    <t>Markets &lt;12M Old (%)</t>
  </si>
  <si>
    <t>Retail Gross Margin</t>
  </si>
  <si>
    <t>Wholesale Gross Margin</t>
  </si>
  <si>
    <t>Retail Units Sourced from Consumers</t>
  </si>
  <si>
    <t>Retail Units Sourced from Consumers (%)</t>
  </si>
  <si>
    <t>y/y growth</t>
  </si>
  <si>
    <t>Total U.S. Used Vehicle Sales (mln)</t>
  </si>
  <si>
    <t>Market Share</t>
  </si>
  <si>
    <t>Change in Market Share</t>
  </si>
  <si>
    <t>'15-20</t>
  </si>
  <si>
    <t>As % of Revenue</t>
  </si>
  <si>
    <t>y/y</t>
  </si>
  <si>
    <t>VSC/GAP as % of Retail Revenue</t>
  </si>
  <si>
    <t>Finance receivables held for sale</t>
  </si>
  <si>
    <t>Interest in securitizations</t>
  </si>
  <si>
    <t>Estimated interest rate</t>
  </si>
  <si>
    <t>Finance receivables income</t>
  </si>
  <si>
    <t>Securitization income</t>
  </si>
  <si>
    <t>Origination</t>
  </si>
  <si>
    <t>Sales</t>
  </si>
  <si>
    <t>Principal Payment on Receivables Held</t>
  </si>
  <si>
    <t>Purchase of Receivables</t>
  </si>
  <si>
    <t>Gain on Sale</t>
  </si>
  <si>
    <t>Estimated Vehicles Financed (000)</t>
  </si>
  <si>
    <t>Total Vehicles Sold</t>
  </si>
  <si>
    <t>% Share</t>
  </si>
  <si>
    <t>As % of Origination</t>
  </si>
  <si>
    <t>Ending Receivables Held for Sale</t>
  </si>
  <si>
    <t>Beginning Receivables Held for Sale</t>
  </si>
  <si>
    <t>Provision for bad debt</t>
  </si>
  <si>
    <t>% of ASP Financed</t>
  </si>
  <si>
    <t>Provision %</t>
  </si>
  <si>
    <t>Loan length (months)</t>
  </si>
  <si>
    <t>Per Vehicle</t>
  </si>
  <si>
    <t>y/y Growth</t>
  </si>
  <si>
    <t>Finance Receivables:</t>
  </si>
  <si>
    <t>Securitizations:</t>
  </si>
  <si>
    <t xml:space="preserve">Beginning Interest in Securitization </t>
  </si>
  <si>
    <t xml:space="preserve">Ending Interest in Securitization </t>
  </si>
  <si>
    <t>Principal Payments received</t>
  </si>
  <si>
    <t>Unrealized gain/loss</t>
  </si>
  <si>
    <t>Receivable Sales Breakdown</t>
  </si>
  <si>
    <t>Securitization</t>
  </si>
  <si>
    <t>MPSA (Ally Bank/Ally Financial)</t>
  </si>
  <si>
    <t>Total Sales</t>
  </si>
  <si>
    <t>2018 Master Transfer Agreement</t>
  </si>
  <si>
    <t>Fixed Pool Loan Sales</t>
  </si>
  <si>
    <t>Increase in Securitizations</t>
  </si>
  <si>
    <t>Share of total securitized</t>
  </si>
  <si>
    <t>Implied Securitization Term (years)</t>
  </si>
  <si>
    <t>% Securitization</t>
  </si>
  <si>
    <t>CAF</t>
  </si>
  <si>
    <t>Tier 2</t>
  </si>
  <si>
    <t>Tier 3</t>
  </si>
  <si>
    <t>KMX NPV/loan:</t>
  </si>
  <si>
    <t>Weighted Average</t>
  </si>
  <si>
    <t>Finance receivables and beneficial interests</t>
  </si>
  <si>
    <t>Transportation fleet</t>
  </si>
  <si>
    <t>Real estate</t>
  </si>
  <si>
    <t>Total Asset-Based Financing</t>
  </si>
  <si>
    <t>Less: unamortized premium and debt iss. Costs</t>
  </si>
  <si>
    <t>Total debt, net</t>
  </si>
  <si>
    <t>Delta</t>
  </si>
  <si>
    <t>Floor Plan Facility as a % of Inventory</t>
  </si>
  <si>
    <t>Restricted Cash as a % of Floor Plan Facility</t>
  </si>
  <si>
    <t>Debt extinguisment costs</t>
  </si>
  <si>
    <t>Interest Expense</t>
  </si>
  <si>
    <t>Interest Expense, net</t>
  </si>
  <si>
    <t>Capitalized Interest</t>
  </si>
  <si>
    <t>Total interest costs, net</t>
  </si>
  <si>
    <t>Land and site improvements</t>
  </si>
  <si>
    <t>Buildings and improvements</t>
  </si>
  <si>
    <t>Software</t>
  </si>
  <si>
    <t>Furniture, fixtures, and equipment</t>
  </si>
  <si>
    <t>PP&amp;E, gross</t>
  </si>
  <si>
    <t>Accumulated D&amp;A</t>
  </si>
  <si>
    <t>Construction in progress</t>
  </si>
  <si>
    <t>PP&amp;E, net</t>
  </si>
  <si>
    <t>Transportation fleet - asset based fin (%)</t>
  </si>
  <si>
    <t>Beginning PP&amp;E, net</t>
  </si>
  <si>
    <t>Capitalized software</t>
  </si>
  <si>
    <t>Other Organic Spending</t>
  </si>
  <si>
    <t>Organic Spending</t>
  </si>
  <si>
    <t>D&amp;A</t>
  </si>
  <si>
    <t>Ending PP&amp;E, net</t>
  </si>
  <si>
    <t>Average remaining useful life (yrs)</t>
  </si>
  <si>
    <t>PP&amp;E growth yoy</t>
  </si>
  <si>
    <t>Developed technology</t>
  </si>
  <si>
    <t>Customer relationships</t>
  </si>
  <si>
    <t>Non-compete agreements</t>
  </si>
  <si>
    <t>Intangibles, gross</t>
  </si>
  <si>
    <t>Intangibles, net</t>
  </si>
  <si>
    <t>Beginning Intangibles, net</t>
  </si>
  <si>
    <t>PP&amp;E and Intangible D&amp;A</t>
  </si>
  <si>
    <t>Cash Flow D&amp;A</t>
  </si>
  <si>
    <t>Diff</t>
  </si>
  <si>
    <t>Beginning ROU assets</t>
  </si>
  <si>
    <t>Ending ROU assets (End)</t>
  </si>
  <si>
    <t>ROU assets as a % of PP&amp;E</t>
  </si>
  <si>
    <t>ROU assets as a % of Revenue</t>
  </si>
  <si>
    <t>Principal Payments</t>
  </si>
  <si>
    <t>Interest Payments</t>
  </si>
  <si>
    <t>Total ROU Lease Expense</t>
  </si>
  <si>
    <t>As a % of Market Occp. And Other</t>
  </si>
  <si>
    <t>Weighted Average discount rate</t>
  </si>
  <si>
    <t>Principal Payments as a % of ROU</t>
  </si>
  <si>
    <t>Ending Intangibles, net</t>
  </si>
  <si>
    <t>2016/17 Master Transfer Agreement</t>
  </si>
  <si>
    <t>Total VSC/GAP per unit ($/unit)</t>
  </si>
  <si>
    <t>KMX EPP per unit ($/unit)</t>
  </si>
  <si>
    <t>Beginning Class A Shares</t>
  </si>
  <si>
    <t>Ending Class A Shares</t>
  </si>
  <si>
    <t>Class B Exchange</t>
  </si>
  <si>
    <t>Beginning Class B Shares</t>
  </si>
  <si>
    <t>Class A Exchange</t>
  </si>
  <si>
    <t>Ending Class B Shares</t>
  </si>
  <si>
    <t>Beginning Class A LLC Units</t>
  </si>
  <si>
    <t>Ending Class A LLC Units</t>
  </si>
  <si>
    <t>LLC Unitholder Exchange</t>
  </si>
  <si>
    <t>Beginning LLC Unitholder LLC Units</t>
  </si>
  <si>
    <t>Ending LLC Unitholder LLC Units</t>
  </si>
  <si>
    <t>Beginning Total LLC Units</t>
  </si>
  <si>
    <t>Ending Total LLC Units</t>
  </si>
  <si>
    <t>Secondary Issue</t>
  </si>
  <si>
    <t>Public interest in LLC Units (year-end)</t>
  </si>
  <si>
    <t>Minority interest (year-end)</t>
  </si>
  <si>
    <t>Inventory Days</t>
  </si>
  <si>
    <t>Fully Diluted Class A Shares</t>
  </si>
  <si>
    <t>W.A Class A - diluted</t>
  </si>
  <si>
    <t>W.A Class A - basic</t>
  </si>
  <si>
    <t>PP&amp;E as % of Revenue</t>
  </si>
  <si>
    <t>PP&amp;E/Retail Unit</t>
  </si>
  <si>
    <t>Other as % of Organic</t>
  </si>
  <si>
    <t>Unpledged Interest in Securit. (%)</t>
  </si>
  <si>
    <t>Avg Rec. as a % of adj. Retail tied to vehicles financed</t>
  </si>
  <si>
    <t>Inventory financed by Floor Plan facility</t>
  </si>
  <si>
    <t>Financing Receivable funded with debt</t>
  </si>
  <si>
    <t>Recourse Debt</t>
  </si>
  <si>
    <t>Recourse D/EBITDA</t>
  </si>
  <si>
    <t>Recourse debt</t>
  </si>
  <si>
    <t>Recourse net debt</t>
  </si>
  <si>
    <t>New Debt</t>
  </si>
  <si>
    <t>Recourse D/EBITDA (ex. Leases)</t>
  </si>
  <si>
    <t>Interest coverage</t>
  </si>
  <si>
    <t>Total Units</t>
  </si>
  <si>
    <t>IRC capacity (ending)</t>
  </si>
  <si>
    <t>IRC capacity (average)</t>
  </si>
  <si>
    <t>PP&amp;E per unit sold</t>
  </si>
  <si>
    <t>PP&amp;E per unit of capacity</t>
  </si>
  <si>
    <t>ALL SUB INDUSTRIES</t>
  </si>
  <si>
    <t>Aerospace/Defense</t>
  </si>
  <si>
    <t>Agriculture</t>
  </si>
  <si>
    <t>Airlines</t>
  </si>
  <si>
    <t>Apparel</t>
  </si>
  <si>
    <t>Auto Manufacturers</t>
  </si>
  <si>
    <t>Auto Parts&amp;Equipment</t>
  </si>
  <si>
    <t>Banks</t>
  </si>
  <si>
    <t>Beverages</t>
  </si>
  <si>
    <t>Biotechnology</t>
  </si>
  <si>
    <t>Building Materials</t>
  </si>
  <si>
    <t>Chemicals</t>
  </si>
  <si>
    <t>Coal</t>
  </si>
  <si>
    <t>Commercial Services</t>
  </si>
  <si>
    <t>Computers</t>
  </si>
  <si>
    <t>Cosmetics/Personal Care</t>
  </si>
  <si>
    <t>Distribution/Wholesale</t>
  </si>
  <si>
    <t>Diversified Finan Serv</t>
  </si>
  <si>
    <t>Electric</t>
  </si>
  <si>
    <t>Electrical Compo&amp;Equip</t>
  </si>
  <si>
    <t>Electronics</t>
  </si>
  <si>
    <t>Energy-Alternate Sources</t>
  </si>
  <si>
    <t>Engineering&amp;Construction</t>
  </si>
  <si>
    <t>Environmental Control</t>
  </si>
  <si>
    <t>Food</t>
  </si>
  <si>
    <t>Food Service</t>
  </si>
  <si>
    <t>Forest Products&amp;Paper</t>
  </si>
  <si>
    <t>Gas</t>
  </si>
  <si>
    <t>Hand/Machine Tools</t>
  </si>
  <si>
    <t>Healthcare-Products</t>
  </si>
  <si>
    <t>Healthcare-Services</t>
  </si>
  <si>
    <t>Holding Companies-Divers</t>
  </si>
  <si>
    <t>Home Builders</t>
  </si>
  <si>
    <t>Home Furnishings</t>
  </si>
  <si>
    <t>Household Products/Wares</t>
  </si>
  <si>
    <t>Housewares</t>
  </si>
  <si>
    <t>Insurance</t>
  </si>
  <si>
    <t>Internet</t>
  </si>
  <si>
    <t>Investment Companies</t>
  </si>
  <si>
    <t>Iron/Steel</t>
  </si>
  <si>
    <t>Leisure Time</t>
  </si>
  <si>
    <t>Lodging</t>
  </si>
  <si>
    <t>Machinery-Constr&amp;Mining</t>
  </si>
  <si>
    <t>Machinery-Diversified</t>
  </si>
  <si>
    <t>Media</t>
  </si>
  <si>
    <t>Metal Fabricate/Hardware</t>
  </si>
  <si>
    <t>Mining</t>
  </si>
  <si>
    <t>Miscellaneous Manufactur</t>
  </si>
  <si>
    <t>Office/Business Equip</t>
  </si>
  <si>
    <t>Oil&amp;Gas</t>
  </si>
  <si>
    <t>Oil&amp;Gas Services</t>
  </si>
  <si>
    <t>Packaging&amp;Containers</t>
  </si>
  <si>
    <t>Pharmaceuticals</t>
  </si>
  <si>
    <t>Pipelines</t>
  </si>
  <si>
    <t>Private Equity</t>
  </si>
  <si>
    <t>Real Estate</t>
  </si>
  <si>
    <t>REITS</t>
  </si>
  <si>
    <t>Savings&amp;Loans</t>
  </si>
  <si>
    <t>Semiconductors</t>
  </si>
  <si>
    <t>Shipbuilding</t>
  </si>
  <si>
    <t>Storage/Warehousing</t>
  </si>
  <si>
    <t>Telecommunications</t>
  </si>
  <si>
    <t>Textiles</t>
  </si>
  <si>
    <t>Toys/Games/Hobbies</t>
  </si>
  <si>
    <t>Transportation</t>
  </si>
  <si>
    <t>Water</t>
  </si>
  <si>
    <t>World</t>
  </si>
  <si>
    <t>JAPAN</t>
  </si>
  <si>
    <t>BRITAIN</t>
  </si>
  <si>
    <t>Reinvestment</t>
  </si>
  <si>
    <t>CANADA</t>
  </si>
  <si>
    <t>AUSTRALIA</t>
  </si>
  <si>
    <t>FRANCE</t>
  </si>
  <si>
    <t>GERMANY</t>
  </si>
  <si>
    <t>SWITZERLAND</t>
  </si>
  <si>
    <t>HONG KONG</t>
  </si>
  <si>
    <t>ITALY</t>
  </si>
  <si>
    <t>SWEDEN</t>
  </si>
  <si>
    <t>SINGAPORE</t>
  </si>
  <si>
    <t>SPAIN</t>
  </si>
  <si>
    <t>NETHERLANDS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</si>
</sst>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8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\x"/>
    <numFmt numFmtId="166" formatCode="0.0%"/>
    <numFmt numFmtId="167" formatCode="&quot;$&quot;#,##0.00"/>
    <numFmt numFmtId="168" formatCode=";;;"/>
    <numFmt numFmtId="169" formatCode="&quot;Price&quot;"/>
    <numFmt numFmtId="170" formatCode="yy\-mm\-dd;@"/>
    <numFmt numFmtId="171" formatCode="&quot;$&quot;#,##0"/>
    <numFmt numFmtId="172" formatCode="#,##0.000"/>
    <numFmt numFmtId="173" formatCode="0.0000"/>
    <numFmt numFmtId="174" formatCode="#,##0.0"/>
    <numFmt numFmtId="175" formatCode="0.0"/>
    <numFmt numFmtId="176" formatCode="_(* #,##0_);_(* \(#,##0\);_(* &quot;-&quot;??_);_(@_)"/>
    <numFmt numFmtId="177" formatCode="#,##0;\(#,##0\);\-"/>
    <numFmt numFmtId="178" formatCode="#,##0.0\ ;\(#,##0.0\)"/>
    <numFmt numFmtId="179" formatCode="#,##0,;;;&quot;$K&quot;"/>
    <numFmt numFmtId="180" formatCode="_ * #,##0.00_ ;_ * \-#,##0.00_ ;_ * &quot;-&quot;??_ ;_ @_ "/>
    <numFmt numFmtId="181" formatCode="#,##0.0_);\(#,##0.0\);0_._0_)"/>
    <numFmt numFmtId="182" formatCode="0.0_)\%;\(0.0\)\%;0.0_)\%;@_)_%"/>
    <numFmt numFmtId="183" formatCode="#,##0.0_)_%;\(#,##0.0\)_%;0.0_)_%;@_)_%"/>
    <numFmt numFmtId="184" formatCode="#,##0.0_);\(#,##0.0\);#,##0.0_);@_)"/>
    <numFmt numFmtId="185" formatCode="dd\-mmm\-yy_)"/>
    <numFmt numFmtId="186" formatCode="#,##0.0_);\(#,##0.0\)"/>
    <numFmt numFmtId="187" formatCode="&quot;$&quot;_(#,##0.00_);&quot;$&quot;\(#,##0.00\);&quot;$&quot;_(0.00_);@_)"/>
    <numFmt numFmtId="188" formatCode="&quot;$&quot;_(#,##0.00_);&quot;$&quot;\(#,##0.00\)"/>
    <numFmt numFmtId="189" formatCode="&quot;$&quot;#,##0.000_);[Red]\(&quot;$&quot;#,##0.000\)"/>
    <numFmt numFmtId="190" formatCode="&quot;£&quot;_(#,##0.00_);&quot;£&quot;\(#,##0.00\)"/>
    <numFmt numFmtId="191" formatCode="&quot;£&quot;_(#,##0.00_);&quot;£&quot;\(#,##0.00\);&quot;£&quot;_(0.00_);@_)"/>
    <numFmt numFmtId="192" formatCode="#,##0.00_);\(#,##0.00\);0.00_);@_)"/>
    <numFmt numFmtId="193" formatCode="0.0_)"/>
    <numFmt numFmtId="194" formatCode="\€_(#,##0.00_);\€\(#,##0.00\);\€_(0.00_);@_)"/>
    <numFmt numFmtId="195" formatCode="0.00_)"/>
    <numFmt numFmtId="196" formatCode="#,##0_)\x;\(#,##0\)\x;0_)\x;@_)_x"/>
    <numFmt numFmtId="197" formatCode="#,##0.0_)\x;\(#,##0.0\)\x;0.0_)\x;@_)_x"/>
    <numFmt numFmtId="198" formatCode="#,##0.0_)\x;\(#,##0.0\)\x"/>
    <numFmt numFmtId="199" formatCode="&quot;$&quot;#,##0.0000_);[Red]\(&quot;$&quot;#,##0.0000\)"/>
    <numFmt numFmtId="200" formatCode="#,##0_)_x;\(#,##0\)_x;0_)_x;@_)_x"/>
    <numFmt numFmtId="201" formatCode="#,##0.0_)_x;\(#,##0.0\)_x;0.0_)_x;@_)_x"/>
    <numFmt numFmtId="202" formatCode="#,##0.0_)_x;\(#,##0.0\)_x"/>
    <numFmt numFmtId="203" formatCode="&quot;$&quot;#,##0.0_);[Red]\(&quot;$&quot;#,##0.0\)"/>
    <numFmt numFmtId="204" formatCode="0.0_)\%;\(0.0\)\%"/>
    <numFmt numFmtId="205" formatCode="#,##0.000_);\(#,##0.000\)"/>
    <numFmt numFmtId="206" formatCode="#,##0.0_)_%;\(#,##0.0\)_%"/>
    <numFmt numFmtId="207" formatCode="&quot;!&quot;#,##0_);\(&quot;!&quot;#,##0\)"/>
    <numFmt numFmtId="208" formatCode="_(* #,##0_);_(* \(#,##0\);_(* &quot; - &quot;_);_(@_)"/>
    <numFmt numFmtId="209" formatCode="#,##0,\ ;[Red]\(#,##0,\);&quot;&quot;"/>
    <numFmt numFmtId="210" formatCode="#,##0,_$;\-#,##0,_$"/>
    <numFmt numFmtId="211" formatCode="#,##0;\-#,##0;&quot;-&quot;"/>
    <numFmt numFmtId="212" formatCode="0.00000000%"/>
    <numFmt numFmtId="213" formatCode="0.0&quot;  &quot;"/>
    <numFmt numFmtId="214" formatCode="0.000&quot;  &quot;"/>
    <numFmt numFmtId="215" formatCode="0.0000&quot;  &quot;"/>
    <numFmt numFmtId="216" formatCode="0.00000&quot;  &quot;"/>
    <numFmt numFmtId="217" formatCode="0%;\(0%\)"/>
    <numFmt numFmtId="218" formatCode="0.00&quot;  &quot;"/>
    <numFmt numFmtId="219" formatCode="#,##0\ ;[Red]\(#,##0\)"/>
    <numFmt numFmtId="220" formatCode="[$-409]mmmm\ d\,\ yyyy;@"/>
    <numFmt numFmtId="221" formatCode="#,##0.00\ &quot;F&quot;;[Red]\-#,##0.00\ &quot;F&quot;"/>
    <numFmt numFmtId="222" formatCode="&quot;$&quot;#,##0.0_);\(&quot;$&quot;#,##0.0\)"/>
    <numFmt numFmtId="223" formatCode="_(&quot;$&quot;* #,##0.0_);_(&quot;$&quot;* \(#,##0.0\);_(&quot;$&quot;* &quot;-&quot;??_);_(@_)"/>
    <numFmt numFmtId="224" formatCode="_-* #,##0.0\ _F_-;\-* #,##0.0\ _F_-;_-* \-?\ _F_-;_-@_-"/>
    <numFmt numFmtId="225" formatCode="&quot;\&quot;#,##0;&quot;\&quot;&quot;\&quot;&quot;\&quot;&quot;\&quot;\-#,##0"/>
    <numFmt numFmtId="226" formatCode="&quot;$&quot;#,##0\ ;\(&quot;$&quot;#,##0\)"/>
    <numFmt numFmtId="227" formatCode="0.00000"/>
    <numFmt numFmtId="228" formatCode="_(* #,##0_);_(* \(#,##0\);_(* &quot;0&quot;??_);_(@_)"/>
    <numFmt numFmtId="229" formatCode="#,##0;\(#,##0\)"/>
    <numFmt numFmtId="230" formatCode="#,##0.00000"/>
    <numFmt numFmtId="231" formatCode="#,##0.0;\(#,##0.0\)"/>
    <numFmt numFmtId="232" formatCode="mmm\-d\-yyyy"/>
    <numFmt numFmtId="233" formatCode="_(* #,##0_);_(* \(#,##0\);_(* &quot;&quot;\ \-\ &quot;&quot;_);_(@_)"/>
    <numFmt numFmtId="234" formatCode="_(* #,##0_);[Red]_(* \(#,##0\);_(* &quot;&quot;\ \-\ &quot;&quot;_);_(@_)"/>
    <numFmt numFmtId="235" formatCode="#,##0,_$;[Red]\-#,##0,_$"/>
    <numFmt numFmtId="236" formatCode="#,##0.00,_$;[Red]\-#,##0.00,_$"/>
    <numFmt numFmtId="237" formatCode="_(* #,###.00_);_(* \(#,###.00\);_(* &quot;-&quot;??_);_(@_)"/>
    <numFmt numFmtId="238" formatCode="_(&quot;$&quot;* \ #,##0.00_);_(&quot;$&quot;* \ \(#,##0.00\);_(&quot;$&quot;* \ &quot;-&quot;??_);_(@_)"/>
    <numFmt numFmtId="239" formatCode="_(&quot;$&quot;* #,##0,_);_(&quot;$&quot;* \(#,##0,\);_(&quot;$&quot;* &quot;-&quot;_);_(@_)"/>
    <numFmt numFmtId="240" formatCode="_([$€]* #,##0.00_);_([$€]* \(#,##0.00\);_([$€]* &quot;-&quot;??_);_(@_)"/>
    <numFmt numFmtId="241" formatCode="_-* #,##0.00\ [$€]_-;\-* #,##0.00\ [$€]_-;_-* &quot;-&quot;??\ [$€]_-;_-@_-"/>
    <numFmt numFmtId="242" formatCode="_-* #,##0.00\ &quot;€&quot;_-;\-* #,##0.00\ &quot;€&quot;_-;_-* &quot;-&quot;??\ &quot;€&quot;_-;_-@_-"/>
    <numFmt numFmtId="243" formatCode="\$#,##0_);[Red]&quot;($&quot;#,##0\)"/>
    <numFmt numFmtId="244" formatCode="#,##0,,,\ ;;;&quot;Gb/s&quot;"/>
    <numFmt numFmtId="245" formatCode="&quot;$&quot;#,##0,_);\(&quot;$&quot;#,##0\)"/>
    <numFmt numFmtId="246" formatCode="0;;"/>
    <numFmt numFmtId="247" formatCode="_-* #,##0.00\ &quot;DM&quot;_-;\-* #,##0.00\ &quot;DM&quot;_-;_-* &quot;-&quot;??\ &quot;DM&quot;_-;_-@_-"/>
    <numFmt numFmtId="248" formatCode="#,##0.0_);[Red]\(#,##0.0\)"/>
    <numFmt numFmtId="249" formatCode="#,##0.000%_);[Red]\(#,##0.000%\)"/>
    <numFmt numFmtId="250" formatCode="mm/dd/yy;;;"/>
    <numFmt numFmtId="251" formatCode="#,##0,;;;&quot;Kb/s&quot;"/>
    <numFmt numFmtId="252" formatCode="#,##0,,;;;&quot;Mb/s&quot;"/>
    <numFmt numFmtId="253" formatCode="_-* #,##0\ _D_M_-;\-* #,##0\ _D_M_-;_-* &quot;-&quot;\ _D_M_-;_-@_-"/>
    <numFmt numFmtId="254" formatCode="_-* #,##0.00\ _D_M_-;\-* #,##0.00\ _D_M_-;_-* &quot;-&quot;??\ _D_M_-;_-@_-"/>
    <numFmt numFmtId="255" formatCode="&quot;$&quot;0.000"/>
    <numFmt numFmtId="256" formatCode="_-* #,##0\ &quot;DM&quot;_-;\-* #,##0\ &quot;DM&quot;_-;_-* &quot;-&quot;\ &quot;DM&quot;_-;_-@_-"/>
    <numFmt numFmtId="257" formatCode="_-&quot;£&quot;* #,##0.00_-;\-&quot;£&quot;* #,##0.00_-;_-&quot;£&quot;* &quot;-&quot;??_-;_-@_-"/>
    <numFmt numFmtId="258" formatCode="0.0;\(0.0\)"/>
    <numFmt numFmtId="259" formatCode="#,##0.0_);[Red]\(#,##0.0\);&quot;N/A &quot;"/>
    <numFmt numFmtId="260" formatCode="###0.0_x;\(###0.0\)_x"/>
    <numFmt numFmtId="261" formatCode="\$#,##0_);&quot;($&quot;#,##0\)"/>
    <numFmt numFmtId="262" formatCode="#,##0.0%_);\(#,##0.0&quot;%)&quot;"/>
    <numFmt numFmtId="263" formatCode="#,##0.0,,_);\(#,##0.0,,\);\-_)"/>
    <numFmt numFmtId="264" formatCode="#,##0_);\(#,##0\);\-_)"/>
    <numFmt numFmtId="265" formatCode="_-* #,##0.000000_-;\-* #,##0.000000_-;_-* \-??_-;_-@_-"/>
    <numFmt numFmtId="266" formatCode="#,##0.0,_);\(#,##0.0,\);\-_)"/>
    <numFmt numFmtId="267" formatCode="#,##0.00_);\(#,##0.00\);\-_)"/>
    <numFmt numFmtId="268" formatCode="0.0%&quot;NetPPE/sales&quot;"/>
    <numFmt numFmtId="269" formatCode="#,##0&quot; &quot;\ &quot; &quot;;[Red]\(#,##0\)\ &quot; &quot;;&quot;—&quot;&quot; &quot;&quot; &quot;&quot; &quot;&quot; &quot;"/>
    <numFmt numFmtId="270" formatCode="0.0%&quot;NWI/Sls&quot;"/>
    <numFmt numFmtId="271" formatCode="_(\$* #,##0.00_);_(\$* \(#,##0.00\);_(\$* \-??_);_(@_)"/>
    <numFmt numFmtId="272" formatCode="mmmm\ dd\,\ yyyy"/>
    <numFmt numFmtId="273" formatCode="0.000000000"/>
    <numFmt numFmtId="274" formatCode="_(* #,##0_);_(* \(#,##0\);_(* \-_);_(@_)"/>
    <numFmt numFmtId="275" formatCode="0.000000"/>
    <numFmt numFmtId="276" formatCode="0.0%&quot;Sales&quot;"/>
    <numFmt numFmtId="277" formatCode="0.0%_);\(0.0%\)"/>
    <numFmt numFmtId="278" formatCode="mm/dd/yy"/>
    <numFmt numFmtId="279" formatCode="#,##0.0\ ;[Red]\-#,##0.0\ "/>
    <numFmt numFmtId="280" formatCode="0.0000000000000"/>
    <numFmt numFmtId="281" formatCode="0.0%;[Red]\(0.0%\);&quot; &quot;"/>
    <numFmt numFmtId="282" formatCode="_-* #,##0.000_-;\-* #,##0.000_-;_-* &quot;-&quot;??_-;_-@_-"/>
    <numFmt numFmtId="283" formatCode="&quot;TFCF: &quot;#,##0_);[Red]&quot;No! &quot;\(#,##0\)"/>
    <numFmt numFmtId="284" formatCode="_(* #,##0,_);[Red]_(* \(#,##0,\);_(* 0_);_(@_)"/>
    <numFmt numFmtId="285" formatCode="_(* #,##0_);[Red]_(* \(#,##0\);_(* 0_);_(@_)"/>
    <numFmt numFmtId="286" formatCode="_-* #,##0\ _B_F_-;\-* #,##0\ _B_F_-;_-* &quot;-&quot;\ _B_F_-;_-@_-"/>
    <numFmt numFmtId="287" formatCode="_-* #,##0.00\ _B_F_-;\-* #,##0.00\ _B_F_-;_-* &quot;-&quot;??\ _B_F_-;_-@_-"/>
    <numFmt numFmtId="288" formatCode="&quot;\&quot;#,##0;[Red]&quot;\&quot;&quot;\&quot;\-#,##0"/>
    <numFmt numFmtId="289" formatCode="&quot;\&quot;#,##0.00;[Red]&quot;\&quot;&quot;\&quot;&quot;\&quot;&quot;\&quot;&quot;\&quot;&quot;\&quot;\-#,##0.00"/>
    <numFmt numFmtId="290" formatCode="&quot;\&quot;#,##0;[Red]&quot;\&quot;\-#,##0"/>
    <numFmt numFmtId="291" formatCode="_-* #,##0\ &quot;BF&quot;_-;\-* #,##0\ &quot;BF&quot;_-;_-* &quot;-&quot;\ &quot;BF&quot;_-;_-@_-"/>
    <numFmt numFmtId="292" formatCode="_-* #,##0.00\ &quot;BF&quot;_-;\-* #,##0.00\ &quot;BF&quot;_-;_-* &quot;-&quot;??\ &quot;BF&quot;_-;_-@_-"/>
    <numFmt numFmtId="293" formatCode="&quot;$&quot;#,##0.0"/>
    <numFmt numFmtId="294" formatCode="#,##0.0000"/>
  </numFmts>
  <fonts count="28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Trebuchet MS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color indexed="12"/>
      <name val="Arial"/>
      <family val="2"/>
    </font>
    <font>
      <sz val="10"/>
      <name val="Helv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8"/>
      <name val="Times New Roman"/>
      <family val="1"/>
    </font>
    <font>
      <sz val="8"/>
      <name val="Arial"/>
      <family val="2"/>
    </font>
    <font>
      <sz val="7"/>
      <name val="Times New Roman"/>
      <family val="1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2"/>
      <name val="Helv"/>
      <family val="2"/>
    </font>
    <font>
      <sz val="12"/>
      <name val="Times New Roman"/>
      <family val="1"/>
    </font>
    <font>
      <sz val="12"/>
      <name val="????"/>
      <charset val="136"/>
    </font>
    <font>
      <sz val="10"/>
      <name val="Helvetica-Narrow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AngsanaUPC"/>
      <family val="1"/>
    </font>
    <font>
      <sz val="10"/>
      <name val="MS Sans Serif"/>
      <family val="2"/>
    </font>
    <font>
      <sz val="10"/>
      <color indexed="8"/>
      <name val="Times New Roman"/>
      <family val="2"/>
    </font>
    <font>
      <sz val="11"/>
      <color indexed="8"/>
      <name val="宋体"/>
      <charset val="134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9"/>
      <name val="宋体"/>
      <charset val="134"/>
    </font>
    <font>
      <sz val="12"/>
      <color indexed="9"/>
      <name val="新細明體"/>
      <family val="1"/>
      <charset val="136"/>
    </font>
    <font>
      <sz val="8"/>
      <name val="Tahoma"/>
      <family val="2"/>
    </font>
    <font>
      <sz val="10"/>
      <name val="TimesNewRomanPS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color indexed="9"/>
      <name val="Univers (WN)"/>
      <family val="2"/>
    </font>
    <font>
      <b/>
      <sz val="14"/>
      <name val="Univers (WN)"/>
    </font>
    <font>
      <i/>
      <sz val="14"/>
      <color indexed="8"/>
      <name val="Arial"/>
      <family val="2"/>
    </font>
    <font>
      <b/>
      <i/>
      <u/>
      <sz val="14"/>
      <name val="Arial"/>
      <family val="2"/>
    </font>
    <font>
      <b/>
      <sz val="12"/>
      <color indexed="8"/>
      <name val="Times New Roman"/>
      <family val="1"/>
    </font>
    <font>
      <sz val="10"/>
      <name val="Century Gothic"/>
      <family val="2"/>
    </font>
    <font>
      <i/>
      <sz val="12"/>
      <color indexed="8"/>
      <name val="Arial"/>
      <family val="2"/>
    </font>
    <font>
      <sz val="8"/>
      <name val="Verdana"/>
      <family val="2"/>
    </font>
    <font>
      <b/>
      <sz val="10"/>
      <name val="MS Sans Serif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Arial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9"/>
      <color indexed="12"/>
      <name val="Times New Roman"/>
      <family val="1"/>
    </font>
    <font>
      <b/>
      <i/>
      <sz val="10"/>
      <name val="Arial"/>
      <family val="2"/>
    </font>
    <font>
      <b/>
      <sz val="10"/>
      <color indexed="9"/>
      <name val="Times New Roman"/>
      <family val="2"/>
    </font>
    <font>
      <sz val="10"/>
      <color indexed="8"/>
      <name val="ARIAL"/>
      <family val="2"/>
      <charset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sz val="8"/>
      <color indexed="12"/>
      <name val="Helv"/>
    </font>
    <font>
      <sz val="10"/>
      <name val="MS Serif"/>
      <family val="1"/>
    </font>
    <font>
      <sz val="9"/>
      <name val="Helv"/>
    </font>
    <font>
      <sz val="11"/>
      <color indexed="12"/>
      <name val="Book Antiqua"/>
      <family val="1"/>
    </font>
    <font>
      <sz val="11"/>
      <name val="돋움"/>
      <family val="1"/>
      <charset val="136"/>
    </font>
    <font>
      <b/>
      <sz val="9"/>
      <color indexed="9"/>
      <name val="Arial"/>
      <family val="2"/>
    </font>
    <font>
      <sz val="8"/>
      <name val="MS Sans Serif"/>
      <family val="2"/>
    </font>
    <font>
      <sz val="8"/>
      <color indexed="18"/>
      <name val="Comic Sans MS"/>
      <family val="4"/>
    </font>
    <font>
      <b/>
      <sz val="8"/>
      <name val="Arial"/>
      <family val="2"/>
    </font>
    <font>
      <b/>
      <sz val="10"/>
      <name val="Tms Rmn"/>
    </font>
    <font>
      <sz val="10"/>
      <name val="Geneva"/>
      <family val="2"/>
    </font>
    <font>
      <sz val="10"/>
      <color indexed="18"/>
      <name val="Arial"/>
      <family val="2"/>
    </font>
    <font>
      <b/>
      <u/>
      <sz val="8"/>
      <name val="Arial"/>
      <family val="2"/>
    </font>
    <font>
      <sz val="1.25"/>
      <name val="Arial"/>
      <family val="2"/>
    </font>
    <font>
      <b/>
      <u val="double"/>
      <sz val="9"/>
      <name val="Arial"/>
      <family val="2"/>
    </font>
    <font>
      <u val="doubleAccounting"/>
      <sz val="10"/>
      <name val="Arial"/>
      <family val="2"/>
    </font>
    <font>
      <sz val="10"/>
      <name val="Univers"/>
      <family val="2"/>
    </font>
    <font>
      <sz val="10"/>
      <color indexed="16"/>
      <name val="MS Serif"/>
      <family val="1"/>
    </font>
    <font>
      <b/>
      <u/>
      <sz val="12"/>
      <name val="Arial Narrow"/>
      <family val="2"/>
    </font>
    <font>
      <sz val="10"/>
      <name val="Helvetica 45 Light"/>
    </font>
    <font>
      <i/>
      <sz val="11"/>
      <color indexed="23"/>
      <name val="Calibri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b/>
      <sz val="8"/>
      <name val="Helv"/>
    </font>
    <font>
      <sz val="9"/>
      <name val="Geneva"/>
      <family val="2"/>
    </font>
    <font>
      <sz val="11"/>
      <color indexed="17"/>
      <name val="Calibri"/>
      <family val="2"/>
    </font>
    <font>
      <b/>
      <sz val="10"/>
      <color indexed="58"/>
      <name val="Arial"/>
      <family val="2"/>
    </font>
    <font>
      <sz val="6"/>
      <color indexed="16"/>
      <name val="Palatino"/>
      <family val="1"/>
    </font>
    <font>
      <b/>
      <sz val="8"/>
      <color indexed="8"/>
      <name val="Tahoma"/>
      <family val="2"/>
    </font>
    <font>
      <b/>
      <sz val="8"/>
      <color indexed="9"/>
      <name val="Tahoma"/>
      <family val="2"/>
    </font>
    <font>
      <b/>
      <u/>
      <sz val="8"/>
      <color indexed="8"/>
      <name val="Tahoma"/>
      <family val="2"/>
    </font>
    <font>
      <b/>
      <u/>
      <sz val="18"/>
      <name val="Geneva"/>
      <family val="2"/>
    </font>
    <font>
      <b/>
      <sz val="15"/>
      <color indexed="62"/>
      <name val="Calibri"/>
      <family val="2"/>
    </font>
    <font>
      <b/>
      <sz val="14"/>
      <name val="Univers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sz val="18"/>
      <name val="Helvetica-Black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56"/>
      <name val="Calibri"/>
      <family val="2"/>
    </font>
    <font>
      <b/>
      <sz val="10"/>
      <name val="Geneva"/>
      <family val="2"/>
    </font>
    <font>
      <b/>
      <sz val="10"/>
      <name val="Univers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Arial"/>
      <family val="2"/>
    </font>
    <font>
      <b/>
      <sz val="10.75"/>
      <name val="Arial"/>
      <family val="2"/>
    </font>
    <font>
      <b/>
      <i/>
      <sz val="20"/>
      <name val="Century Gothic"/>
      <family val="2"/>
    </font>
    <font>
      <sz val="9"/>
      <color indexed="17"/>
      <name val="Helv"/>
    </font>
    <font>
      <sz val="11"/>
      <color indexed="62"/>
      <name val="Calibri"/>
      <family val="2"/>
    </font>
    <font>
      <b/>
      <u/>
      <sz val="10"/>
      <color indexed="12"/>
      <name val="Times New Roman"/>
      <family val="1"/>
    </font>
    <font>
      <sz val="8"/>
      <color indexed="39"/>
      <name val="Arial"/>
      <family val="2"/>
    </font>
    <font>
      <sz val="8"/>
      <color indexed="12"/>
      <name val="Tahoma"/>
      <family val="2"/>
    </font>
    <font>
      <sz val="1"/>
      <color indexed="9"/>
      <name val="Symbol"/>
      <family val="1"/>
      <charset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u/>
      <sz val="7.5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6"/>
      <name val="MS Sans Serif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8"/>
      <name val="Palatino"/>
      <family val="1"/>
    </font>
    <font>
      <b/>
      <u val="singleAccounting"/>
      <sz val="9"/>
      <color indexed="9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Tahoma"/>
      <family val="2"/>
    </font>
    <font>
      <sz val="10"/>
      <name val="Arial CE"/>
    </font>
    <font>
      <sz val="10"/>
      <name val="Palatino"/>
      <family val="1"/>
    </font>
    <font>
      <i/>
      <sz val="10"/>
      <name val="Arial"/>
      <family val="2"/>
    </font>
    <font>
      <sz val="7"/>
      <color indexed="12"/>
      <name val="Arial"/>
      <family val="2"/>
    </font>
    <font>
      <i/>
      <sz val="10"/>
      <name val="Helv"/>
    </font>
    <font>
      <sz val="11"/>
      <name val="Times New Roman"/>
      <family val="1"/>
    </font>
    <font>
      <sz val="24"/>
      <name val="MS Sans Serif"/>
      <family val="2"/>
    </font>
    <font>
      <sz val="8"/>
      <color indexed="32"/>
      <name val="Comic Sans MS"/>
      <family val="4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8"/>
      <color indexed="18"/>
      <name val="Arial"/>
      <family val="2"/>
    </font>
    <font>
      <b/>
      <u/>
      <sz val="10"/>
      <name val="Arial"/>
      <family val="2"/>
    </font>
    <font>
      <sz val="7"/>
      <color indexed="10"/>
      <name val="MS Sans Serif"/>
      <family val="2"/>
    </font>
    <font>
      <sz val="10"/>
      <name val="Tms Rmn"/>
      <family val="1"/>
    </font>
    <font>
      <sz val="10"/>
      <name val="Tms Rmn"/>
    </font>
    <font>
      <sz val="16"/>
      <color indexed="9"/>
      <name val="Tahoma"/>
      <family val="2"/>
    </font>
    <font>
      <sz val="9"/>
      <color indexed="8"/>
      <name val="Helv"/>
    </font>
    <font>
      <sz val="8"/>
      <color indexed="10"/>
      <name val="Arial"/>
      <family val="2"/>
    </font>
    <font>
      <sz val="9"/>
      <color indexed="20"/>
      <name val="Helv"/>
    </font>
    <font>
      <sz val="8"/>
      <name val="Wingdings"/>
      <charset val="2"/>
    </font>
    <font>
      <b/>
      <sz val="12"/>
      <color indexed="8"/>
      <name val="Arial"/>
      <family val="2"/>
    </font>
    <font>
      <sz val="8"/>
      <name val="Helv"/>
      <family val="2"/>
    </font>
    <font>
      <sz val="8"/>
      <name val="Helv"/>
    </font>
    <font>
      <sz val="8"/>
      <name val="COUR"/>
    </font>
    <font>
      <sz val="8"/>
      <color indexed="8"/>
      <name val="Arial"/>
      <family val="2"/>
    </font>
    <font>
      <sz val="11"/>
      <color indexed="16"/>
      <name val="Arial"/>
      <family val="2"/>
    </font>
    <font>
      <sz val="9.5"/>
      <color indexed="23"/>
      <name val="Helvetica-Black"/>
    </font>
    <font>
      <b/>
      <sz val="8"/>
      <color indexed="9"/>
      <name val="Verdana"/>
      <family val="2"/>
    </font>
    <font>
      <sz val="10"/>
      <color indexed="8"/>
      <name val="Geneva"/>
      <family val="2"/>
    </font>
    <font>
      <sz val="9"/>
      <color indexed="18"/>
      <name val="Wingdings"/>
      <charset val="2"/>
    </font>
    <font>
      <sz val="10"/>
      <name val="ACaslon Regular"/>
    </font>
    <font>
      <b/>
      <i/>
      <sz val="14"/>
      <name val="Arial"/>
      <family val="2"/>
    </font>
    <font>
      <b/>
      <sz val="11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63"/>
      <name val="Verdana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7"/>
      <name val="Arial"/>
      <family val="2"/>
    </font>
    <font>
      <b/>
      <sz val="18"/>
      <color indexed="62"/>
      <name val="Cambria"/>
      <family val="2"/>
    </font>
    <font>
      <b/>
      <sz val="16"/>
      <color indexed="9"/>
      <name val="Tahoma"/>
      <family val="2"/>
    </font>
    <font>
      <b/>
      <sz val="18"/>
      <color theme="3"/>
      <name val="Cambria"/>
      <family val="2"/>
    </font>
    <font>
      <b/>
      <sz val="18"/>
      <color indexed="56"/>
      <name val="Cambria"/>
      <family val="2"/>
    </font>
    <font>
      <b/>
      <sz val="13"/>
      <color indexed="8"/>
      <name val="Verdana"/>
      <family val="2"/>
    </font>
    <font>
      <b/>
      <sz val="13"/>
      <name val="Century Gothic"/>
      <family val="2"/>
    </font>
    <font>
      <b/>
      <sz val="10"/>
      <color indexed="8"/>
      <name val="Times New Roman"/>
      <family val="2"/>
    </font>
    <font>
      <sz val="8"/>
      <color indexed="36"/>
      <name val="Comic Sans MS"/>
      <family val="4"/>
    </font>
    <font>
      <sz val="18"/>
      <name val="Arial"/>
      <family val="2"/>
    </font>
    <font>
      <sz val="2.25"/>
      <name val="Arial"/>
      <family val="2"/>
    </font>
    <font>
      <sz val="8"/>
      <color indexed="8"/>
      <name val="Wingdings"/>
      <charset val="2"/>
    </font>
    <font>
      <sz val="8"/>
      <color indexed="9"/>
      <name val="Tahoma"/>
      <family val="2"/>
    </font>
    <font>
      <b/>
      <sz val="8"/>
      <color indexed="22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sz val="10"/>
      <color indexed="10"/>
      <name val="Times New Roman"/>
      <family val="2"/>
    </font>
    <font>
      <sz val="12"/>
      <name val="바탕체"/>
      <family val="1"/>
      <charset val="129"/>
    </font>
    <font>
      <sz val="12"/>
      <name val="뼻뮝"/>
      <family val="1"/>
    </font>
    <font>
      <sz val="12"/>
      <color indexed="60"/>
      <name val="新細明體"/>
      <family val="1"/>
      <charset val="136"/>
    </font>
    <font>
      <sz val="1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0"/>
      <name val="굴림체"/>
      <family val="3"/>
    </font>
    <font>
      <sz val="12"/>
      <color indexed="17"/>
      <name val="新細明體"/>
      <family val="1"/>
      <charset val="136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color indexed="52"/>
      <name val="新細明體"/>
      <family val="1"/>
      <charset val="136"/>
    </font>
    <font>
      <sz val="11"/>
      <color indexed="52"/>
      <name val="宋体"/>
      <charset val="134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FA7D00"/>
      <name val="Times New Roman"/>
      <family val="2"/>
    </font>
    <font>
      <b/>
      <sz val="9"/>
      <color indexed="8"/>
      <name val="Tahoma"/>
      <family val="2"/>
    </font>
    <font>
      <i/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indexed="15"/>
      </patternFill>
    </fill>
    <fill>
      <patternFill patternType="solid">
        <fgColor rgb="FFA5A5A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9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55"/>
      </right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58"/>
      </left>
      <right style="thin">
        <color indexed="58"/>
      </right>
      <top style="hair">
        <color indexed="58"/>
      </top>
      <bottom style="hair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hair">
        <color auto="1"/>
      </top>
      <bottom/>
      <diagonal/>
    </border>
  </borders>
  <cellStyleXfs count="4386">
    <xf numFmtId="0" fontId="0" fillId="0" borderId="0"/>
    <xf numFmtId="0" fontId="10" fillId="4" borderId="0"/>
    <xf numFmtId="164" fontId="11" fillId="0" borderId="0" applyFont="0" applyFill="0" applyBorder="0" applyAlignment="0" applyProtection="0"/>
    <xf numFmtId="0" fontId="12" fillId="4" borderId="9">
      <alignment horizontal="right"/>
    </xf>
    <xf numFmtId="0" fontId="11" fillId="0" borderId="0"/>
    <xf numFmtId="0" fontId="13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2" fillId="0" borderId="0"/>
    <xf numFmtId="0" fontId="11" fillId="0" borderId="0"/>
    <xf numFmtId="0" fontId="11" fillId="0" borderId="0"/>
    <xf numFmtId="0" fontId="11" fillId="0" borderId="0"/>
    <xf numFmtId="9" fontId="49" fillId="0" borderId="0">
      <alignment horizontal="right"/>
    </xf>
    <xf numFmtId="0" fontId="11" fillId="0" borderId="0"/>
    <xf numFmtId="0" fontId="46" fillId="0" borderId="0"/>
    <xf numFmtId="0" fontId="50" fillId="0" borderId="0"/>
    <xf numFmtId="3" fontId="11" fillId="0" borderId="0"/>
    <xf numFmtId="178" fontId="27" fillId="0" borderId="0"/>
    <xf numFmtId="179" fontId="51" fillId="0" borderId="0">
      <alignment horizontal="right"/>
    </xf>
    <xf numFmtId="0" fontId="11" fillId="0" borderId="0"/>
    <xf numFmtId="0" fontId="52" fillId="0" borderId="0"/>
    <xf numFmtId="0" fontId="11" fillId="0" borderId="0">
      <alignment vertical="top"/>
    </xf>
    <xf numFmtId="0" fontId="53" fillId="0" borderId="0"/>
    <xf numFmtId="18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53" fillId="0" borderId="0" applyFont="0" applyFill="0" applyBorder="0" applyAlignment="0" applyProtection="0"/>
    <xf numFmtId="0" fontId="11" fillId="0" borderId="0"/>
    <xf numFmtId="181" fontId="47" fillId="0" borderId="0"/>
    <xf numFmtId="182" fontId="11" fillId="0" borderId="0" applyFont="0" applyFill="0" applyBorder="0" applyAlignment="0" applyProtection="0"/>
    <xf numFmtId="166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4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4" fontId="11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7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1" fontId="11" fillId="0" borderId="0" applyFont="0" applyFill="0" applyBorder="0" applyAlignment="0" applyProtection="0"/>
    <xf numFmtId="197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04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5" fontId="54" fillId="0" borderId="0" applyFont="0" applyFill="0" applyBorder="0" applyAlignment="0" applyProtection="0"/>
    <xf numFmtId="182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7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>
      <alignment vertical="top"/>
    </xf>
    <xf numFmtId="0" fontId="56" fillId="0" borderId="0" applyNumberFormat="0" applyFill="0" applyBorder="0" applyProtection="0">
      <alignment vertical="top"/>
    </xf>
    <xf numFmtId="0" fontId="34" fillId="0" borderId="42" applyNumberFormat="0" applyFill="0" applyAlignment="0" applyProtection="0"/>
    <xf numFmtId="0" fontId="34" fillId="0" borderId="43" applyNumberFormat="0" applyFill="0" applyAlignment="0" applyProtection="0"/>
    <xf numFmtId="0" fontId="34" fillId="0" borderId="42" applyNumberFormat="0" applyFill="0" applyAlignment="0" applyProtection="0"/>
    <xf numFmtId="0" fontId="34" fillId="0" borderId="4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43" applyNumberFormat="0" applyFill="0" applyAlignment="0" applyProtection="0"/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57" fillId="0" borderId="44" applyNumberFormat="0" applyFill="0" applyProtection="0">
      <alignment horizontal="center"/>
    </xf>
    <xf numFmtId="0" fontId="11" fillId="0" borderId="45" applyNumberFormat="0" applyFont="0" applyFill="0" applyAlignment="0" applyProtection="0"/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3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59" fillId="0" borderId="0"/>
    <xf numFmtId="0" fontId="60" fillId="0" borderId="0"/>
    <xf numFmtId="0" fontId="52" fillId="0" borderId="0"/>
    <xf numFmtId="208" fontId="34" fillId="0" borderId="0">
      <alignment horizontal="right" vertical="top"/>
    </xf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5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8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61" fillId="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21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62" fillId="12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11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2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61" fillId="6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3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61" fillId="3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62" fillId="24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3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3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6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9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5" fillId="41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6" fillId="34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42" borderId="0" applyNumberFormat="0" applyBorder="0" applyAlignment="0" applyProtection="0">
      <alignment vertical="center"/>
    </xf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5" fillId="47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5" fillId="50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5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5" fillId="53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5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41" fontId="11" fillId="0" borderId="0"/>
    <xf numFmtId="209" fontId="29" fillId="24" borderId="46">
      <alignment horizontal="center"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210" fontId="68" fillId="9" borderId="47" applyProtection="0">
      <alignment vertical="center"/>
    </xf>
    <xf numFmtId="0" fontId="11" fillId="0" borderId="0">
      <alignment horizontal="center" wrapText="1"/>
      <protection locked="0"/>
    </xf>
    <xf numFmtId="0" fontId="46" fillId="0" borderId="0">
      <alignment horizontal="center" wrapText="1"/>
      <protection locked="0"/>
    </xf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" fontId="11" fillId="56" borderId="0"/>
    <xf numFmtId="0" fontId="69" fillId="0" borderId="48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41" fillId="8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3" fontId="72" fillId="57" borderId="0">
      <alignment horizontal="center" vertical="justify"/>
    </xf>
    <xf numFmtId="3" fontId="73" fillId="58" borderId="49">
      <alignment horizontal="center"/>
    </xf>
    <xf numFmtId="0" fontId="30" fillId="0" borderId="36" applyNumberFormat="0" applyFont="0" applyAlignment="0" applyProtection="0"/>
    <xf numFmtId="0" fontId="12" fillId="56" borderId="50">
      <alignment horizontal="center" vertical="center"/>
    </xf>
    <xf numFmtId="0" fontId="12" fillId="56" borderId="51">
      <alignment horizontal="center"/>
    </xf>
    <xf numFmtId="177" fontId="74" fillId="25" borderId="52">
      <alignment horizontal="center" vertical="center" wrapText="1"/>
    </xf>
    <xf numFmtId="0" fontId="75" fillId="0" borderId="0">
      <alignment vertical="center"/>
    </xf>
    <xf numFmtId="177" fontId="76" fillId="25" borderId="52">
      <alignment horizontal="left" vertical="center" wrapText="1"/>
    </xf>
    <xf numFmtId="0" fontId="77" fillId="25" borderId="0">
      <alignment horizontal="center"/>
    </xf>
    <xf numFmtId="177" fontId="78" fillId="25" borderId="52">
      <alignment horizontal="center" vertical="center" wrapTex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5" fontId="80" fillId="0" borderId="1" applyAlignment="0" applyProtection="0"/>
    <xf numFmtId="0" fontId="46" fillId="0" borderId="36" applyNumberFormat="0" applyFont="0" applyFill="0" applyAlignment="0" applyProtection="0"/>
    <xf numFmtId="0" fontId="46" fillId="0" borderId="53" applyNumberFormat="0" applyFont="0" applyFill="0" applyAlignment="0" applyProtection="0"/>
    <xf numFmtId="0" fontId="81" fillId="0" borderId="0" applyFont="0" applyFill="0" applyBorder="0" applyAlignment="0" applyProtection="0"/>
    <xf numFmtId="211" fontId="82" fillId="0" borderId="0" applyFill="0" applyBorder="0" applyAlignment="0"/>
    <xf numFmtId="211" fontId="82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Fill="0" applyBorder="0" applyAlignment="0"/>
    <xf numFmtId="214" fontId="31" fillId="0" borderId="0" applyFill="0" applyBorder="0" applyAlignment="0"/>
    <xf numFmtId="167" fontId="11" fillId="0" borderId="0" applyFill="0" applyBorder="0" applyAlignment="0"/>
    <xf numFmtId="215" fontId="31" fillId="0" borderId="0" applyFill="0" applyBorder="0" applyAlignment="0"/>
    <xf numFmtId="205" fontId="83" fillId="0" borderId="0" applyFill="0" applyBorder="0" applyAlignment="0"/>
    <xf numFmtId="216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84" fillId="0" borderId="54" applyNumberFormat="0" applyAlignment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45" fillId="59" borderId="29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5" fillId="9" borderId="55" applyNumberFormat="0" applyAlignment="0" applyProtection="0"/>
    <xf numFmtId="0" fontId="86" fillId="25" borderId="55" applyNumberFormat="0" applyAlignment="0" applyProtection="0"/>
    <xf numFmtId="0" fontId="39" fillId="0" borderId="0" applyNumberFormat="0" applyFill="0" applyBorder="0" applyAlignment="0"/>
    <xf numFmtId="37" fontId="87" fillId="60" borderId="0" applyNumberFormat="0" applyFont="0" applyBorder="0" applyAlignment="0">
      <alignment horizontal="center"/>
    </xf>
    <xf numFmtId="0" fontId="11" fillId="0" borderId="0"/>
    <xf numFmtId="220" fontId="28" fillId="0" borderId="0" applyFill="0" applyBorder="0" applyProtection="0">
      <alignment horizontal="center" vertical="center"/>
    </xf>
    <xf numFmtId="220" fontId="28" fillId="0" borderId="0" applyFill="0" applyBorder="0" applyProtection="0">
      <alignment horizontal="center" vertical="center"/>
    </xf>
    <xf numFmtId="0" fontId="11" fillId="0" borderId="0">
      <alignment horizontal="centerContinuous"/>
    </xf>
    <xf numFmtId="0" fontId="88" fillId="0" borderId="0" applyNumberFormat="0" applyFill="0" applyBorder="0" applyAlignment="0"/>
    <xf numFmtId="0" fontId="82" fillId="0" borderId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89" fillId="61" borderId="32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10" fillId="49" borderId="56" applyNumberFormat="0" applyAlignment="0" applyProtection="0"/>
    <xf numFmtId="0" fontId="90" fillId="0" borderId="0" applyNumberFormat="0" applyFill="0" applyBorder="0" applyAlignment="0" applyProtection="0">
      <alignment vertical="top"/>
    </xf>
    <xf numFmtId="41" fontId="12" fillId="62" borderId="0">
      <alignment horizontal="left"/>
    </xf>
    <xf numFmtId="41" fontId="91" fillId="62" borderId="0">
      <alignment horizontal="right"/>
    </xf>
    <xf numFmtId="41" fontId="92" fillId="9" borderId="0">
      <alignment horizontal="center"/>
    </xf>
    <xf numFmtId="0" fontId="93" fillId="63" borderId="0"/>
    <xf numFmtId="41" fontId="91" fillId="62" borderId="0">
      <alignment horizontal="right"/>
    </xf>
    <xf numFmtId="41" fontId="94" fillId="9" borderId="0">
      <alignment horizontal="left"/>
    </xf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17" fontId="11" fillId="0" borderId="0" applyFont="0" applyFill="0" applyBorder="0" applyAlignment="0" applyProtection="0"/>
    <xf numFmtId="218" fontId="31" fillId="0" borderId="0" applyFont="0" applyFill="0" applyBorder="0" applyAlignment="0" applyProtection="0"/>
    <xf numFmtId="38" fontId="95" fillId="0" borderId="0">
      <alignment horizontal="center"/>
      <protection locked="0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3" fontId="29" fillId="0" borderId="0"/>
    <xf numFmtId="3" fontId="1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96" fillId="0" borderId="0" applyNumberFormat="0" applyAlignment="0">
      <alignment horizontal="left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0" fontId="11" fillId="25" borderId="0">
      <protection hidden="1"/>
    </xf>
    <xf numFmtId="0" fontId="83" fillId="0" borderId="0" applyNumberFormat="0" applyAlignment="0"/>
    <xf numFmtId="6" fontId="60" fillId="0" borderId="0" applyFont="0" applyFill="0" applyBorder="0" applyAlignment="0" applyProtection="0"/>
    <xf numFmtId="212" fontId="11" fillId="0" borderId="0" applyFont="0" applyFill="0" applyBorder="0" applyAlignment="0" applyProtection="0"/>
    <xf numFmtId="213" fontId="31" fillId="0" borderId="0" applyFont="0" applyFill="0" applyBorder="0" applyAlignment="0" applyProtection="0"/>
    <xf numFmtId="203" fontId="47" fillId="0" borderId="0"/>
    <xf numFmtId="8" fontId="98" fillId="0" borderId="57">
      <protection locked="0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25" fontId="99" fillId="0" borderId="0" applyFont="0" applyFill="0" applyBorder="0" applyAlignment="0" applyProtection="0"/>
    <xf numFmtId="226" fontId="31" fillId="0" borderId="0" applyFont="0" applyFill="0" applyBorder="0" applyAlignment="0" applyProtection="0"/>
    <xf numFmtId="227" fontId="29" fillId="0" borderId="0"/>
    <xf numFmtId="49" fontId="100" fillId="64" borderId="0">
      <alignment vertical="center"/>
    </xf>
    <xf numFmtId="228" fontId="11" fillId="0" borderId="0" applyNumberFormat="0" applyFont="0" applyBorder="0" applyAlignment="0">
      <alignment horizontal="centerContinuous"/>
    </xf>
    <xf numFmtId="3" fontId="101" fillId="0" borderId="0"/>
    <xf numFmtId="0" fontId="29" fillId="0" borderId="0" applyNumberFormat="0" applyFont="0" applyBorder="0" applyAlignment="0"/>
    <xf numFmtId="17" fontId="102" fillId="0" borderId="58">
      <alignment horizontal="center" vertical="center"/>
    </xf>
    <xf numFmtId="0" fontId="11" fillId="0" borderId="0" applyFont="0" applyFill="0" applyBorder="0" applyAlignment="0" applyProtection="0"/>
    <xf numFmtId="229" fontId="11" fillId="0" borderId="59" applyFont="0" applyFill="0" applyAlignment="0" applyProtection="0"/>
    <xf numFmtId="230" fontId="11" fillId="0" borderId="0" applyFont="0" applyFill="0" applyAlignment="0" applyProtection="0"/>
    <xf numFmtId="231" fontId="11" fillId="0" borderId="45"/>
    <xf numFmtId="0" fontId="46" fillId="0" borderId="0" applyFont="0" applyFill="0" applyBorder="0" applyProtection="0">
      <alignment horizontal="right"/>
    </xf>
    <xf numFmtId="0" fontId="11" fillId="0" borderId="0" applyFont="0" applyFill="0" applyBorder="0" applyAlignment="0" applyProtection="0"/>
    <xf numFmtId="16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17" fontId="82" fillId="0" borderId="0" applyFont="0" applyFill="0" applyBorder="0" applyAlignment="0" applyProtection="0"/>
    <xf numFmtId="14" fontId="82" fillId="0" borderId="0" applyFill="0" applyBorder="0" applyAlignment="0"/>
    <xf numFmtId="0" fontId="46" fillId="0" borderId="0" applyFont="0" applyFill="0" applyBorder="0" applyProtection="0">
      <alignment horizontal="right"/>
    </xf>
    <xf numFmtId="232" fontId="103" fillId="0" borderId="0" applyFill="0" applyBorder="0">
      <alignment horizontal="right"/>
    </xf>
    <xf numFmtId="0" fontId="79" fillId="0" borderId="60">
      <alignment horizontal="center" vertical="center"/>
    </xf>
    <xf numFmtId="0" fontId="79" fillId="0" borderId="60" applyBorder="0">
      <alignment horizontal="center" vertical="center"/>
    </xf>
    <xf numFmtId="0" fontId="104" fillId="0" borderId="0" applyNumberFormat="0" applyFont="0" applyFill="0" applyBorder="0" applyAlignment="0" applyProtection="0">
      <alignment horizontal="left"/>
    </xf>
    <xf numFmtId="0" fontId="11" fillId="0" borderId="0"/>
    <xf numFmtId="0" fontId="97" fillId="0" borderId="0">
      <protection hidden="1"/>
    </xf>
    <xf numFmtId="0" fontId="11" fillId="0" borderId="0">
      <protection hidden="1"/>
    </xf>
    <xf numFmtId="0" fontId="105" fillId="0" borderId="0">
      <protection hidden="1"/>
    </xf>
    <xf numFmtId="233" fontId="47" fillId="65" borderId="0">
      <alignment horizontal="right"/>
    </xf>
    <xf numFmtId="0" fontId="27" fillId="0" borderId="0"/>
    <xf numFmtId="234" fontId="11" fillId="0" borderId="61">
      <alignment vertical="center"/>
    </xf>
    <xf numFmtId="15" fontId="106" fillId="66" borderId="0" applyNumberFormat="0" applyFont="0" applyBorder="0" applyAlignment="0" applyProtection="0"/>
    <xf numFmtId="3" fontId="97" fillId="0" borderId="62"/>
    <xf numFmtId="235" fontId="11" fillId="0" borderId="0" applyFont="0" applyFill="0" applyAlignment="0" applyProtection="0"/>
    <xf numFmtId="236" fontId="11" fillId="0" borderId="0" applyFont="0" applyFill="0" applyAlignment="0" applyProtection="0"/>
    <xf numFmtId="176" fontId="47" fillId="9" borderId="0"/>
    <xf numFmtId="176" fontId="103" fillId="9" borderId="0"/>
    <xf numFmtId="0" fontId="107" fillId="0" borderId="0"/>
    <xf numFmtId="237" fontId="11" fillId="0" borderId="0"/>
    <xf numFmtId="0" fontId="108" fillId="0" borderId="0"/>
    <xf numFmtId="238" fontId="11" fillId="0" borderId="0"/>
    <xf numFmtId="238" fontId="11" fillId="0" borderId="49"/>
    <xf numFmtId="238" fontId="11" fillId="0" borderId="2"/>
    <xf numFmtId="238" fontId="11" fillId="0" borderId="36"/>
    <xf numFmtId="238" fontId="11" fillId="0" borderId="1"/>
    <xf numFmtId="0" fontId="11" fillId="0" borderId="63"/>
    <xf numFmtId="0" fontId="11" fillId="0" borderId="64" applyNumberFormat="0" applyFont="0" applyFill="0" applyAlignment="0" applyProtection="0"/>
    <xf numFmtId="208" fontId="109" fillId="65" borderId="0">
      <alignment horizontal="right"/>
    </xf>
    <xf numFmtId="175" fontId="110" fillId="0" borderId="0" applyFill="0" applyBorder="0" applyAlignment="0" applyProtection="0"/>
    <xf numFmtId="0" fontId="11" fillId="28" borderId="49" applyNumberFormat="0" applyFont="0" applyAlignment="0" applyProtection="0">
      <alignment horizontal="center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NumberFormat="0" applyAlignment="0">
      <alignment horizontal="left"/>
    </xf>
    <xf numFmtId="0" fontId="112" fillId="0" borderId="0" applyNumberFormat="0" applyAlignment="0">
      <alignment horizontal="left"/>
    </xf>
    <xf numFmtId="0" fontId="113" fillId="0" borderId="0"/>
    <xf numFmtId="166" fontId="113" fillId="0" borderId="0"/>
    <xf numFmtId="186" fontId="113" fillId="0" borderId="0"/>
    <xf numFmtId="240" fontId="11" fillId="0" borderId="0" applyFont="0" applyFill="0" applyBorder="0" applyAlignment="0" applyProtection="0"/>
    <xf numFmtId="240" fontId="11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2" fontId="11" fillId="0" borderId="0" applyFont="0" applyFill="0" applyBorder="0" applyAlignment="0" applyProtection="0"/>
    <xf numFmtId="242" fontId="11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79" fillId="0" borderId="35"/>
    <xf numFmtId="3" fontId="116" fillId="0" borderId="0" applyNumberFormat="0" applyFont="0" applyFill="0" applyBorder="0" applyAlignment="0" applyProtection="0">
      <alignment horizontal="left"/>
    </xf>
    <xf numFmtId="2" fontId="11" fillId="0" borderId="0" applyFont="0" applyFill="0" applyBorder="0" applyAlignment="0" applyProtection="0"/>
    <xf numFmtId="243" fontId="11" fillId="0" borderId="0" applyFont="0" applyFill="0" applyAlignment="0"/>
    <xf numFmtId="0" fontId="47" fillId="0" borderId="49" applyFont="0" applyFill="0" applyBorder="0" applyAlignment="0" applyProtection="0"/>
    <xf numFmtId="0" fontId="47" fillId="0" borderId="49" applyFont="0" applyFill="0" applyBorder="0" applyAlignment="0" applyProtection="0"/>
    <xf numFmtId="0" fontId="117" fillId="0" borderId="0" applyFill="0" applyBorder="0" applyProtection="0">
      <alignment horizontal="left"/>
    </xf>
    <xf numFmtId="0" fontId="100" fillId="67" borderId="0">
      <alignment horizontal="right" vertical="center"/>
    </xf>
    <xf numFmtId="0" fontId="118" fillId="0" borderId="0"/>
    <xf numFmtId="0" fontId="47" fillId="0" borderId="0">
      <protection hidden="1"/>
    </xf>
    <xf numFmtId="0" fontId="119" fillId="0" borderId="0" applyNumberFormat="0" applyFill="0" applyBorder="0" applyAlignment="0" applyProtection="0"/>
    <xf numFmtId="244" fontId="11" fillId="0" borderId="0" applyAlignment="0">
      <alignment horizontal="right"/>
    </xf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40" fillId="68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38" fontId="47" fillId="25" borderId="0" applyNumberFormat="0" applyBorder="0" applyAlignment="0" applyProtection="0"/>
    <xf numFmtId="0" fontId="121" fillId="0" borderId="0">
      <protection hidden="1"/>
    </xf>
    <xf numFmtId="0" fontId="11" fillId="0" borderId="0" applyFont="0" applyFill="0" applyBorder="0" applyAlignment="0" applyProtection="0">
      <alignment horizontal="right"/>
    </xf>
    <xf numFmtId="0" fontId="11" fillId="0" borderId="0" applyNumberFormat="0" applyFill="0" applyBorder="0" applyAlignment="0" applyProtection="0"/>
    <xf numFmtId="0" fontId="122" fillId="0" borderId="0" applyProtection="0">
      <alignment horizontal="right"/>
    </xf>
    <xf numFmtId="210" fontId="123" fillId="0" borderId="65">
      <alignment vertical="center"/>
    </xf>
    <xf numFmtId="210" fontId="124" fillId="57" borderId="66">
      <alignment horizontal="left" vertical="center" indent="1"/>
    </xf>
    <xf numFmtId="0" fontId="30" fillId="0" borderId="67" applyNumberFormat="0" applyAlignment="0" applyProtection="0">
      <alignment horizontal="left" vertical="center"/>
    </xf>
    <xf numFmtId="0" fontId="30" fillId="0" borderId="38">
      <alignment horizontal="left" vertical="center"/>
    </xf>
    <xf numFmtId="0" fontId="123" fillId="0" borderId="68" applyNumberFormat="0" applyFill="0">
      <alignment horizontal="center" vertical="top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5" fillId="9" borderId="69" applyNumberFormat="0">
      <alignment horizontal="left" vertical="center" indent="1"/>
    </xf>
    <xf numFmtId="0" fontId="126" fillId="11" borderId="0" applyNumberFormat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7" fillId="0" borderId="70" applyNumberFormat="0" applyFill="0" applyAlignment="0" applyProtection="0"/>
    <xf numFmtId="0" fontId="129" fillId="0" borderId="71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7" fillId="0" borderId="70" applyNumberFormat="0" applyFill="0" applyAlignment="0" applyProtection="0"/>
    <xf numFmtId="0" fontId="128" fillId="0" borderId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0" fillId="0" borderId="72" applyNumberFormat="0" applyFill="0" applyAlignment="0" applyProtection="0"/>
    <xf numFmtId="0" fontId="132" fillId="0" borderId="73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0" fillId="0" borderId="72" applyNumberFormat="0" applyFill="0" applyAlignment="0" applyProtection="0"/>
    <xf numFmtId="0" fontId="131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74" applyNumberFormat="0" applyFill="0" applyAlignment="0" applyProtection="0"/>
    <xf numFmtId="0" fontId="135" fillId="0" borderId="75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3" fillId="0" borderId="74" applyNumberFormat="0" applyFill="0" applyAlignment="0" applyProtection="0"/>
    <xf numFmtId="0" fontId="134" fillId="0" borderId="0" applyProtection="0">
      <alignment horizontal="left"/>
    </xf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7" fillId="0" borderId="0" applyNumberFormat="0">
      <protection locked="0"/>
    </xf>
    <xf numFmtId="186" fontId="47" fillId="0" borderId="35">
      <alignment horizontal="right" vertical="center"/>
    </xf>
    <xf numFmtId="245" fontId="29" fillId="0" borderId="0">
      <protection locked="0"/>
    </xf>
    <xf numFmtId="246" fontId="30" fillId="0" borderId="0"/>
    <xf numFmtId="245" fontId="29" fillId="0" borderId="0">
      <protection locked="0"/>
    </xf>
    <xf numFmtId="0" fontId="29" fillId="0" borderId="0"/>
    <xf numFmtId="0" fontId="11" fillId="0" borderId="36">
      <alignment horizontal="center"/>
    </xf>
    <xf numFmtId="0" fontId="138" fillId="0" borderId="36">
      <alignment horizontal="center"/>
    </xf>
    <xf numFmtId="0" fontId="11" fillId="0" borderId="0">
      <alignment horizontal="center"/>
    </xf>
    <xf numFmtId="0" fontId="138" fillId="0" borderId="0">
      <alignment horizontal="center"/>
    </xf>
    <xf numFmtId="0" fontId="139" fillId="0" borderId="0">
      <alignment vertical="center"/>
    </xf>
    <xf numFmtId="0" fontId="139" fillId="0" borderId="0"/>
    <xf numFmtId="0" fontId="97" fillId="0" borderId="0"/>
    <xf numFmtId="3" fontId="140" fillId="0" borderId="0">
      <protection hidden="1"/>
    </xf>
    <xf numFmtId="0" fontId="141" fillId="0" borderId="76" applyNumberFormat="0" applyFill="0" applyAlignment="0" applyProtection="0"/>
    <xf numFmtId="0" fontId="79" fillId="11" borderId="77">
      <alignment horizontal="left" vertical="center" wrapText="1"/>
    </xf>
    <xf numFmtId="0" fontId="36" fillId="0" borderId="78" applyNumberFormat="0" applyAlignment="0"/>
    <xf numFmtId="0" fontId="142" fillId="0" borderId="0"/>
    <xf numFmtId="9" fontId="143" fillId="0" borderId="48"/>
    <xf numFmtId="0" fontId="143" fillId="0" borderId="48"/>
    <xf numFmtId="10" fontId="143" fillId="0" borderId="48"/>
    <xf numFmtId="0" fontId="143" fillId="0" borderId="48"/>
    <xf numFmtId="4" fontId="143" fillId="0" borderId="48"/>
    <xf numFmtId="10" fontId="47" fillId="14" borderId="49" applyNumberFormat="0" applyBorder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43" fillId="22" borderId="29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144" fillId="22" borderId="55" applyNumberFormat="0" applyAlignment="0" applyProtection="0"/>
    <xf numFmtId="0" fontId="39" fillId="0" borderId="0" applyAlignment="0">
      <protection locked="0"/>
    </xf>
    <xf numFmtId="247" fontId="47" fillId="69" borderId="0"/>
    <xf numFmtId="14" fontId="145" fillId="0" borderId="0">
      <alignment horizontal="center"/>
      <protection locked="0"/>
    </xf>
    <xf numFmtId="8" fontId="47" fillId="0" borderId="0"/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11" fillId="11" borderId="0"/>
    <xf numFmtId="248" fontId="47" fillId="0" borderId="0"/>
    <xf numFmtId="249" fontId="47" fillId="0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/>
    <xf numFmtId="248" fontId="146" fillId="14" borderId="0" applyNumberFormat="0" applyBorder="0" applyAlignment="0">
      <protection locked="0"/>
    </xf>
    <xf numFmtId="250" fontId="49" fillId="14" borderId="79">
      <alignment horizontal="center"/>
      <protection locked="0"/>
    </xf>
    <xf numFmtId="37" fontId="49" fillId="14" borderId="79">
      <alignment horizontal="right"/>
      <protection locked="0"/>
    </xf>
    <xf numFmtId="9" fontId="147" fillId="14" borderId="79">
      <alignment horizontal="right"/>
      <protection locked="0"/>
    </xf>
    <xf numFmtId="37" fontId="68" fillId="0" borderId="79">
      <alignment horizontal="right"/>
    </xf>
    <xf numFmtId="166" fontId="47" fillId="0" borderId="79">
      <alignment horizontal="right"/>
    </xf>
    <xf numFmtId="0" fontId="148" fillId="0" borderId="0"/>
    <xf numFmtId="251" fontId="11" fillId="0" borderId="0">
      <alignment horizontal="right"/>
    </xf>
    <xf numFmtId="1" fontId="149" fillId="1" borderId="2">
      <protection locked="0"/>
    </xf>
    <xf numFmtId="248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41" fontId="12" fillId="62" borderId="0">
      <alignment horizontal="left"/>
    </xf>
    <xf numFmtId="41" fontId="152" fillId="9" borderId="0">
      <alignment horizontal="left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37" fontId="153" fillId="0" borderId="0" applyNumberFormat="0" applyFill="0" applyBorder="0" applyAlignment="0" applyProtection="0">
      <alignment horizontal="right"/>
    </xf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4" fillId="0" borderId="80" applyNumberFormat="0" applyFill="0" applyAlignment="0" applyProtection="0"/>
    <xf numFmtId="0" fontId="155" fillId="0" borderId="80" applyNumberFormat="0" applyFill="0" applyAlignment="0" applyProtection="0"/>
    <xf numFmtId="247" fontId="47" fillId="62" borderId="0"/>
    <xf numFmtId="0" fontId="100" fillId="57" borderId="0">
      <alignment horizontal="right" vertical="center"/>
    </xf>
    <xf numFmtId="252" fontId="11" fillId="0" borderId="0" applyAlignment="0">
      <alignment horizontal="right"/>
    </xf>
    <xf numFmtId="253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47" fillId="0" borderId="0" applyFont="0" applyFill="0" applyBorder="0" applyAlignment="0" applyProtection="0"/>
    <xf numFmtId="255" fontId="47" fillId="0" borderId="0" applyFont="0" applyFill="0" applyBorder="0" applyAlignment="0" applyProtection="0"/>
    <xf numFmtId="17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8" fontId="47" fillId="0" borderId="0" applyFont="0" applyFill="0" applyBorder="0" applyAlignment="0" applyProtection="0"/>
    <xf numFmtId="248" fontId="47" fillId="0" borderId="0" applyFont="0" applyFill="0" applyBorder="0" applyAlignment="0" applyProtection="0"/>
    <xf numFmtId="0" fontId="11" fillId="0" borderId="0"/>
    <xf numFmtId="0" fontId="60" fillId="0" borderId="81" applyNumberFormat="0">
      <alignment horizontal="left"/>
    </xf>
    <xf numFmtId="0" fontId="156" fillId="0" borderId="0" applyFont="0" applyFill="0" applyBorder="0" applyProtection="0">
      <alignment horizontal="right"/>
    </xf>
    <xf numFmtId="49" fontId="157" fillId="64" borderId="0">
      <alignment horizontal="centerContinuous" vertical="center"/>
    </xf>
    <xf numFmtId="259" fontId="47" fillId="25" borderId="0" applyFont="0" applyBorder="0" applyAlignment="0" applyProtection="0">
      <alignment horizontal="right"/>
      <protection hidden="1"/>
    </xf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42" fillId="70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2" fillId="56" borderId="50">
      <alignment horizontal="center" wrapText="1"/>
    </xf>
    <xf numFmtId="0" fontId="39" fillId="0" borderId="0"/>
    <xf numFmtId="0" fontId="160" fillId="45" borderId="0"/>
    <xf numFmtId="0" fontId="12" fillId="71" borderId="0"/>
    <xf numFmtId="0" fontId="12" fillId="71" borderId="0"/>
    <xf numFmtId="0" fontId="161" fillId="0" borderId="0"/>
    <xf numFmtId="37" fontId="162" fillId="0" borderId="0"/>
    <xf numFmtId="260" fontId="11" fillId="0" borderId="0"/>
    <xf numFmtId="0" fontId="163" fillId="25" borderId="0">
      <alignment horizontal="left" indent="1"/>
    </xf>
    <xf numFmtId="0" fontId="50" fillId="0" borderId="0"/>
    <xf numFmtId="16" fontId="39" fillId="0" borderId="0"/>
    <xf numFmtId="14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8" fontId="47" fillId="0" borderId="49" applyFont="0" applyFill="0" applyBorder="0" applyAlignment="0" applyProtection="0"/>
    <xf numFmtId="261" fontId="11" fillId="0" borderId="0" applyFont="0" applyFill="0" applyAlignment="0"/>
    <xf numFmtId="236" fontId="11" fillId="0" borderId="0" applyFont="0" applyFill="0" applyAlignment="0"/>
    <xf numFmtId="262" fontId="11" fillId="0" borderId="0" applyFont="0" applyFill="0" applyAlignment="0"/>
    <xf numFmtId="0" fontId="32" fillId="0" borderId="0"/>
    <xf numFmtId="0" fontId="32" fillId="0" borderId="0"/>
    <xf numFmtId="0" fontId="11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4" fontId="68" fillId="9" borderId="43">
      <alignment horizontal="left" vertical="center" indent="2"/>
    </xf>
    <xf numFmtId="0" fontId="11" fillId="0" borderId="0"/>
    <xf numFmtId="4" fontId="68" fillId="9" borderId="43">
      <alignment horizontal="left" vertical="center" indent="2"/>
    </xf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32" fillId="0" borderId="0"/>
    <xf numFmtId="0" fontId="32" fillId="0" borderId="0"/>
    <xf numFmtId="4" fontId="68" fillId="9" borderId="43">
      <alignment horizontal="left" vertical="center" indent="2"/>
    </xf>
    <xf numFmtId="0" fontId="32" fillId="0" borderId="0"/>
    <xf numFmtId="0" fontId="32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32" fillId="0" borderId="0"/>
    <xf numFmtId="0" fontId="32" fillId="0" borderId="0"/>
    <xf numFmtId="4" fontId="68" fillId="9" borderId="43">
      <alignment horizontal="left" vertical="center" indent="2"/>
    </xf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4" fontId="68" fillId="9" borderId="43">
      <alignment horizontal="left" vertical="center" indent="2"/>
    </xf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22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2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4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47" fillId="0" borderId="0"/>
    <xf numFmtId="0" fontId="47" fillId="0" borderId="0"/>
    <xf numFmtId="0" fontId="32" fillId="0" borderId="0"/>
    <xf numFmtId="0" fontId="11" fillId="0" borderId="0">
      <alignment vertical="center"/>
    </xf>
    <xf numFmtId="0" fontId="11" fillId="0" borderId="0"/>
    <xf numFmtId="0" fontId="32" fillId="0" borderId="0"/>
    <xf numFmtId="0" fontId="32" fillId="0" borderId="0"/>
    <xf numFmtId="0" fontId="11" fillId="0" borderId="0" applyNumberFormat="0" applyFill="0" applyAlignment="0" applyProtection="0"/>
    <xf numFmtId="263" fontId="82" fillId="0" borderId="0" applyFont="0" applyFill="0" applyBorder="0" applyAlignment="0" applyProtection="0"/>
    <xf numFmtId="264" fontId="82" fillId="0" borderId="0" applyFont="0" applyFill="0" applyBorder="0" applyAlignment="0" applyProtection="0"/>
    <xf numFmtId="265" fontId="11" fillId="0" borderId="0" applyFont="0" applyFill="0" applyAlignment="0" applyProtection="0"/>
    <xf numFmtId="266" fontId="82" fillId="0" borderId="0" applyFont="0" applyFill="0" applyBorder="0" applyAlignment="0" applyProtection="0"/>
    <xf numFmtId="267" fontId="82" fillId="0" borderId="0" applyFont="0" applyFill="0" applyBorder="0" applyAlignment="0" applyProtection="0"/>
    <xf numFmtId="0" fontId="165" fillId="0" borderId="0"/>
    <xf numFmtId="0" fontId="29" fillId="25" borderId="38" applyNumberFormat="0" applyFont="0" applyFill="0">
      <alignment horizontal="center"/>
    </xf>
    <xf numFmtId="14" fontId="11" fillId="0" borderId="0">
      <alignment horizontal="center"/>
    </xf>
    <xf numFmtId="0" fontId="166" fillId="0" borderId="0"/>
    <xf numFmtId="0" fontId="167" fillId="0" borderId="0"/>
    <xf numFmtId="0" fontId="11" fillId="0" borderId="0">
      <alignment horizontal="left"/>
      <protection locked="0"/>
    </xf>
    <xf numFmtId="0" fontId="11" fillId="0" borderId="39">
      <protection locked="0"/>
    </xf>
    <xf numFmtId="0" fontId="11" fillId="0" borderId="1">
      <protection locked="0"/>
    </xf>
    <xf numFmtId="0" fontId="11" fillId="0" borderId="37">
      <protection locked="0"/>
    </xf>
    <xf numFmtId="0" fontId="11" fillId="0" borderId="35"/>
    <xf numFmtId="37" fontId="168" fillId="0" borderId="0" applyNumberFormat="0" applyFont="0" applyFill="0" applyBorder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61" fillId="14" borderId="33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32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1" fillId="14" borderId="82" applyNumberFormat="0" applyFont="0" applyAlignment="0" applyProtection="0"/>
    <xf numFmtId="0" fontId="169" fillId="0" borderId="83"/>
    <xf numFmtId="268" fontId="47" fillId="0" borderId="0" applyFont="0" applyFill="0" applyBorder="0" applyAlignment="0" applyProtection="0"/>
    <xf numFmtId="37" fontId="11" fillId="0" borderId="0"/>
    <xf numFmtId="269" fontId="170" fillId="0" borderId="0" applyFill="0" applyBorder="0" applyAlignment="0" applyProtection="0"/>
    <xf numFmtId="0" fontId="11" fillId="0" borderId="0"/>
    <xf numFmtId="0" fontId="11" fillId="0" borderId="0"/>
    <xf numFmtId="37" fontId="11" fillId="0" borderId="1"/>
    <xf numFmtId="0" fontId="171" fillId="0" borderId="0"/>
    <xf numFmtId="270" fontId="4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0" fontId="172" fillId="0" borderId="84">
      <alignment horizontal="center" vertical="top" wrapText="1"/>
      <protection locked="0"/>
    </xf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44" fillId="59" borderId="30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9" borderId="85" applyNumberFormat="0" applyAlignment="0" applyProtection="0"/>
    <xf numFmtId="0" fontId="173" fillId="25" borderId="85" applyNumberFormat="0" applyAlignment="0" applyProtection="0"/>
    <xf numFmtId="40" fontId="174" fillId="9" borderId="0">
      <alignment horizontal="right"/>
    </xf>
    <xf numFmtId="0" fontId="175" fillId="72" borderId="0">
      <alignment horizontal="center"/>
    </xf>
    <xf numFmtId="0" fontId="176" fillId="9" borderId="40"/>
    <xf numFmtId="0" fontId="177" fillId="9" borderId="0" applyBorder="0">
      <alignment horizontal="centerContinuous"/>
    </xf>
    <xf numFmtId="0" fontId="178" fillId="73" borderId="0" applyBorder="0">
      <alignment horizontal="centerContinuous"/>
    </xf>
    <xf numFmtId="3" fontId="29" fillId="19" borderId="49" applyNumberFormat="0" applyAlignment="0">
      <alignment horizontal="center"/>
      <protection locked="0"/>
    </xf>
    <xf numFmtId="0" fontId="179" fillId="0" borderId="0" applyFill="0" applyBorder="0" applyProtection="0">
      <alignment horizontal="left"/>
    </xf>
    <xf numFmtId="0" fontId="180" fillId="0" borderId="0" applyFill="0" applyBorder="0" applyProtection="0">
      <alignment horizontal="left"/>
    </xf>
    <xf numFmtId="1" fontId="181" fillId="0" borderId="0" applyProtection="0">
      <alignment horizontal="right" vertical="center"/>
    </xf>
    <xf numFmtId="0" fontId="182" fillId="9" borderId="0"/>
    <xf numFmtId="0" fontId="11" fillId="0" borderId="0" applyFont="0" applyFill="0" applyAlignment="0" applyProtection="0"/>
    <xf numFmtId="0" fontId="11" fillId="0" borderId="0" applyFont="0" applyFill="0" applyAlignment="0" applyProtection="0"/>
    <xf numFmtId="14" fontId="46" fillId="0" borderId="0">
      <alignment horizontal="center" wrapText="1"/>
      <protection locked="0"/>
    </xf>
    <xf numFmtId="205" fontId="83" fillId="0" borderId="0" applyFont="0" applyFill="0" applyBorder="0" applyAlignment="0" applyProtection="0"/>
    <xf numFmtId="271" fontId="11" fillId="0" borderId="0" applyFont="0" applyFill="0" applyAlignment="0"/>
    <xf numFmtId="272" fontId="11" fillId="0" borderId="0" applyFont="0" applyFill="0" applyBorder="0" applyAlignment="0" applyProtection="0"/>
    <xf numFmtId="273" fontId="31" fillId="0" borderId="0" applyFont="0" applyFill="0" applyBorder="0" applyAlignment="0" applyProtection="0"/>
    <xf numFmtId="274" fontId="11" fillId="0" borderId="0" applyFont="0" applyFill="0" applyAlignment="0"/>
    <xf numFmtId="10" fontId="11" fillId="0" borderId="0" applyFont="0" applyFill="0" applyBorder="0" applyAlignment="0" applyProtection="0"/>
    <xf numFmtId="3" fontId="97" fillId="0" borderId="0"/>
    <xf numFmtId="275" fontId="52" fillId="0" borderId="0">
      <protection hidden="1"/>
    </xf>
    <xf numFmtId="3" fontId="97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6" fillId="0" borderId="0" applyFont="0" applyFill="0" applyBorder="0" applyProtection="0">
      <alignment horizontal="right"/>
    </xf>
    <xf numFmtId="9" fontId="11" fillId="0" borderId="0"/>
    <xf numFmtId="10" fontId="11" fillId="0" borderId="0"/>
    <xf numFmtId="10" fontId="47" fillId="0" borderId="0"/>
    <xf numFmtId="0" fontId="183" fillId="11" borderId="60">
      <alignment horizontal="center" vertical="center"/>
    </xf>
    <xf numFmtId="276" fontId="47" fillId="0" borderId="0" applyFont="0" applyFill="0" applyBorder="0" applyAlignment="0" applyProtection="0"/>
    <xf numFmtId="0" fontId="11" fillId="0" borderId="0">
      <protection locked="0"/>
    </xf>
    <xf numFmtId="0" fontId="184" fillId="0" borderId="0">
      <protection locked="0"/>
    </xf>
    <xf numFmtId="0" fontId="11" fillId="0" borderId="0">
      <protection locked="0"/>
    </xf>
    <xf numFmtId="0" fontId="29" fillId="0" borderId="0">
      <protection locked="0"/>
    </xf>
    <xf numFmtId="0" fontId="11" fillId="0" borderId="0"/>
    <xf numFmtId="277" fontId="11" fillId="0" borderId="0" applyFont="0" applyFill="0" applyBorder="0" applyAlignment="0" applyProtection="0"/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85" fillId="0" borderId="0" applyNumberFormat="0" applyFill="0" applyBorder="0" applyAlignment="0" applyProtection="0"/>
    <xf numFmtId="5" fontId="186" fillId="0" borderId="0"/>
    <xf numFmtId="5" fontId="187" fillId="0" borderId="0"/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9" fontId="189" fillId="0" borderId="62"/>
    <xf numFmtId="9" fontId="189" fillId="0" borderId="62"/>
    <xf numFmtId="3" fontId="111" fillId="0" borderId="0">
      <protection locked="0"/>
    </xf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80" fillId="0" borderId="36">
      <alignment horizontal="center"/>
    </xf>
    <xf numFmtId="3" fontId="60" fillId="0" borderId="0" applyFont="0" applyFill="0" applyBorder="0" applyAlignment="0" applyProtection="0"/>
    <xf numFmtId="0" fontId="60" fillId="74" borderId="0" applyNumberFormat="0" applyFont="0" applyBorder="0" applyAlignment="0" applyProtection="0"/>
    <xf numFmtId="248" fontId="190" fillId="0" borderId="0" applyNumberFormat="0" applyFill="0" applyBorder="0" applyAlignment="0" applyProtection="0">
      <alignment horizontal="left"/>
    </xf>
    <xf numFmtId="0" fontId="38" fillId="0" borderId="41" applyNumberFormat="0" applyFill="0" applyBorder="0" applyAlignment="0" applyProtection="0">
      <alignment horizontal="center"/>
    </xf>
    <xf numFmtId="3" fontId="191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1" fillId="25" borderId="0"/>
    <xf numFmtId="0" fontId="192" fillId="75" borderId="0" applyNumberFormat="0" applyFont="0" applyBorder="0" applyAlignment="0">
      <alignment horizontal="center"/>
    </xf>
    <xf numFmtId="41" fontId="152" fillId="11" borderId="0">
      <alignment horizontal="center"/>
    </xf>
    <xf numFmtId="49" fontId="193" fillId="9" borderId="0">
      <alignment horizontal="center"/>
    </xf>
    <xf numFmtId="278" fontId="194" fillId="0" borderId="0" applyNumberFormat="0" applyFill="0" applyBorder="0" applyAlignment="0" applyProtection="0">
      <alignment horizontal="left"/>
    </xf>
    <xf numFmtId="278" fontId="195" fillId="0" borderId="0" applyNumberFormat="0" applyFill="0" applyBorder="0" applyAlignment="0" applyProtection="0">
      <alignment horizontal="left"/>
    </xf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37" fontId="29" fillId="49" borderId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41" fontId="91" fillId="62" borderId="0">
      <alignment horizontal="center"/>
    </xf>
    <xf numFmtId="41" fontId="91" fillId="62" borderId="0">
      <alignment horizontal="centerContinuous"/>
    </xf>
    <xf numFmtId="41" fontId="197" fillId="9" borderId="0">
      <alignment horizontal="left"/>
    </xf>
    <xf numFmtId="49" fontId="197" fillId="9" borderId="0">
      <alignment horizontal="center"/>
    </xf>
    <xf numFmtId="41" fontId="12" fillId="62" borderId="0">
      <alignment horizontal="left"/>
    </xf>
    <xf numFmtId="49" fontId="197" fillId="9" borderId="0">
      <alignment horizontal="left"/>
    </xf>
    <xf numFmtId="41" fontId="12" fillId="62" borderId="0">
      <alignment horizontal="centerContinuous"/>
    </xf>
    <xf numFmtId="41" fontId="12" fillId="62" borderId="0">
      <alignment horizontal="right"/>
    </xf>
    <xf numFmtId="49" fontId="152" fillId="9" borderId="0">
      <alignment horizontal="left"/>
    </xf>
    <xf numFmtId="5" fontId="11" fillId="0" borderId="0"/>
    <xf numFmtId="41" fontId="91" fillId="62" borderId="0">
      <alignment horizontal="right"/>
    </xf>
    <xf numFmtId="0" fontId="90" fillId="0" borderId="0" applyNumberFormat="0" applyFill="0" applyBorder="0" applyAlignment="0" applyProtection="0">
      <alignment vertical="top"/>
    </xf>
    <xf numFmtId="0" fontId="198" fillId="25" borderId="54" applyNumberFormat="0" applyAlignment="0">
      <protection locked="0"/>
    </xf>
    <xf numFmtId="0" fontId="199" fillId="0" borderId="86">
      <alignment vertical="center"/>
    </xf>
    <xf numFmtId="41" fontId="197" fillId="22" borderId="0">
      <alignment horizontal="center"/>
    </xf>
    <xf numFmtId="41" fontId="49" fillId="22" borderId="0">
      <alignment horizontal="center"/>
    </xf>
    <xf numFmtId="0" fontId="200" fillId="76" borderId="0"/>
    <xf numFmtId="0" fontId="201" fillId="58" borderId="0" applyNumberFormat="0" applyBorder="0" applyAlignment="0" applyProtection="0"/>
    <xf numFmtId="0" fontId="39" fillId="71" borderId="0" applyNumberFormat="0" applyFont="0" applyBorder="0" applyAlignment="0" applyProtection="0"/>
    <xf numFmtId="0" fontId="192" fillId="1" borderId="38" applyNumberFormat="0" applyFont="0" applyAlignment="0">
      <alignment horizontal="center"/>
    </xf>
    <xf numFmtId="1" fontId="11" fillId="0" borderId="0"/>
    <xf numFmtId="0" fontId="202" fillId="0" borderId="87">
      <alignment horizontal="center" vertical="center"/>
    </xf>
    <xf numFmtId="208" fontId="35" fillId="65" borderId="0">
      <alignment horizontal="right"/>
    </xf>
    <xf numFmtId="175" fontId="81" fillId="0" borderId="0" applyFill="0" applyBorder="0" applyAlignment="0" applyProtection="0"/>
    <xf numFmtId="0" fontId="100" fillId="64" borderId="0">
      <alignment horizontal="right" vertical="center"/>
    </xf>
    <xf numFmtId="0" fontId="101" fillId="0" borderId="0" applyNumberFormat="0" applyFill="0" applyBorder="0" applyAlignment="0">
      <alignment horizontal="center"/>
    </xf>
    <xf numFmtId="0" fontId="203" fillId="0" borderId="0"/>
    <xf numFmtId="174" fontId="170" fillId="0" borderId="0"/>
    <xf numFmtId="0" fontId="204" fillId="0" borderId="88" applyProtection="0">
      <alignment horizontal="centerContinuous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37" fontId="47" fillId="0" borderId="7" applyBorder="0"/>
    <xf numFmtId="37" fontId="47" fillId="0" borderId="7" applyBorder="0"/>
    <xf numFmtId="37" fontId="103" fillId="0" borderId="7" applyBorder="0"/>
    <xf numFmtId="37" fontId="11" fillId="0" borderId="7" applyBorder="0"/>
    <xf numFmtId="37" fontId="88" fillId="0" borderId="7" applyBorder="0"/>
    <xf numFmtId="37" fontId="205" fillId="72" borderId="89" applyBorder="0">
      <alignment vertical="center"/>
    </xf>
    <xf numFmtId="0" fontId="206" fillId="0" borderId="0"/>
    <xf numFmtId="0" fontId="29" fillId="0" borderId="0"/>
    <xf numFmtId="40" fontId="207" fillId="0" borderId="0" applyBorder="0">
      <alignment horizontal="right"/>
    </xf>
    <xf numFmtId="40" fontId="208" fillId="0" borderId="0" applyBorder="0">
      <alignment horizontal="right"/>
    </xf>
    <xf numFmtId="0" fontId="29" fillId="0" borderId="0" applyNumberFormat="0" applyFont="0"/>
    <xf numFmtId="0" fontId="139" fillId="0" borderId="0"/>
    <xf numFmtId="0" fontId="209" fillId="0" borderId="0"/>
    <xf numFmtId="0" fontId="28" fillId="0" borderId="0" applyFill="0" applyBorder="0" applyProtection="0">
      <alignment horizontal="center" vertical="center"/>
    </xf>
    <xf numFmtId="0" fontId="210" fillId="0" borderId="0" applyBorder="0" applyProtection="0">
      <alignment vertical="center"/>
    </xf>
    <xf numFmtId="0" fontId="11" fillId="0" borderId="35" applyBorder="0" applyProtection="0">
      <alignment horizontal="right" vertical="center"/>
    </xf>
    <xf numFmtId="0" fontId="211" fillId="77" borderId="0" applyBorder="0" applyProtection="0">
      <alignment horizontal="centerContinuous" vertical="center"/>
    </xf>
    <xf numFmtId="0" fontId="211" fillId="57" borderId="35" applyBorder="0" applyProtection="0">
      <alignment horizontal="centerContinuous" vertical="center"/>
    </xf>
    <xf numFmtId="0" fontId="212" fillId="0" borderId="0"/>
    <xf numFmtId="0" fontId="28" fillId="0" borderId="0" applyFill="0" applyBorder="0" applyProtection="0"/>
    <xf numFmtId="0" fontId="166" fillId="0" borderId="0"/>
    <xf numFmtId="0" fontId="29" fillId="0" borderId="0" applyFill="0" applyBorder="0" applyProtection="0">
      <alignment horizontal="left"/>
    </xf>
    <xf numFmtId="0" fontId="48" fillId="0" borderId="0" applyFill="0" applyBorder="0" applyProtection="0">
      <alignment horizontal="left" vertical="top"/>
    </xf>
    <xf numFmtId="0" fontId="38" fillId="0" borderId="0">
      <alignment horizontal="centerContinuous"/>
    </xf>
    <xf numFmtId="2" fontId="97" fillId="0" borderId="0"/>
    <xf numFmtId="0" fontId="11" fillId="0" borderId="0" applyNumberFormat="0" applyFont="0" applyAlignment="0" applyProtection="0"/>
    <xf numFmtId="0" fontId="11" fillId="0" borderId="0"/>
    <xf numFmtId="279" fontId="11" fillId="0" borderId="49" applyFont="0" applyFill="0" applyBorder="0" applyAlignment="0" applyProtection="0">
      <protection locked="0" hidden="1"/>
    </xf>
    <xf numFmtId="0" fontId="79" fillId="0" borderId="77">
      <alignment horizontal="left" vertical="top" wrapText="1"/>
    </xf>
    <xf numFmtId="0" fontId="213" fillId="49" borderId="0">
      <alignment horizontal="left" vertical="center" indent="1"/>
    </xf>
    <xf numFmtId="0" fontId="214" fillId="0" borderId="0"/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5" fillId="0" borderId="0"/>
    <xf numFmtId="49" fontId="82" fillId="0" borderId="0" applyFill="0" applyBorder="0" applyAlignment="0"/>
    <xf numFmtId="239" fontId="60" fillId="0" borderId="0" applyFill="0" applyBorder="0" applyAlignment="0"/>
    <xf numFmtId="280" fontId="31" fillId="0" borderId="0" applyFill="0" applyBorder="0" applyAlignment="0"/>
    <xf numFmtId="281" fontId="11" fillId="0" borderId="0" applyFill="0" applyBorder="0" applyAlignment="0"/>
    <xf numFmtId="282" fontId="31" fillId="0" borderId="0" applyFill="0" applyBorder="0" applyAlignment="0"/>
    <xf numFmtId="0" fontId="103" fillId="65" borderId="0"/>
    <xf numFmtId="0" fontId="47" fillId="65" borderId="0">
      <alignment horizontal="left"/>
    </xf>
    <xf numFmtId="0" fontId="47" fillId="65" borderId="0">
      <alignment horizontal="left" indent="1"/>
    </xf>
    <xf numFmtId="0" fontId="47" fillId="65" borderId="0">
      <alignment horizontal="left" vertical="center" indent="2"/>
    </xf>
    <xf numFmtId="0" fontId="27" fillId="0" borderId="0">
      <alignment horizontal="centerContinuous" wrapText="1"/>
    </xf>
    <xf numFmtId="0" fontId="105" fillId="0" borderId="0" applyNumberFormat="0" applyFont="0" applyFill="0" applyBorder="0" applyProtection="0">
      <alignment wrapText="1"/>
    </xf>
    <xf numFmtId="0" fontId="92" fillId="0" borderId="0">
      <alignment vertical="top"/>
    </xf>
    <xf numFmtId="0" fontId="216" fillId="0" borderId="0"/>
    <xf numFmtId="0" fontId="197" fillId="0" borderId="0">
      <alignment vertical="top"/>
    </xf>
    <xf numFmtId="283" fontId="217" fillId="0" borderId="0" applyFill="0" applyBorder="0" applyAlignment="0" applyProtection="0">
      <alignment horizontal="right"/>
    </xf>
    <xf numFmtId="284" fontId="1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22" fillId="0" borderId="0">
      <alignment vertical="top"/>
    </xf>
    <xf numFmtId="0" fontId="79" fillId="22" borderId="77">
      <alignment horizontal="center" wrapText="1"/>
    </xf>
    <xf numFmtId="0" fontId="79" fillId="22" borderId="77">
      <alignment horizontal="left" vertical="top" wrapText="1"/>
    </xf>
    <xf numFmtId="0" fontId="79" fillId="14" borderId="87">
      <alignment horizontal="left" vertical="center" wrapText="1" indent="1"/>
    </xf>
    <xf numFmtId="0" fontId="223" fillId="0" borderId="0">
      <alignment horizontal="right"/>
    </xf>
    <xf numFmtId="0" fontId="36" fillId="0" borderId="0" applyNumberFormat="0" applyBorder="0" applyAlignment="0"/>
    <xf numFmtId="285" fontId="11" fillId="0" borderId="1" applyNumberFormat="0" applyFont="0" applyFill="0" applyAlignment="0" applyProtection="0"/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79" fillId="14" borderId="77">
      <alignment horizontal="center" vertical="center" wrapText="1"/>
    </xf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224" fillId="0" borderId="34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0" fontId="33" fillId="0" borderId="90" applyNumberFormat="0" applyFill="0" applyAlignment="0" applyProtection="0"/>
    <xf numFmtId="0" fontId="33" fillId="0" borderId="92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3" fillId="0" borderId="90" applyNumberFormat="0" applyFill="0" applyAlignment="0" applyProtection="0"/>
    <xf numFmtId="0" fontId="31" fillId="0" borderId="91" applyNumberFormat="0" applyFont="0" applyFill="0" applyAlignment="0" applyProtection="0"/>
    <xf numFmtId="15" fontId="225" fillId="22" borderId="93">
      <alignment horizontal="center" vertical="center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79" fillId="11" borderId="77">
      <alignment horizontal="center" vertical="center" wrapText="1"/>
    </xf>
    <xf numFmtId="0" fontId="226" fillId="0" borderId="0">
      <alignment horizontal="centerContinuous"/>
    </xf>
    <xf numFmtId="0" fontId="11" fillId="0" borderId="35"/>
    <xf numFmtId="37" fontId="47" fillId="11" borderId="0" applyNumberFormat="0" applyBorder="0" applyAlignment="0" applyProtection="0"/>
    <xf numFmtId="37" fontId="47" fillId="0" borderId="0"/>
    <xf numFmtId="37" fontId="227" fillId="11" borderId="0" applyNumberFormat="0" applyBorder="0" applyAlignment="0" applyProtection="0"/>
    <xf numFmtId="3" fontId="49" fillId="0" borderId="76" applyProtection="0"/>
    <xf numFmtId="41" fontId="228" fillId="9" borderId="0">
      <alignment horizontal="center"/>
    </xf>
    <xf numFmtId="0" fontId="83" fillId="0" borderId="94"/>
    <xf numFmtId="278" fontId="47" fillId="0" borderId="0">
      <alignment horizontal="center"/>
    </xf>
    <xf numFmtId="250" fontId="47" fillId="0" borderId="79">
      <alignment horizontal="center"/>
    </xf>
    <xf numFmtId="37" fontId="47" fillId="0" borderId="79">
      <alignment horizontal="right"/>
    </xf>
    <xf numFmtId="9" fontId="68" fillId="0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37" fontId="68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166" fontId="47" fillId="25" borderId="79">
      <alignment horizontal="right"/>
    </xf>
    <xf numFmtId="41" fontId="229" fillId="0" borderId="0" applyNumberFormat="0" applyAlignment="0">
      <alignment horizontal="right"/>
    </xf>
    <xf numFmtId="37" fontId="103" fillId="25" borderId="79">
      <alignment horizontal="right"/>
    </xf>
    <xf numFmtId="37" fontId="230" fillId="25" borderId="79">
      <alignment horizontal="right"/>
    </xf>
    <xf numFmtId="37" fontId="47" fillId="25" borderId="79">
      <alignment horizontal="right"/>
    </xf>
    <xf numFmtId="9" fontId="68" fillId="25" borderId="79">
      <alignment horizontal="right"/>
    </xf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231" fillId="0" borderId="0">
      <protection hidden="1"/>
    </xf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37" fontId="47" fillId="0" borderId="0" applyNumberFormat="0" applyFont="0" applyFill="0" applyBorder="0" applyAlignment="0" applyProtection="0"/>
    <xf numFmtId="10" fontId="11" fillId="28" borderId="49" applyNumberFormat="0" applyFont="0" applyBorder="0" applyAlignment="0" applyProtection="0">
      <protection locked="0"/>
    </xf>
    <xf numFmtId="195" fontId="27" fillId="0" borderId="0"/>
    <xf numFmtId="0" fontId="46" fillId="0" borderId="0" applyFont="0" applyFill="0" applyBorder="0" applyProtection="0">
      <alignment horizontal="right"/>
    </xf>
    <xf numFmtId="0" fontId="47" fillId="11" borderId="0"/>
    <xf numFmtId="175" fontId="8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234" fillId="0" borderId="0" applyFont="0" applyFill="0" applyBorder="0" applyAlignment="0" applyProtection="0"/>
    <xf numFmtId="0" fontId="235" fillId="0" borderId="0"/>
    <xf numFmtId="0" fontId="63" fillId="0" borderId="0"/>
    <xf numFmtId="0" fontId="236" fillId="11" borderId="0" applyNumberFormat="0" applyBorder="0" applyAlignment="0" applyProtection="0">
      <alignment vertical="center"/>
    </xf>
    <xf numFmtId="0" fontId="237" fillId="14" borderId="82" applyNumberFormat="0" applyFont="0" applyAlignment="0" applyProtection="0">
      <alignment vertical="center"/>
    </xf>
    <xf numFmtId="286" fontId="11" fillId="0" borderId="0" applyFont="0" applyFill="0" applyBorder="0" applyAlignment="0" applyProtection="0"/>
    <xf numFmtId="287" fontId="11" fillId="0" borderId="0" applyFont="0" applyFill="0" applyBorder="0" applyAlignment="0" applyProtection="0"/>
    <xf numFmtId="0" fontId="238" fillId="0" borderId="92" applyNumberFormat="0" applyFill="0" applyAlignment="0" applyProtection="0">
      <alignment vertical="center"/>
    </xf>
    <xf numFmtId="288" fontId="11" fillId="0" borderId="0" applyFont="0" applyFill="0" applyBorder="0" applyAlignment="0" applyProtection="0"/>
    <xf numFmtId="289" fontId="11" fillId="0" borderId="0" applyFont="0" applyFill="0" applyBorder="0" applyAlignment="0" applyProtection="0"/>
    <xf numFmtId="0" fontId="234" fillId="0" borderId="0" applyFont="0" applyFill="0" applyBorder="0" applyAlignment="0" applyProtection="0"/>
    <xf numFmtId="290" fontId="234" fillId="0" borderId="0" applyFont="0" applyFill="0" applyBorder="0" applyAlignment="0" applyProtection="0"/>
    <xf numFmtId="0" fontId="239" fillId="16" borderId="0" applyNumberFormat="0" applyBorder="0" applyAlignment="0" applyProtection="0">
      <alignment vertical="center"/>
    </xf>
    <xf numFmtId="0" fontId="240" fillId="0" borderId="0"/>
    <xf numFmtId="0" fontId="241" fillId="10" borderId="0" applyNumberFormat="0" applyBorder="0" applyAlignment="0" applyProtection="0">
      <alignment vertical="center"/>
    </xf>
    <xf numFmtId="0" fontId="242" fillId="10" borderId="0" applyNumberFormat="0" applyBorder="0" applyAlignment="0" applyProtection="0">
      <alignment vertical="center"/>
    </xf>
    <xf numFmtId="0" fontId="243" fillId="16" borderId="0" applyNumberFormat="0" applyBorder="0" applyAlignment="0" applyProtection="0">
      <alignment vertical="center"/>
    </xf>
    <xf numFmtId="0" fontId="11" fillId="0" borderId="0"/>
    <xf numFmtId="0" fontId="66" fillId="45" borderId="0" applyNumberFormat="0" applyBorder="0" applyAlignment="0" applyProtection="0">
      <alignment vertical="center"/>
    </xf>
    <xf numFmtId="0" fontId="66" fillId="48" borderId="0" applyNumberFormat="0" applyBorder="0" applyAlignment="0" applyProtection="0">
      <alignment vertical="center"/>
    </xf>
    <xf numFmtId="0" fontId="66" fillId="51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  <xf numFmtId="0" fontId="244" fillId="0" borderId="0" applyNumberFormat="0" applyFill="0" applyBorder="0" applyAlignment="0" applyProtection="0">
      <alignment vertical="center"/>
    </xf>
    <xf numFmtId="0" fontId="245" fillId="0" borderId="71" applyNumberFormat="0" applyFill="0" applyAlignment="0" applyProtection="0">
      <alignment vertical="center"/>
    </xf>
    <xf numFmtId="0" fontId="246" fillId="0" borderId="73" applyNumberFormat="0" applyFill="0" applyAlignment="0" applyProtection="0">
      <alignment vertical="center"/>
    </xf>
    <xf numFmtId="0" fontId="247" fillId="0" borderId="75" applyNumberFormat="0" applyFill="0" applyAlignment="0" applyProtection="0">
      <alignment vertical="center"/>
    </xf>
    <xf numFmtId="0" fontId="247" fillId="0" borderId="0" applyNumberFormat="0" applyFill="0" applyBorder="0" applyAlignment="0" applyProtection="0">
      <alignment vertical="center"/>
    </xf>
    <xf numFmtId="0" fontId="248" fillId="49" borderId="56" applyNumberFormat="0" applyAlignment="0" applyProtection="0">
      <alignment vertical="center"/>
    </xf>
    <xf numFmtId="0" fontId="249" fillId="0" borderId="0" applyNumberFormat="0" applyFill="0" applyBorder="0" applyAlignment="0" applyProtection="0">
      <alignment vertical="center"/>
    </xf>
    <xf numFmtId="0" fontId="250" fillId="0" borderId="71" applyNumberFormat="0" applyFill="0" applyAlignment="0" applyProtection="0">
      <alignment vertical="center"/>
    </xf>
    <xf numFmtId="0" fontId="251" fillId="0" borderId="73" applyNumberFormat="0" applyFill="0" applyAlignment="0" applyProtection="0">
      <alignment vertical="center"/>
    </xf>
    <xf numFmtId="0" fontId="252" fillId="0" borderId="75" applyNumberFormat="0" applyFill="0" applyAlignment="0" applyProtection="0">
      <alignment vertical="center"/>
    </xf>
    <xf numFmtId="0" fontId="252" fillId="0" borderId="0" applyNumberFormat="0" applyFill="0" applyBorder="0" applyAlignment="0" applyProtection="0">
      <alignment vertical="center"/>
    </xf>
    <xf numFmtId="0" fontId="253" fillId="49" borderId="56" applyNumberFormat="0" applyAlignment="0" applyProtection="0">
      <alignment vertical="center"/>
    </xf>
    <xf numFmtId="0" fontId="254" fillId="0" borderId="92" applyNumberFormat="0" applyFill="0" applyAlignment="0" applyProtection="0">
      <alignment vertical="center"/>
    </xf>
    <xf numFmtId="0" fontId="11" fillId="14" borderId="82" applyNumberFormat="0" applyFont="0" applyAlignment="0" applyProtection="0">
      <alignment vertical="center"/>
    </xf>
    <xf numFmtId="0" fontId="255" fillId="0" borderId="0" applyNumberFormat="0" applyFill="0" applyBorder="0" applyAlignment="0" applyProtection="0">
      <alignment vertical="center"/>
    </xf>
    <xf numFmtId="0" fontId="256" fillId="25" borderId="55" applyNumberFormat="0" applyAlignment="0" applyProtection="0">
      <alignment vertical="center"/>
    </xf>
    <xf numFmtId="0" fontId="257" fillId="0" borderId="0" applyNumberFormat="0" applyFill="0" applyBorder="0" applyAlignment="0" applyProtection="0">
      <alignment vertical="center"/>
    </xf>
    <xf numFmtId="0" fontId="258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60" fillId="25" borderId="55" applyNumberFormat="0" applyAlignment="0" applyProtection="0">
      <alignment vertical="center"/>
    </xf>
    <xf numFmtId="291" fontId="11" fillId="0" borderId="0" applyFont="0" applyFill="0" applyBorder="0" applyAlignment="0" applyProtection="0"/>
    <xf numFmtId="292" fontId="11" fillId="0" borderId="0" applyFont="0" applyFill="0" applyBorder="0" applyAlignment="0" applyProtection="0"/>
    <xf numFmtId="0" fontId="67" fillId="45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261" fillId="22" borderId="55" applyNumberFormat="0" applyAlignment="0" applyProtection="0">
      <alignment vertical="center"/>
    </xf>
    <xf numFmtId="0" fontId="262" fillId="25" borderId="85" applyNumberFormat="0" applyAlignment="0" applyProtection="0">
      <alignment vertical="center"/>
    </xf>
    <xf numFmtId="0" fontId="263" fillId="22" borderId="55" applyNumberFormat="0" applyAlignment="0" applyProtection="0">
      <alignment vertical="center"/>
    </xf>
    <xf numFmtId="0" fontId="264" fillId="25" borderId="85" applyNumberFormat="0" applyAlignment="0" applyProtection="0">
      <alignment vertical="center"/>
    </xf>
    <xf numFmtId="0" fontId="265" fillId="11" borderId="0" applyNumberFormat="0" applyBorder="0" applyAlignment="0" applyProtection="0">
      <alignment vertical="center"/>
    </xf>
    <xf numFmtId="0" fontId="266" fillId="0" borderId="80" applyNumberFormat="0" applyFill="0" applyAlignment="0" applyProtection="0">
      <alignment vertical="center"/>
    </xf>
    <xf numFmtId="0" fontId="267" fillId="0" borderId="80" applyNumberFormat="0" applyFill="0" applyAlignment="0" applyProtection="0">
      <alignment vertical="center"/>
    </xf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7" borderId="0" applyNumberFormat="0" applyBorder="0" applyAlignment="0" applyProtection="0"/>
    <xf numFmtId="0" fontId="61" fillId="21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6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5" fillId="33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9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7" borderId="0" applyNumberFormat="0" applyBorder="0" applyAlignment="0" applyProtection="0"/>
    <xf numFmtId="0" fontId="65" fillId="50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41" fillId="8" borderId="0" applyNumberFormat="0" applyBorder="0" applyAlignment="0" applyProtection="0"/>
    <xf numFmtId="0" fontId="45" fillId="59" borderId="29" applyNumberFormat="0" applyAlignment="0" applyProtection="0"/>
    <xf numFmtId="0" fontId="89" fillId="61" borderId="32" applyNumberFormat="0" applyAlignment="0" applyProtection="0"/>
    <xf numFmtId="0" fontId="268" fillId="0" borderId="0" applyNumberFormat="0" applyFill="0" applyBorder="0" applyAlignment="0" applyProtection="0"/>
    <xf numFmtId="0" fontId="40" fillId="68" borderId="0" applyNumberFormat="0" applyBorder="0" applyAlignment="0" applyProtection="0"/>
    <xf numFmtId="0" fontId="269" fillId="0" borderId="26" applyNumberFormat="0" applyFill="0" applyAlignment="0" applyProtection="0"/>
    <xf numFmtId="0" fontId="270" fillId="0" borderId="27" applyNumberFormat="0" applyFill="0" applyAlignment="0" applyProtection="0"/>
    <xf numFmtId="0" fontId="271" fillId="0" borderId="28" applyNumberFormat="0" applyFill="0" applyAlignment="0" applyProtection="0"/>
    <xf numFmtId="0" fontId="271" fillId="0" borderId="0" applyNumberFormat="0" applyFill="0" applyBorder="0" applyAlignment="0" applyProtection="0"/>
    <xf numFmtId="0" fontId="43" fillId="22" borderId="29" applyNumberFormat="0" applyAlignment="0" applyProtection="0"/>
    <xf numFmtId="0" fontId="272" fillId="0" borderId="31" applyNumberFormat="0" applyFill="0" applyAlignment="0" applyProtection="0"/>
    <xf numFmtId="0" fontId="42" fillId="70" borderId="0" applyNumberFormat="0" applyBorder="0" applyAlignment="0" applyProtection="0"/>
    <xf numFmtId="0" fontId="61" fillId="14" borderId="33" applyNumberFormat="0" applyFont="0" applyAlignment="0" applyProtection="0"/>
    <xf numFmtId="0" fontId="44" fillId="59" borderId="30" applyNumberFormat="0" applyAlignment="0" applyProtection="0"/>
    <xf numFmtId="0" fontId="220" fillId="0" borderId="0" applyNumberFormat="0" applyFill="0" applyBorder="0" applyAlignment="0" applyProtection="0"/>
    <xf numFmtId="0" fontId="224" fillId="0" borderId="34" applyNumberFormat="0" applyFill="0" applyAlignment="0" applyProtection="0"/>
    <xf numFmtId="0" fontId="233" fillId="0" borderId="0" applyNumberForma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73" fillId="25" borderId="82">
      <alignment vertical="center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47">
    <xf numFmtId="0" fontId="0" fillId="0" borderId="0" xfId="0"/>
    <xf numFmtId="10" fontId="0" fillId="0" borderId="0" xfId="0" applyNumberFormat="1"/>
    <xf numFmtId="0" fontId="2" fillId="0" borderId="1" xfId="0" applyFont="1" applyBorder="1"/>
    <xf numFmtId="0" fontId="2" fillId="0" borderId="0" xfId="0" applyFont="1"/>
    <xf numFmtId="2" fontId="0" fillId="0" borderId="0" xfId="0" applyNumberFormat="1"/>
    <xf numFmtId="0" fontId="0" fillId="0" borderId="0" xfId="0" applyFont="1"/>
    <xf numFmtId="0" fontId="4" fillId="0" borderId="0" xfId="0" applyFont="1"/>
    <xf numFmtId="3" fontId="0" fillId="0" borderId="0" xfId="0" applyNumberFormat="1"/>
    <xf numFmtId="3" fontId="2" fillId="0" borderId="1" xfId="0" applyNumberFormat="1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1" fillId="3" borderId="0" xfId="0" applyFont="1" applyFill="1"/>
    <xf numFmtId="167" fontId="0" fillId="0" borderId="1" xfId="0" applyNumberFormat="1" applyBorder="1"/>
    <xf numFmtId="166" fontId="0" fillId="0" borderId="0" xfId="0" applyNumberFormat="1"/>
    <xf numFmtId="0" fontId="8" fillId="0" borderId="0" xfId="0" applyFont="1"/>
    <xf numFmtId="0" fontId="3" fillId="3" borderId="0" xfId="0" applyFont="1" applyFill="1"/>
    <xf numFmtId="10" fontId="4" fillId="0" borderId="0" xfId="0" applyNumberFormat="1" applyFont="1"/>
    <xf numFmtId="166" fontId="0" fillId="0" borderId="0" xfId="0" applyNumberFormat="1" applyFont="1"/>
    <xf numFmtId="166" fontId="6" fillId="2" borderId="2" xfId="0" applyNumberFormat="1" applyFont="1" applyFill="1" applyBorder="1"/>
    <xf numFmtId="166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9" fontId="2" fillId="0" borderId="0" xfId="0" applyNumberFormat="1" applyFont="1"/>
    <xf numFmtId="10" fontId="5" fillId="0" borderId="6" xfId="0" applyNumberFormat="1" applyFont="1" applyBorder="1" applyAlignment="1">
      <alignment horizontal="center"/>
    </xf>
    <xf numFmtId="10" fontId="5" fillId="0" borderId="7" xfId="0" applyNumberFormat="1" applyFont="1" applyBorder="1" applyAlignment="1">
      <alignment horizontal="center"/>
    </xf>
    <xf numFmtId="0" fontId="0" fillId="0" borderId="0" xfId="0" applyBorder="1"/>
    <xf numFmtId="10" fontId="5" fillId="0" borderId="8" xfId="0" applyNumberFormat="1" applyFont="1" applyBorder="1" applyAlignment="1">
      <alignment horizontal="center"/>
    </xf>
    <xf numFmtId="168" fontId="0" fillId="0" borderId="0" xfId="0" applyNumberFormat="1" applyFont="1"/>
    <xf numFmtId="10" fontId="5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Fill="1"/>
    <xf numFmtId="168" fontId="0" fillId="0" borderId="0" xfId="0" applyNumberFormat="1" applyFont="1" applyFill="1"/>
    <xf numFmtId="165" fontId="5" fillId="0" borderId="0" xfId="0" applyNumberFormat="1" applyFon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0" fontId="6" fillId="0" borderId="0" xfId="0" applyFont="1"/>
    <xf numFmtId="166" fontId="5" fillId="0" borderId="0" xfId="0" applyNumberFormat="1" applyFont="1"/>
    <xf numFmtId="3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9" fontId="5" fillId="0" borderId="8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10" fontId="5" fillId="0" borderId="0" xfId="0" applyNumberFormat="1" applyFont="1"/>
    <xf numFmtId="17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2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/>
    <xf numFmtId="0" fontId="1" fillId="5" borderId="0" xfId="0" applyFont="1" applyFill="1"/>
    <xf numFmtId="0" fontId="3" fillId="5" borderId="0" xfId="0" applyFont="1" applyFill="1"/>
    <xf numFmtId="0" fontId="7" fillId="6" borderId="0" xfId="0" applyFont="1" applyFill="1"/>
    <xf numFmtId="0" fontId="14" fillId="0" borderId="0" xfId="0" applyFont="1"/>
    <xf numFmtId="172" fontId="0" fillId="0" borderId="0" xfId="0" applyNumberFormat="1"/>
    <xf numFmtId="173" fontId="0" fillId="0" borderId="0" xfId="0" applyNumberFormat="1"/>
    <xf numFmtId="171" fontId="15" fillId="0" borderId="0" xfId="0" applyNumberFormat="1" applyFont="1" applyAlignment="1">
      <alignment horizontal="left"/>
    </xf>
    <xf numFmtId="0" fontId="15" fillId="0" borderId="0" xfId="0" applyFont="1"/>
    <xf numFmtId="4" fontId="4" fillId="0" borderId="0" xfId="0" applyNumberFormat="1" applyFont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7" fillId="0" borderId="0" xfId="0" applyFont="1"/>
    <xf numFmtId="3" fontId="2" fillId="0" borderId="0" xfId="0" applyNumberFormat="1" applyFont="1"/>
    <xf numFmtId="9" fontId="0" fillId="0" borderId="0" xfId="0" applyNumberFormat="1"/>
    <xf numFmtId="9" fontId="18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/>
    <xf numFmtId="3" fontId="18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Font="1" applyBorder="1"/>
    <xf numFmtId="3" fontId="0" fillId="0" borderId="0" xfId="0" applyNumberFormat="1" applyFont="1" applyBorder="1"/>
    <xf numFmtId="3" fontId="0" fillId="0" borderId="0" xfId="0" applyNumberFormat="1" applyFont="1"/>
    <xf numFmtId="9" fontId="0" fillId="0" borderId="0" xfId="0" applyNumberFormat="1" applyAlignment="1">
      <alignment horizontal="right"/>
    </xf>
    <xf numFmtId="3" fontId="5" fillId="0" borderId="0" xfId="0" applyNumberFormat="1" applyFont="1"/>
    <xf numFmtId="10" fontId="2" fillId="0" borderId="0" xfId="0" applyNumberFormat="1" applyFont="1"/>
    <xf numFmtId="9" fontId="4" fillId="0" borderId="0" xfId="0" applyNumberFormat="1" applyFont="1"/>
    <xf numFmtId="166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17" fillId="0" borderId="0" xfId="0" applyFont="1" applyAlignment="1">
      <alignment horizontal="left" indent="2"/>
    </xf>
    <xf numFmtId="9" fontId="5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 indent="1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right"/>
    </xf>
    <xf numFmtId="174" fontId="5" fillId="0" borderId="0" xfId="0" applyNumberFormat="1" applyFont="1"/>
    <xf numFmtId="4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3" fontId="5" fillId="0" borderId="0" xfId="0" applyNumberFormat="1" applyFont="1" applyFill="1"/>
    <xf numFmtId="3" fontId="0" fillId="0" borderId="0" xfId="0" applyNumberFormat="1" applyFill="1"/>
    <xf numFmtId="3" fontId="0" fillId="0" borderId="0" xfId="0" applyNumberFormat="1" applyAlignment="1">
      <alignment horizontal="right"/>
    </xf>
    <xf numFmtId="165" fontId="5" fillId="0" borderId="0" xfId="0" applyNumberFormat="1" applyFont="1" applyAlignment="1">
      <alignment horizontal="right"/>
    </xf>
    <xf numFmtId="174" fontId="0" fillId="0" borderId="0" xfId="0" applyNumberFormat="1"/>
    <xf numFmtId="0" fontId="19" fillId="0" borderId="0" xfId="0" applyFont="1" applyBorder="1"/>
    <xf numFmtId="3" fontId="19" fillId="0" borderId="0" xfId="0" applyNumberFormat="1" applyFont="1"/>
    <xf numFmtId="0" fontId="19" fillId="0" borderId="0" xfId="0" applyFont="1"/>
    <xf numFmtId="2" fontId="0" fillId="0" borderId="0" xfId="0" applyNumberFormat="1" applyAlignment="1">
      <alignment horizontal="right"/>
    </xf>
    <xf numFmtId="3" fontId="9" fillId="0" borderId="0" xfId="0" applyNumberFormat="1" applyFont="1"/>
    <xf numFmtId="3" fontId="9" fillId="0" borderId="1" xfId="0" applyNumberFormat="1" applyFont="1" applyBorder="1"/>
    <xf numFmtId="10" fontId="0" fillId="0" borderId="0" xfId="0" applyNumberFormat="1" applyAlignment="1">
      <alignment horizontal="right"/>
    </xf>
    <xf numFmtId="174" fontId="4" fillId="0" borderId="0" xfId="0" applyNumberFormat="1" applyFont="1"/>
    <xf numFmtId="174" fontId="4" fillId="0" borderId="0" xfId="0" applyNumberFormat="1" applyFont="1" applyFill="1"/>
    <xf numFmtId="4" fontId="5" fillId="0" borderId="0" xfId="0" applyNumberFormat="1" applyFont="1" applyFill="1" applyAlignment="1">
      <alignment horizontal="right"/>
    </xf>
    <xf numFmtId="166" fontId="0" fillId="0" borderId="0" xfId="0" applyNumberFormat="1" applyFill="1"/>
    <xf numFmtId="9" fontId="19" fillId="0" borderId="0" xfId="0" applyNumberFormat="1" applyFont="1"/>
    <xf numFmtId="0" fontId="4" fillId="0" borderId="0" xfId="0" applyFont="1" applyAlignment="1">
      <alignment horizontal="right"/>
    </xf>
    <xf numFmtId="9" fontId="20" fillId="0" borderId="0" xfId="0" applyNumberFormat="1" applyFont="1"/>
    <xf numFmtId="0" fontId="18" fillId="0" borderId="0" xfId="0" applyFont="1"/>
    <xf numFmtId="0" fontId="0" fillId="6" borderId="0" xfId="0" applyFill="1"/>
    <xf numFmtId="0" fontId="2" fillId="6" borderId="0" xfId="0" applyFont="1" applyFill="1"/>
    <xf numFmtId="0" fontId="1" fillId="5" borderId="0" xfId="0" quotePrefix="1" applyFont="1" applyFill="1" applyAlignment="1">
      <alignment horizontal="center"/>
    </xf>
    <xf numFmtId="4" fontId="3" fillId="5" borderId="0" xfId="0" applyNumberFormat="1" applyFont="1" applyFill="1"/>
    <xf numFmtId="0" fontId="22" fillId="5" borderId="0" xfId="0" applyFont="1" applyFill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left" indent="1"/>
    </xf>
    <xf numFmtId="0" fontId="25" fillId="0" borderId="0" xfId="0" applyFont="1"/>
    <xf numFmtId="4" fontId="0" fillId="0" borderId="0" xfId="0" applyNumberFormat="1" applyFill="1" applyBorder="1"/>
    <xf numFmtId="0" fontId="8" fillId="0" borderId="0" xfId="0" applyFont="1" applyFill="1" applyBorder="1"/>
    <xf numFmtId="3" fontId="0" fillId="0" borderId="0" xfId="0" applyNumberFormat="1" applyFill="1" applyBorder="1"/>
    <xf numFmtId="166" fontId="8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2" borderId="11" xfId="0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9" fontId="0" fillId="2" borderId="13" xfId="0" applyNumberFormat="1" applyFill="1" applyBorder="1" applyAlignment="1">
      <alignment horizontal="center"/>
    </xf>
    <xf numFmtId="10" fontId="0" fillId="0" borderId="14" xfId="0" applyNumberFormat="1" applyBorder="1"/>
    <xf numFmtId="4" fontId="0" fillId="2" borderId="10" xfId="0" applyNumberFormat="1" applyFill="1" applyBorder="1"/>
    <xf numFmtId="3" fontId="0" fillId="2" borderId="15" xfId="0" applyNumberFormat="1" applyFill="1" applyBorder="1"/>
    <xf numFmtId="3" fontId="0" fillId="2" borderId="16" xfId="0" applyNumberFormat="1" applyFill="1" applyBorder="1"/>
    <xf numFmtId="3" fontId="0" fillId="0" borderId="14" xfId="0" applyNumberFormat="1" applyBorder="1"/>
    <xf numFmtId="3" fontId="0" fillId="2" borderId="18" xfId="0" applyNumberFormat="1" applyFill="1" applyBorder="1"/>
    <xf numFmtId="3" fontId="0" fillId="2" borderId="19" xfId="0" applyNumberFormat="1" applyFill="1" applyBorder="1"/>
    <xf numFmtId="3" fontId="0" fillId="2" borderId="17" xfId="0" applyNumberFormat="1" applyFill="1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3" fontId="0" fillId="0" borderId="21" xfId="0" applyNumberFormat="1" applyBorder="1"/>
    <xf numFmtId="0" fontId="0" fillId="0" borderId="19" xfId="0" applyBorder="1" applyAlignment="1">
      <alignment horizontal="right"/>
    </xf>
    <xf numFmtId="0" fontId="0" fillId="0" borderId="17" xfId="0" applyBorder="1" applyAlignment="1">
      <alignment horizontal="right"/>
    </xf>
    <xf numFmtId="3" fontId="0" fillId="2" borderId="24" xfId="0" applyNumberFormat="1" applyFill="1" applyBorder="1"/>
    <xf numFmtId="3" fontId="0" fillId="2" borderId="25" xfId="0" applyNumberFormat="1" applyFill="1" applyBorder="1"/>
    <xf numFmtId="171" fontId="2" fillId="7" borderId="2" xfId="0" applyNumberFormat="1" applyFont="1" applyFill="1" applyBorder="1" applyAlignment="1">
      <alignment horizontal="center"/>
    </xf>
    <xf numFmtId="171" fontId="2" fillId="7" borderId="4" xfId="0" applyNumberFormat="1" applyFont="1" applyFill="1" applyBorder="1"/>
    <xf numFmtId="0" fontId="2" fillId="7" borderId="3" xfId="0" applyFont="1" applyFill="1" applyBorder="1"/>
    <xf numFmtId="165" fontId="5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left" indent="1"/>
    </xf>
    <xf numFmtId="166" fontId="8" fillId="0" borderId="0" xfId="0" applyNumberFormat="1" applyFont="1" applyAlignment="1">
      <alignment horizontal="right"/>
    </xf>
    <xf numFmtId="3" fontId="26" fillId="0" borderId="0" xfId="0" applyNumberFormat="1" applyFont="1" applyFill="1" applyBorder="1"/>
    <xf numFmtId="0" fontId="21" fillId="0" borderId="0" xfId="0" applyFont="1" applyAlignment="1">
      <alignment horizontal="center"/>
    </xf>
    <xf numFmtId="0" fontId="14" fillId="0" borderId="0" xfId="0" applyFont="1" applyFill="1"/>
    <xf numFmtId="0" fontId="1" fillId="0" borderId="0" xfId="0" applyFont="1" applyFill="1"/>
    <xf numFmtId="0" fontId="17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left" indent="1"/>
    </xf>
    <xf numFmtId="0" fontId="19" fillId="0" borderId="0" xfId="0" applyFont="1" applyFill="1"/>
    <xf numFmtId="0" fontId="0" fillId="0" borderId="0" xfId="0" applyFont="1" applyFill="1"/>
    <xf numFmtId="3" fontId="0" fillId="0" borderId="0" xfId="0" applyNumberFormat="1" applyFill="1" applyBorder="1" applyAlignment="1">
      <alignment horizontal="right"/>
    </xf>
    <xf numFmtId="0" fontId="0" fillId="0" borderId="0" xfId="0" applyFont="1" applyFill="1" applyAlignment="1">
      <alignment horizontal="left" indent="1"/>
    </xf>
    <xf numFmtId="165" fontId="0" fillId="0" borderId="0" xfId="0" applyNumberFormat="1" applyAlignment="1">
      <alignment horizontal="right"/>
    </xf>
    <xf numFmtId="0" fontId="0" fillId="0" borderId="0" xfId="0" applyFill="1" applyAlignment="1">
      <alignment horizontal="left"/>
    </xf>
    <xf numFmtId="0" fontId="16" fillId="0" borderId="0" xfId="0" applyFont="1" applyFill="1"/>
    <xf numFmtId="0" fontId="6" fillId="0" borderId="0" xfId="0" applyFont="1" applyAlignment="1">
      <alignment horizontal="left"/>
    </xf>
    <xf numFmtId="10" fontId="4" fillId="0" borderId="0" xfId="0" applyNumberFormat="1" applyFont="1" applyFill="1"/>
    <xf numFmtId="10" fontId="7" fillId="0" borderId="0" xfId="0" applyNumberFormat="1" applyFont="1" applyAlignment="1">
      <alignment horizontal="center"/>
    </xf>
    <xf numFmtId="10" fontId="7" fillId="0" borderId="6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6" xfId="0" applyNumberFormat="1" applyFont="1" applyBorder="1" applyAlignment="1">
      <alignment horizontal="center"/>
    </xf>
    <xf numFmtId="2" fontId="4" fillId="0" borderId="0" xfId="0" applyNumberFormat="1" applyFont="1"/>
    <xf numFmtId="167" fontId="5" fillId="0" borderId="0" xfId="0" applyNumberFormat="1" applyFont="1" applyFill="1" applyAlignment="1">
      <alignment horizontal="right"/>
    </xf>
    <xf numFmtId="3" fontId="18" fillId="0" borderId="0" xfId="0" applyNumberFormat="1" applyFont="1" applyFill="1" applyBorder="1"/>
    <xf numFmtId="2" fontId="0" fillId="0" borderId="0" xfId="0" applyNumberFormat="1" applyFont="1" applyBorder="1" applyAlignment="1">
      <alignment horizontal="left" indent="1"/>
    </xf>
    <xf numFmtId="3" fontId="7" fillId="0" borderId="1" xfId="0" applyNumberFormat="1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9" fontId="7" fillId="0" borderId="0" xfId="0" applyNumberFormat="1" applyFont="1" applyBorder="1"/>
    <xf numFmtId="3" fontId="7" fillId="0" borderId="0" xfId="0" applyNumberFormat="1" applyFont="1" applyBorder="1"/>
    <xf numFmtId="4" fontId="5" fillId="0" borderId="0" xfId="0" applyNumberFormat="1" applyFont="1" applyBorder="1"/>
    <xf numFmtId="3" fontId="6" fillId="0" borderId="1" xfId="0" applyNumberFormat="1" applyFont="1" applyBorder="1"/>
    <xf numFmtId="3" fontId="0" fillId="2" borderId="23" xfId="0" applyNumberFormat="1" applyFill="1" applyBorder="1"/>
    <xf numFmtId="3" fontId="0" fillId="2" borderId="22" xfId="0" applyNumberFormat="1" applyFill="1" applyBorder="1"/>
    <xf numFmtId="10" fontId="0" fillId="0" borderId="0" xfId="0" applyNumberFormat="1" applyFont="1"/>
    <xf numFmtId="9" fontId="17" fillId="0" borderId="0" xfId="0" applyNumberFormat="1" applyFont="1"/>
    <xf numFmtId="4" fontId="18" fillId="0" borderId="0" xfId="0" applyNumberFormat="1" applyFont="1" applyFill="1" applyBorder="1"/>
    <xf numFmtId="167" fontId="0" fillId="0" borderId="0" xfId="0" applyNumberFormat="1"/>
    <xf numFmtId="293" fontId="5" fillId="0" borderId="0" xfId="0" applyNumberFormat="1" applyFont="1" applyAlignment="1">
      <alignment horizontal="right"/>
    </xf>
    <xf numFmtId="167" fontId="14" fillId="0" borderId="0" xfId="0" applyNumberFormat="1" applyFont="1" applyAlignment="1">
      <alignment horizontal="center"/>
    </xf>
    <xf numFmtId="10" fontId="18" fillId="0" borderId="0" xfId="0" applyNumberFormat="1" applyFont="1"/>
    <xf numFmtId="9" fontId="274" fillId="0" borderId="0" xfId="0" applyNumberFormat="1" applyFont="1"/>
    <xf numFmtId="0" fontId="0" fillId="78" borderId="0" xfId="0" applyFill="1"/>
    <xf numFmtId="166" fontId="0" fillId="78" borderId="0" xfId="0" applyNumberFormat="1" applyFill="1"/>
    <xf numFmtId="3" fontId="275" fillId="0" borderId="0" xfId="0" applyNumberFormat="1" applyFont="1" applyAlignment="1">
      <alignment horizontal="right"/>
    </xf>
    <xf numFmtId="3" fontId="0" fillId="6" borderId="0" xfId="0" applyNumberFormat="1" applyFill="1"/>
    <xf numFmtId="293" fontId="4" fillId="0" borderId="0" xfId="0" applyNumberFormat="1" applyFont="1" applyAlignment="1">
      <alignment horizontal="right"/>
    </xf>
    <xf numFmtId="0" fontId="16" fillId="78" borderId="0" xfId="0" applyFont="1" applyFill="1"/>
    <xf numFmtId="3" fontId="0" fillId="78" borderId="0" xfId="0" applyNumberFormat="1" applyFill="1"/>
    <xf numFmtId="2" fontId="0" fillId="6" borderId="0" xfId="0" applyNumberFormat="1" applyFill="1"/>
    <xf numFmtId="10" fontId="0" fillId="0" borderId="1" xfId="0" applyNumberFormat="1" applyBorder="1"/>
    <xf numFmtId="167" fontId="4" fillId="2" borderId="10" xfId="0" applyNumberFormat="1" applyFont="1" applyFill="1" applyBorder="1"/>
    <xf numFmtId="0" fontId="2" fillId="0" borderId="1" xfId="0" applyFont="1" applyBorder="1" applyAlignment="1">
      <alignment horizontal="left"/>
    </xf>
    <xf numFmtId="4" fontId="5" fillId="0" borderId="0" xfId="0" applyNumberFormat="1" applyFont="1"/>
    <xf numFmtId="166" fontId="5" fillId="0" borderId="0" xfId="0" applyNumberFormat="1" applyFont="1" applyFill="1"/>
    <xf numFmtId="166" fontId="0" fillId="0" borderId="0" xfId="0" applyNumberFormat="1" applyFill="1" applyAlignment="1">
      <alignment horizontal="center"/>
    </xf>
    <xf numFmtId="2" fontId="5" fillId="0" borderId="0" xfId="0" applyNumberFormat="1" applyFont="1" applyFill="1"/>
    <xf numFmtId="2" fontId="4" fillId="0" borderId="0" xfId="0" applyNumberFormat="1" applyFont="1" applyFill="1"/>
    <xf numFmtId="171" fontId="0" fillId="0" borderId="0" xfId="0" applyNumberFormat="1"/>
    <xf numFmtId="166" fontId="18" fillId="0" borderId="0" xfId="0" applyNumberFormat="1" applyFont="1"/>
    <xf numFmtId="0" fontId="2" fillId="0" borderId="0" xfId="0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9" fontId="5" fillId="0" borderId="0" xfId="0" applyNumberFormat="1" applyFont="1"/>
    <xf numFmtId="0" fontId="19" fillId="0" borderId="1" xfId="0" applyFont="1" applyBorder="1"/>
    <xf numFmtId="3" fontId="20" fillId="0" borderId="1" xfId="0" applyNumberFormat="1" applyFont="1" applyBorder="1" applyAlignment="1">
      <alignment horizontal="right"/>
    </xf>
    <xf numFmtId="9" fontId="276" fillId="0" borderId="1" xfId="0" applyNumberFormat="1" applyFont="1" applyBorder="1"/>
    <xf numFmtId="3" fontId="6" fillId="0" borderId="1" xfId="0" applyNumberFormat="1" applyFont="1" applyBorder="1" applyAlignment="1">
      <alignment horizontal="right"/>
    </xf>
    <xf numFmtId="9" fontId="7" fillId="0" borderId="1" xfId="0" applyNumberFormat="1" applyFont="1" applyBorder="1"/>
    <xf numFmtId="166" fontId="7" fillId="0" borderId="1" xfId="0" applyNumberFormat="1" applyFont="1" applyBorder="1"/>
    <xf numFmtId="2" fontId="0" fillId="0" borderId="0" xfId="0" applyNumberFormat="1" applyFont="1" applyBorder="1" applyAlignment="1">
      <alignment horizontal="left"/>
    </xf>
    <xf numFmtId="2" fontId="0" fillId="0" borderId="0" xfId="0" applyNumberFormat="1" applyAlignment="1">
      <alignment horizontal="left"/>
    </xf>
    <xf numFmtId="166" fontId="7" fillId="0" borderId="0" xfId="0" applyNumberFormat="1" applyFont="1"/>
    <xf numFmtId="2" fontId="0" fillId="0" borderId="0" xfId="0" applyNumberFormat="1" applyAlignment="1">
      <alignment horizontal="left" indent="1"/>
    </xf>
    <xf numFmtId="3" fontId="20" fillId="0" borderId="0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0" fontId="1" fillId="5" borderId="0" xfId="0" applyFont="1" applyFill="1" applyAlignment="1">
      <alignment horizontal="right"/>
    </xf>
    <xf numFmtId="0" fontId="7" fillId="6" borderId="0" xfId="0" applyFont="1" applyFill="1" applyAlignment="1">
      <alignment horizontal="right"/>
    </xf>
    <xf numFmtId="0" fontId="5" fillId="6" borderId="0" xfId="0" applyFont="1" applyFill="1"/>
    <xf numFmtId="0" fontId="6" fillId="78" borderId="0" xfId="0" applyFont="1" applyFill="1" applyAlignment="1">
      <alignment horizontal="right"/>
    </xf>
    <xf numFmtId="0" fontId="7" fillId="78" borderId="0" xfId="0" applyFont="1" applyFill="1" applyAlignment="1">
      <alignment horizontal="right"/>
    </xf>
    <xf numFmtId="0" fontId="4" fillId="78" borderId="0" xfId="0" applyFont="1" applyFill="1" applyAlignment="1">
      <alignment horizontal="right"/>
    </xf>
    <xf numFmtId="0" fontId="5" fillId="78" borderId="0" xfId="0" applyFont="1" applyFill="1" applyAlignment="1">
      <alignment horizontal="right"/>
    </xf>
    <xf numFmtId="0" fontId="3" fillId="79" borderId="0" xfId="0" applyFont="1" applyFill="1" applyAlignment="1">
      <alignment horizontal="right"/>
    </xf>
    <xf numFmtId="3" fontId="2" fillId="17" borderId="1" xfId="0" applyNumberFormat="1" applyFont="1" applyFill="1" applyBorder="1"/>
    <xf numFmtId="3" fontId="7" fillId="17" borderId="1" xfId="0" applyNumberFormat="1" applyFont="1" applyFill="1" applyBorder="1"/>
    <xf numFmtId="3" fontId="2" fillId="17" borderId="0" xfId="0" applyNumberFormat="1" applyFont="1" applyFill="1"/>
    <xf numFmtId="3" fontId="7" fillId="17" borderId="0" xfId="0" applyNumberFormat="1" applyFont="1" applyFill="1"/>
    <xf numFmtId="9" fontId="2" fillId="17" borderId="0" xfId="0" applyNumberFormat="1" applyFont="1" applyFill="1"/>
    <xf numFmtId="1" fontId="0" fillId="0" borderId="0" xfId="0" applyNumberFormat="1" applyAlignment="1">
      <alignment horizontal="right"/>
    </xf>
    <xf numFmtId="1" fontId="2" fillId="17" borderId="0" xfId="0" applyNumberFormat="1" applyFont="1" applyFill="1" applyAlignment="1">
      <alignment horizontal="right"/>
    </xf>
    <xf numFmtId="166" fontId="2" fillId="17" borderId="0" xfId="0" applyNumberFormat="1" applyFont="1" applyFill="1"/>
    <xf numFmtId="0" fontId="2" fillId="17" borderId="0" xfId="0" applyFont="1" applyFill="1"/>
    <xf numFmtId="3" fontId="6" fillId="17" borderId="0" xfId="0" applyNumberFormat="1" applyFont="1" applyFill="1"/>
    <xf numFmtId="1" fontId="0" fillId="0" borderId="0" xfId="0" applyNumberFormat="1"/>
    <xf numFmtId="0" fontId="2" fillId="17" borderId="1" xfId="0" applyFont="1" applyFill="1" applyBorder="1"/>
    <xf numFmtId="4" fontId="0" fillId="78" borderId="0" xfId="0" applyNumberFormat="1" applyFill="1"/>
    <xf numFmtId="0" fontId="0" fillId="0" borderId="0" xfId="0" applyAlignment="1">
      <alignment horizontal="right"/>
    </xf>
    <xf numFmtId="175" fontId="0" fillId="0" borderId="0" xfId="0" applyNumberFormat="1"/>
    <xf numFmtId="175" fontId="4" fillId="0" borderId="0" xfId="0" applyNumberFormat="1" applyFont="1" applyFill="1"/>
    <xf numFmtId="10" fontId="275" fillId="0" borderId="0" xfId="0" applyNumberFormat="1" applyFont="1"/>
    <xf numFmtId="175" fontId="4" fillId="0" borderId="0" xfId="0" applyNumberFormat="1" applyFont="1"/>
    <xf numFmtId="10" fontId="4" fillId="0" borderId="0" xfId="0" applyNumberFormat="1" applyFont="1" applyAlignment="1">
      <alignment horizontal="right"/>
    </xf>
    <xf numFmtId="171" fontId="0" fillId="0" borderId="0" xfId="0" applyNumberFormat="1" applyAlignment="1">
      <alignment horizontal="right"/>
    </xf>
    <xf numFmtId="171" fontId="18" fillId="0" borderId="0" xfId="0" applyNumberFormat="1" applyFont="1"/>
    <xf numFmtId="9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9" fontId="7" fillId="0" borderId="0" xfId="0" applyNumberFormat="1" applyFont="1"/>
    <xf numFmtId="9" fontId="7" fillId="17" borderId="0" xfId="0" applyNumberFormat="1" applyFont="1" applyFill="1"/>
    <xf numFmtId="3" fontId="6" fillId="0" borderId="0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2" fillId="0" borderId="1" xfId="0" applyNumberFormat="1" applyFont="1" applyBorder="1"/>
    <xf numFmtId="0" fontId="2" fillId="0" borderId="1" xfId="0" applyFont="1" applyFill="1" applyBorder="1"/>
    <xf numFmtId="171" fontId="0" fillId="0" borderId="0" xfId="0" applyNumberFormat="1" applyAlignment="1"/>
    <xf numFmtId="9" fontId="4" fillId="0" borderId="0" xfId="0" applyNumberFormat="1" applyFont="1" applyAlignment="1"/>
    <xf numFmtId="174" fontId="0" fillId="0" borderId="0" xfId="0" applyNumberFormat="1" applyAlignment="1">
      <alignment horizontal="right"/>
    </xf>
    <xf numFmtId="174" fontId="9" fillId="0" borderId="0" xfId="0" applyNumberFormat="1" applyFont="1" applyFill="1" applyBorder="1"/>
    <xf numFmtId="3" fontId="5" fillId="0" borderId="0" xfId="0" applyNumberFormat="1" applyFont="1" applyBorder="1"/>
    <xf numFmtId="0" fontId="0" fillId="0" borderId="36" xfId="0" applyBorder="1"/>
    <xf numFmtId="166" fontId="0" fillId="0" borderId="36" xfId="0" applyNumberFormat="1" applyBorder="1"/>
    <xf numFmtId="0" fontId="19" fillId="0" borderId="36" xfId="0" applyFont="1" applyBorder="1"/>
    <xf numFmtId="0" fontId="0" fillId="0" borderId="95" xfId="0" applyBorder="1"/>
    <xf numFmtId="3" fontId="0" fillId="0" borderId="95" xfId="0" applyNumberFormat="1" applyBorder="1"/>
    <xf numFmtId="0" fontId="17" fillId="0" borderId="0" xfId="0" applyFont="1" applyAlignment="1">
      <alignment horizontal="left"/>
    </xf>
    <xf numFmtId="10" fontId="278" fillId="0" borderId="0" xfId="0" applyNumberFormat="1" applyFont="1" applyAlignment="1">
      <alignment horizontal="right"/>
    </xf>
    <xf numFmtId="10" fontId="278" fillId="0" borderId="0" xfId="0" applyNumberFormat="1" applyFont="1"/>
    <xf numFmtId="10" fontId="17" fillId="0" borderId="0" xfId="0" applyNumberFormat="1" applyFont="1" applyAlignment="1">
      <alignment horizontal="right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166" fontId="274" fillId="0" borderId="0" xfId="0" applyNumberFormat="1" applyFont="1"/>
    <xf numFmtId="3" fontId="17" fillId="0" borderId="0" xfId="0" applyNumberFormat="1" applyFont="1"/>
    <xf numFmtId="166" fontId="275" fillId="0" borderId="0" xfId="0" applyNumberFormat="1" applyFont="1"/>
    <xf numFmtId="0" fontId="0" fillId="0" borderId="0" xfId="0" applyAlignment="1">
      <alignment horizontal="left" indent="2"/>
    </xf>
    <xf numFmtId="0" fontId="0" fillId="0" borderId="95" xfId="0" applyBorder="1" applyAlignment="1">
      <alignment horizontal="left" indent="1"/>
    </xf>
    <xf numFmtId="3" fontId="278" fillId="0" borderId="95" xfId="0" applyNumberFormat="1" applyFont="1" applyBorder="1"/>
    <xf numFmtId="166" fontId="6" fillId="0" borderId="0" xfId="0" applyNumberFormat="1" applyFont="1"/>
    <xf numFmtId="166" fontId="6" fillId="0" borderId="1" xfId="0" applyNumberFormat="1" applyFont="1" applyBorder="1"/>
    <xf numFmtId="3" fontId="26" fillId="0" borderId="1" xfId="0" applyNumberFormat="1" applyFont="1" applyBorder="1"/>
    <xf numFmtId="3" fontId="274" fillId="0" borderId="0" xfId="0" applyNumberFormat="1" applyFont="1"/>
    <xf numFmtId="0" fontId="2" fillId="0" borderId="0" xfId="0" applyFont="1" applyAlignment="1">
      <alignment horizontal="left"/>
    </xf>
    <xf numFmtId="3" fontId="7" fillId="0" borderId="0" xfId="0" applyNumberFormat="1" applyFont="1"/>
    <xf numFmtId="3" fontId="26" fillId="0" borderId="0" xfId="0" applyNumberFormat="1" applyFont="1"/>
    <xf numFmtId="0" fontId="2" fillId="0" borderId="95" xfId="0" applyFont="1" applyBorder="1" applyAlignment="1">
      <alignment horizontal="left" indent="1"/>
    </xf>
    <xf numFmtId="166" fontId="6" fillId="0" borderId="95" xfId="0" applyNumberFormat="1" applyFont="1" applyBorder="1"/>
    <xf numFmtId="3" fontId="7" fillId="0" borderId="95" xfId="0" applyNumberFormat="1" applyFont="1" applyBorder="1"/>
    <xf numFmtId="3" fontId="26" fillId="0" borderId="95" xfId="0" applyNumberFormat="1" applyFont="1" applyBorder="1"/>
    <xf numFmtId="3" fontId="26" fillId="0" borderId="0" xfId="0" applyNumberFormat="1" applyFont="1" applyBorder="1"/>
    <xf numFmtId="166" fontId="6" fillId="0" borderId="0" xfId="0" applyNumberFormat="1" applyFont="1" applyAlignment="1">
      <alignment horizontal="center"/>
    </xf>
    <xf numFmtId="3" fontId="5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6" fillId="0" borderId="1" xfId="0" applyFont="1" applyBorder="1"/>
    <xf numFmtId="3" fontId="18" fillId="0" borderId="0" xfId="0" applyNumberFormat="1" applyFont="1" applyBorder="1"/>
    <xf numFmtId="174" fontId="18" fillId="0" borderId="0" xfId="0" applyNumberFormat="1" applyFont="1"/>
    <xf numFmtId="0" fontId="2" fillId="17" borderId="0" xfId="0" applyFont="1" applyFill="1" applyAlignment="1">
      <alignment horizontal="left" indent="1"/>
    </xf>
    <xf numFmtId="3" fontId="6" fillId="0" borderId="0" xfId="0" applyNumberFormat="1" applyFont="1"/>
    <xf numFmtId="0" fontId="2" fillId="17" borderId="0" xfId="0" applyFont="1" applyFill="1" applyBorder="1"/>
    <xf numFmtId="3" fontId="2" fillId="17" borderId="0" xfId="0" applyNumberFormat="1" applyFont="1" applyFill="1" applyBorder="1"/>
    <xf numFmtId="3" fontId="5" fillId="17" borderId="0" xfId="0" applyNumberFormat="1" applyFont="1" applyFill="1" applyBorder="1"/>
    <xf numFmtId="4" fontId="2" fillId="0" borderId="0" xfId="0" applyNumberFormat="1" applyFont="1"/>
    <xf numFmtId="3" fontId="4" fillId="2" borderId="19" xfId="0" applyNumberFormat="1" applyFont="1" applyFill="1" applyBorder="1"/>
    <xf numFmtId="175" fontId="5" fillId="0" borderId="0" xfId="0" applyNumberFormat="1" applyFont="1"/>
    <xf numFmtId="166" fontId="5" fillId="0" borderId="0" xfId="0" applyNumberFormat="1" applyFont="1" applyFill="1" applyAlignment="1">
      <alignment horizontal="left" indent="1"/>
    </xf>
    <xf numFmtId="3" fontId="278" fillId="0" borderId="0" xfId="0" applyNumberFormat="1" applyFont="1"/>
    <xf numFmtId="3" fontId="18" fillId="0" borderId="0" xfId="0" applyNumberFormat="1" applyFont="1" applyFill="1"/>
    <xf numFmtId="0" fontId="2" fillId="0" borderId="0" xfId="0" applyFont="1" applyBorder="1" applyAlignment="1">
      <alignment horizontal="left"/>
    </xf>
    <xf numFmtId="3" fontId="9" fillId="0" borderId="0" xfId="0" applyNumberFormat="1" applyFont="1" applyBorder="1"/>
    <xf numFmtId="0" fontId="2" fillId="0" borderId="0" xfId="0" applyFont="1" applyAlignment="1">
      <alignment horizontal="left" indent="1"/>
    </xf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5" fillId="0" borderId="0" xfId="0" applyNumberFormat="1" applyFont="1"/>
    <xf numFmtId="3" fontId="26" fillId="0" borderId="1" xfId="0" applyNumberFormat="1" applyFont="1" applyFill="1" applyBorder="1"/>
    <xf numFmtId="0" fontId="277" fillId="0" borderId="0" xfId="0" applyFont="1" applyFill="1"/>
    <xf numFmtId="293" fontId="18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right"/>
    </xf>
    <xf numFmtId="3" fontId="279" fillId="0" borderId="0" xfId="0" applyNumberFormat="1" applyFont="1" applyAlignment="1">
      <alignment horizontal="right"/>
    </xf>
    <xf numFmtId="3" fontId="279" fillId="0" borderId="0" xfId="0" applyNumberFormat="1" applyFont="1"/>
    <xf numFmtId="3" fontId="279" fillId="0" borderId="0" xfId="0" applyNumberFormat="1" applyFont="1" applyFill="1"/>
    <xf numFmtId="3" fontId="280" fillId="0" borderId="0" xfId="0" applyNumberFormat="1" applyFont="1"/>
    <xf numFmtId="3" fontId="280" fillId="0" borderId="0" xfId="0" applyNumberFormat="1" applyFont="1" applyFill="1"/>
    <xf numFmtId="294" fontId="0" fillId="0" borderId="0" xfId="0" applyNumberFormat="1"/>
    <xf numFmtId="174" fontId="0" fillId="0" borderId="0" xfId="0" applyNumberFormat="1" applyFill="1"/>
    <xf numFmtId="171" fontId="18" fillId="0" borderId="0" xfId="0" applyNumberFormat="1" applyFont="1" applyFill="1"/>
    <xf numFmtId="10" fontId="6" fillId="0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9" fontId="0" fillId="0" borderId="0" xfId="0" applyNumberFormat="1" applyFill="1"/>
    <xf numFmtId="9" fontId="17" fillId="0" borderId="0" xfId="0" applyNumberFormat="1" applyFont="1" applyFill="1"/>
    <xf numFmtId="170" fontId="4" fillId="0" borderId="0" xfId="0" applyNumberFormat="1" applyFont="1" applyAlignment="1">
      <alignment horizontal="left"/>
    </xf>
  </cellXfs>
  <cellStyles count="4386">
    <cellStyle name="_x0004_" xfId="15" xr:uid="{00000000-0005-0000-0000-000000000000}"/>
    <cellStyle name="-" xfId="16" xr:uid="{00000000-0005-0000-0000-000001000000}"/>
    <cellStyle name=" 1" xfId="17" xr:uid="{00000000-0005-0000-0000-000002000000}"/>
    <cellStyle name=" Writer Import]_x000d__x000a_Display Dialog=No_x000d__x000a__x000d__x000a_[Horizontal Arrange]_x000d__x000a_Dimensions Interlocking=Yes_x000d__x000a_Sum Hierarchy=Yes_x000d__x000a_Generate" xfId="18" xr:uid="{00000000-0005-0000-0000-000003000000}"/>
    <cellStyle name="_x000d__x000a_JournalTemplate=C:\COMFO\CTALK\JOURSTD.TPL_x000d__x000a_LbStateAddress=3 3 0 251 1 89 2 311_x000d__x000a_LbStateJou" xfId="19" xr:uid="{00000000-0005-0000-0000-000004000000}"/>
    <cellStyle name="# ###" xfId="20" xr:uid="{00000000-0005-0000-0000-000005000000}"/>
    <cellStyle name="$" xfId="21" xr:uid="{00000000-0005-0000-0000-000006000000}"/>
    <cellStyle name="$K" xfId="22" xr:uid="{00000000-0005-0000-0000-000007000000}"/>
    <cellStyle name="%" xfId="23" xr:uid="{00000000-0005-0000-0000-000008000000}"/>
    <cellStyle name="% 2" xfId="24" xr:uid="{00000000-0005-0000-0000-000009000000}"/>
    <cellStyle name="******************************************" xfId="25" xr:uid="{00000000-0005-0000-0000-00000A000000}"/>
    <cellStyle name="??" xfId="26" xr:uid="{00000000-0005-0000-0000-00000B000000}"/>
    <cellStyle name="?? [0]_??" xfId="27" xr:uid="{00000000-0005-0000-0000-00000C000000}"/>
    <cellStyle name="???[0]_~ME0858" xfId="28" xr:uid="{00000000-0005-0000-0000-00000D000000}"/>
    <cellStyle name="???_~ME0858" xfId="29" xr:uid="{00000000-0005-0000-0000-00000E000000}"/>
    <cellStyle name="??[0]_laroux" xfId="30" xr:uid="{00000000-0005-0000-0000-00000F000000}"/>
    <cellStyle name="??_?.????" xfId="31" xr:uid="{00000000-0005-0000-0000-000010000000}"/>
    <cellStyle name="\" xfId="32" xr:uid="{00000000-0005-0000-0000-000011000000}"/>
    <cellStyle name="_%(SignOnly)" xfId="33" xr:uid="{00000000-0005-0000-0000-000012000000}"/>
    <cellStyle name="_%(SignOnly)_BLS2q_salesforce" xfId="34" xr:uid="{00000000-0005-0000-0000-000013000000}"/>
    <cellStyle name="_%(SignSpaceOnly)" xfId="35" xr:uid="{00000000-0005-0000-0000-000014000000}"/>
    <cellStyle name="_%(SignSpaceOnly)_BLS2q_salesforce" xfId="36" xr:uid="{00000000-0005-0000-0000-000015000000}"/>
    <cellStyle name="_600-7R093-0000-C00 RevH Costed BOM 20060928" xfId="37" xr:uid="{00000000-0005-0000-0000-000016000000}"/>
    <cellStyle name="_600-7R162-0000-A00 Costed BOM 20070212" xfId="38" xr:uid="{00000000-0005-0000-0000-000017000000}"/>
    <cellStyle name="_960-10093-1900-001 EVGA RevC" xfId="39" xr:uid="{00000000-0005-0000-0000-000018000000}"/>
    <cellStyle name="_960-10093-1900-001 EVGA RevC20061024" xfId="40" xr:uid="{00000000-0005-0000-0000-000019000000}"/>
    <cellStyle name="_Airquote - DELL chasis (FP)" xfId="41" xr:uid="{00000000-0005-0000-0000-00001A000000}"/>
    <cellStyle name="_Airquote - DELL chasis (FP)_Lenovo PACK  Packing Proposal" xfId="42" xr:uid="{00000000-0005-0000-0000-00001B000000}"/>
    <cellStyle name="_Airquote - DELL chasis (FP)_Lenovo Park Format_July 07 05" xfId="43" xr:uid="{00000000-0005-0000-0000-00001C000000}"/>
    <cellStyle name="_Airquote - DELL chasis (FP)_Lenovo Park Format_July 07 05V2" xfId="44" xr:uid="{00000000-0005-0000-0000-00001D000000}"/>
    <cellStyle name="_Alienware CBOM_PPV by SCM Update 070314" xfId="45" xr:uid="{00000000-0005-0000-0000-00001E000000}"/>
    <cellStyle name="_Alienware SDSS#1175 CBOM - 1214" xfId="46" xr:uid="{00000000-0005-0000-0000-00001F000000}"/>
    <cellStyle name="_Balance Sheet July 9 IFRS Sept 18" xfId="47" xr:uid="{00000000-0005-0000-0000-000020000000}"/>
    <cellStyle name="_Balvenie Package shipment info.2" xfId="48" xr:uid="{00000000-0005-0000-0000-000021000000}"/>
    <cellStyle name="_Balvenie Package shipment info.2_Lenovo PACK  Packing Proposal" xfId="49" xr:uid="{00000000-0005-0000-0000-000022000000}"/>
    <cellStyle name="_Balvenie Package shipment info.2_Lenovo Park Format_July 07 05" xfId="50" xr:uid="{00000000-0005-0000-0000-000023000000}"/>
    <cellStyle name="_Balvenie Package shipment info.2_Lenovo Park Format_July 07 05V2" xfId="51" xr:uid="{00000000-0005-0000-0000-000024000000}"/>
    <cellStyle name="_BOM update - Supplier List (Purchase) 111102" xfId="52" xr:uid="{00000000-0005-0000-0000-000025000000}"/>
    <cellStyle name="_BOM update - Supplier List (Purchase) 111102_Lenovo PACK  Packing Proposal" xfId="53" xr:uid="{00000000-0005-0000-0000-000026000000}"/>
    <cellStyle name="_BOM update - Supplier List (Purchase) 111102_Lenovo Park Format_July 07 05" xfId="54" xr:uid="{00000000-0005-0000-0000-000027000000}"/>
    <cellStyle name="_BOM update - Supplier List (Purchase) 111102_Lenovo Park Format_July 07 05V2" xfId="55" xr:uid="{00000000-0005-0000-0000-000028000000}"/>
    <cellStyle name="_bom updated on 2002-11-10" xfId="56" xr:uid="{00000000-0005-0000-0000-000029000000}"/>
    <cellStyle name="_bom updated on 2002-11-10_Lenovo PACK  Packing Proposal" xfId="57" xr:uid="{00000000-0005-0000-0000-00002A000000}"/>
    <cellStyle name="_bom updated on 2002-11-10_Lenovo Park Format_July 07 05" xfId="58" xr:uid="{00000000-0005-0000-0000-00002B000000}"/>
    <cellStyle name="_bom updated on 2002-11-10_Lenovo Park Format_July 07 05V2" xfId="59" xr:uid="{00000000-0005-0000-0000-00002C000000}"/>
    <cellStyle name="_bom updated on 2002-11-10-1" xfId="60" xr:uid="{00000000-0005-0000-0000-00002D000000}"/>
    <cellStyle name="_bom updated on 2002-11-10-1_Lenovo PACK  Packing Proposal" xfId="61" xr:uid="{00000000-0005-0000-0000-00002E000000}"/>
    <cellStyle name="_bom updated on 2002-11-10-1_Lenovo Park Format_July 07 05" xfId="62" xr:uid="{00000000-0005-0000-0000-00002F000000}"/>
    <cellStyle name="_bom updated on 2002-11-10-1_Lenovo Park Format_July 07 05V2" xfId="63" xr:uid="{00000000-0005-0000-0000-000030000000}"/>
    <cellStyle name="_Budgetary Quote for VOIP Telephones" xfId="64" xr:uid="{00000000-0005-0000-0000-000031000000}"/>
    <cellStyle name="_Budgetary Quote for VOIP Telephones_Lenovo PACK  Packing Proposal" xfId="65" xr:uid="{00000000-0005-0000-0000-000032000000}"/>
    <cellStyle name="_Budgetary Quote for VOIP Telephones_Lenovo Park Format_July 07 05" xfId="66" xr:uid="{00000000-0005-0000-0000-000033000000}"/>
    <cellStyle name="_Budgetary Quote for VOIP Telephones_Lenovo Park Format_July 07 05V2" xfId="67" xr:uid="{00000000-0005-0000-0000-000034000000}"/>
    <cellStyle name="_Comma" xfId="68" xr:uid="{00000000-0005-0000-0000-000035000000}"/>
    <cellStyle name="_Comma_03 Contribution Analysis" xfId="69" xr:uid="{00000000-0005-0000-0000-000036000000}"/>
    <cellStyle name="_Comma_BLS2q_salesforce" xfId="70" xr:uid="{00000000-0005-0000-0000-000037000000}"/>
    <cellStyle name="_Comma_Contribution of assets into USAi_02" xfId="71" xr:uid="{00000000-0005-0000-0000-000038000000}"/>
    <cellStyle name="_Comma_credit - newco_6_18" xfId="72" xr:uid="{00000000-0005-0000-0000-000039000000}"/>
    <cellStyle name="_Comma_CSC Cable makers 060502" xfId="73" xr:uid="{00000000-0005-0000-0000-00003A000000}"/>
    <cellStyle name="_Comma_Final Pages 8-20" xfId="74" xr:uid="{00000000-0005-0000-0000-00003B000000}"/>
    <cellStyle name="_Comma_Final Pages 8-20_BLS2q_salesforce" xfId="75" xr:uid="{00000000-0005-0000-0000-00003C000000}"/>
    <cellStyle name="_Comma_further analysis on comparables" xfId="76" xr:uid="{00000000-0005-0000-0000-00003D000000}"/>
    <cellStyle name="_Comma_further analysis on comparables_BLS2q_salesforce" xfId="77" xr:uid="{00000000-0005-0000-0000-00003E000000}"/>
    <cellStyle name="_Comma_NBC-5 yearDCF-Final from Vivendi modified" xfId="78" xr:uid="{00000000-0005-0000-0000-00003F000000}"/>
    <cellStyle name="_Comma_Training Model Shell" xfId="79" xr:uid="{00000000-0005-0000-0000-000040000000}"/>
    <cellStyle name="_Comma_Update 08-27-01-3" xfId="80" xr:uid="{00000000-0005-0000-0000-000041000000}"/>
    <cellStyle name="_Copy of Exhibit A QUOTE FORMAT_Rev1-0525_Jason-1 (Cost)" xfId="81" xr:uid="{00000000-0005-0000-0000-000042000000}"/>
    <cellStyle name="_cost analysis" xfId="82" xr:uid="{00000000-0005-0000-0000-000043000000}"/>
    <cellStyle name="_Cost analysis template" xfId="83" xr:uid="{00000000-0005-0000-0000-000044000000}"/>
    <cellStyle name="_Cost analysis template_Lenovo PACK  Packing Proposal" xfId="84" xr:uid="{00000000-0005-0000-0000-000045000000}"/>
    <cellStyle name="_Cost analysis template_Lenovo Park Format_July 07 05" xfId="85" xr:uid="{00000000-0005-0000-0000-000046000000}"/>
    <cellStyle name="_Cost analysis template_Lenovo Park Format_July 07 05V2" xfId="86" xr:uid="{00000000-0005-0000-0000-000047000000}"/>
    <cellStyle name="_Cost Analysis Template-1" xfId="87" xr:uid="{00000000-0005-0000-0000-000048000000}"/>
    <cellStyle name="_Cost Analysis Template-1_Lenovo PACK  Packing Proposal" xfId="88" xr:uid="{00000000-0005-0000-0000-000049000000}"/>
    <cellStyle name="_Cost Analysis Template-1_Lenovo Park Format_July 07 05" xfId="89" xr:uid="{00000000-0005-0000-0000-00004A000000}"/>
    <cellStyle name="_Cost Analysis Template-1_Lenovo Park Format_July 07 05V2" xfId="90" xr:uid="{00000000-0005-0000-0000-00004B000000}"/>
    <cellStyle name="_Cost BOM" xfId="91" xr:uid="{00000000-0005-0000-0000-00004C000000}"/>
    <cellStyle name="_Currency" xfId="92" xr:uid="{00000000-0005-0000-0000-00004D000000}"/>
    <cellStyle name="_Currency_03 Contribution Analysis" xfId="93" xr:uid="{00000000-0005-0000-0000-00004E000000}"/>
    <cellStyle name="_Currency_08 FB &amp; Milan IS" xfId="94" xr:uid="{00000000-0005-0000-0000-00004F000000}"/>
    <cellStyle name="_Currency_Basic LBO v06" xfId="95" xr:uid="{00000000-0005-0000-0000-000050000000}"/>
    <cellStyle name="_Currency_BLS2q_salesforce" xfId="96" xr:uid="{00000000-0005-0000-0000-000051000000}"/>
    <cellStyle name="_Currency_Contribution of assets into USAi_02" xfId="97" xr:uid="{00000000-0005-0000-0000-000052000000}"/>
    <cellStyle name="_Currency_credit - newco_6_18" xfId="98" xr:uid="{00000000-0005-0000-0000-000053000000}"/>
    <cellStyle name="_Currency_credit - newco_6_18_BLS2q_salesforce" xfId="99" xr:uid="{00000000-0005-0000-0000-000054000000}"/>
    <cellStyle name="_Currency_CSC Cable makers 060502" xfId="100" xr:uid="{00000000-0005-0000-0000-000055000000}"/>
    <cellStyle name="_Currency_Final Pages 8-20" xfId="101" xr:uid="{00000000-0005-0000-0000-000056000000}"/>
    <cellStyle name="_Currency_Final Pages 8-20_BLS2q_salesforce" xfId="102" xr:uid="{00000000-0005-0000-0000-000057000000}"/>
    <cellStyle name="_Currency_further analysis on comparables" xfId="103" xr:uid="{00000000-0005-0000-0000-000058000000}"/>
    <cellStyle name="_Currency_further analysis on comparables_BLS2q_salesforce" xfId="104" xr:uid="{00000000-0005-0000-0000-000059000000}"/>
    <cellStyle name="_Currency_merger_plans (Jason Cho) - solution" xfId="105" xr:uid="{00000000-0005-0000-0000-00005A000000}"/>
    <cellStyle name="_Currency_MVL 2005-2007 IS v04" xfId="106" xr:uid="{00000000-0005-0000-0000-00005B000000}"/>
    <cellStyle name="_Currency_NBC-5 yearDCF-Final from Vivendi modified" xfId="107" xr:uid="{00000000-0005-0000-0000-00005C000000}"/>
    <cellStyle name="_Currency_Oakley Model v13" xfId="108" xr:uid="{00000000-0005-0000-0000-00005D000000}"/>
    <cellStyle name="_Currency_Pirelli Valo" xfId="109" xr:uid="{00000000-0005-0000-0000-00005E000000}"/>
    <cellStyle name="_Currency_Preliminary Model 30 06 00" xfId="110" xr:uid="{00000000-0005-0000-0000-00005F000000}"/>
    <cellStyle name="_Currency_TK - Training Model" xfId="111" xr:uid="{00000000-0005-0000-0000-000060000000}"/>
    <cellStyle name="_Currency_Training Model Shell" xfId="112" xr:uid="{00000000-0005-0000-0000-000061000000}"/>
    <cellStyle name="_Currency_Training Model Shell_BLS2q_salesforce" xfId="113" xr:uid="{00000000-0005-0000-0000-000062000000}"/>
    <cellStyle name="_Currency_Update 08-27-01-3" xfId="114" xr:uid="{00000000-0005-0000-0000-000063000000}"/>
    <cellStyle name="_Currency_Update 08-27-01-3_BLS2q_salesforce" xfId="115" xr:uid="{00000000-0005-0000-0000-000064000000}"/>
    <cellStyle name="_Currency_Vison Ease v09" xfId="116" xr:uid="{00000000-0005-0000-0000-000065000000}"/>
    <cellStyle name="_Currency_Warrants Valuation Model" xfId="117" xr:uid="{00000000-0005-0000-0000-000066000000}"/>
    <cellStyle name="_CurrencySpace" xfId="118" xr:uid="{00000000-0005-0000-0000-000067000000}"/>
    <cellStyle name="_CurrencySpace_03 Contribution Analysis" xfId="119" xr:uid="{00000000-0005-0000-0000-000068000000}"/>
    <cellStyle name="_CurrencySpace_08 FB &amp; Milan IS" xfId="120" xr:uid="{00000000-0005-0000-0000-000069000000}"/>
    <cellStyle name="_CurrencySpace_BLS2q_salesforce" xfId="121" xr:uid="{00000000-0005-0000-0000-00006A000000}"/>
    <cellStyle name="_CurrencySpace_Contribution of assets into USAi_02" xfId="122" xr:uid="{00000000-0005-0000-0000-00006B000000}"/>
    <cellStyle name="_CurrencySpace_credit - newco_6_18" xfId="123" xr:uid="{00000000-0005-0000-0000-00006C000000}"/>
    <cellStyle name="_CurrencySpace_CSC Cable makers 060502" xfId="124" xr:uid="{00000000-0005-0000-0000-00006D000000}"/>
    <cellStyle name="_CurrencySpace_Final Pages 8-20" xfId="125" xr:uid="{00000000-0005-0000-0000-00006E000000}"/>
    <cellStyle name="_CurrencySpace_Final Pages 8-20_BLS2q_salesforce" xfId="126" xr:uid="{00000000-0005-0000-0000-00006F000000}"/>
    <cellStyle name="_CurrencySpace_further analysis on comparables" xfId="127" xr:uid="{00000000-0005-0000-0000-000070000000}"/>
    <cellStyle name="_CurrencySpace_further analysis on comparables_BLS2q_salesforce" xfId="128" xr:uid="{00000000-0005-0000-0000-000071000000}"/>
    <cellStyle name="_CurrencySpace_NBC-5 yearDCF-Final from Vivendi modified" xfId="129" xr:uid="{00000000-0005-0000-0000-000072000000}"/>
    <cellStyle name="_CurrencySpace_NEP Model v20" xfId="130" xr:uid="{00000000-0005-0000-0000-000073000000}"/>
    <cellStyle name="_CurrencySpace_Oakley Model v13" xfId="131" xr:uid="{00000000-0005-0000-0000-000074000000}"/>
    <cellStyle name="_CurrencySpace_TK - Training Model" xfId="132" xr:uid="{00000000-0005-0000-0000-000075000000}"/>
    <cellStyle name="_CurrencySpace_Training Model Shell" xfId="133" xr:uid="{00000000-0005-0000-0000-000076000000}"/>
    <cellStyle name="_CurrencySpace_Update 08-27-01-3" xfId="134" xr:uid="{00000000-0005-0000-0000-000077000000}"/>
    <cellStyle name="_CurrencySpace_Vison Ease v09" xfId="135" xr:uid="{00000000-0005-0000-0000-000078000000}"/>
    <cellStyle name="_DDU AFR (DM-Miami,USA) --Douglas 070315" xfId="136" xr:uid="{00000000-0005-0000-0000-000079000000}"/>
    <cellStyle name="_DDU SHA by LCL ocean&amp;air -- Tina Zang061227FYI" xfId="137" xr:uid="{00000000-0005-0000-0000-00007A000000}"/>
    <cellStyle name="_DELL Field Returns Inventory 01Mar04'2" xfId="138" xr:uid="{00000000-0005-0000-0000-00007B000000}"/>
    <cellStyle name="_DELL Field Returns Inventory 01Mar04'2_Lenovo PACK  Packing Proposal" xfId="139" xr:uid="{00000000-0005-0000-0000-00007C000000}"/>
    <cellStyle name="_DELL Field Returns Inventory 01Mar04'2_Lenovo Park Format_July 07 05" xfId="140" xr:uid="{00000000-0005-0000-0000-00007D000000}"/>
    <cellStyle name="_DELL Field Returns Inventory 01Mar04'2_Lenovo Park Format_July 07 05V2" xfId="141" xr:uid="{00000000-0005-0000-0000-00007E000000}"/>
    <cellStyle name="_Dell Fields Return Cost Estimaton - 20040308" xfId="142" xr:uid="{00000000-0005-0000-0000-00007F000000}"/>
    <cellStyle name="_Dell Fields Return Cost Estimaton - 20040308_Lenovo PACK  Packing Proposal" xfId="143" xr:uid="{00000000-0005-0000-0000-000080000000}"/>
    <cellStyle name="_Dell Fields Return Cost Estimaton - 20040308_Lenovo Park Format_July 07 05" xfId="144" xr:uid="{00000000-0005-0000-0000-000081000000}"/>
    <cellStyle name="_Dell Fields Return Cost Estimaton - 20040308_Lenovo Park Format_July 07 05V2" xfId="145" xr:uid="{00000000-0005-0000-0000-000082000000}"/>
    <cellStyle name="_Dell Kookaburra L10 Costing_Rev01 (Nov 23,2007)" xfId="146" xr:uid="{00000000-0005-0000-0000-000083000000}"/>
    <cellStyle name="_Dell MB APCC EMF Bax (Nov 25)" xfId="147" xr:uid="{00000000-0005-0000-0000-000084000000}"/>
    <cellStyle name="_Dell MB APCC EMF Bax (Nov 25)_Lenovo PACK  Packing Proposal" xfId="148" xr:uid="{00000000-0005-0000-0000-000085000000}"/>
    <cellStyle name="_Dell MB APCC EMF Bax (Nov 25)_Lenovo Park Format_July 07 05" xfId="149" xr:uid="{00000000-0005-0000-0000-000086000000}"/>
    <cellStyle name="_Dell MB APCC EMF Bax (Nov 25)_Lenovo Park Format_July 07 05V2" xfId="150" xr:uid="{00000000-0005-0000-0000-000087000000}"/>
    <cellStyle name="_Dell MB to AMF Frt Pricing - 20040309" xfId="151" xr:uid="{00000000-0005-0000-0000-000088000000}"/>
    <cellStyle name="_Dell MB to AMF Frt Pricing - 20040309_Lenovo PACK  Packing Proposal" xfId="152" xr:uid="{00000000-0005-0000-0000-000089000000}"/>
    <cellStyle name="_Dell MB to AMF Frt Pricing - 20040309_Lenovo Park Format_July 07 05" xfId="153" xr:uid="{00000000-0005-0000-0000-00008A000000}"/>
    <cellStyle name="_Dell MB to AMF Frt Pricing - 20040309_Lenovo Park Format_July 07 05V2" xfId="154" xr:uid="{00000000-0005-0000-0000-00008B000000}"/>
    <cellStyle name="_Dell MB to AMF Pricing - 20040308" xfId="155" xr:uid="{00000000-0005-0000-0000-00008C000000}"/>
    <cellStyle name="_Dell MB to AMF Pricing - 20040308_Lenovo PACK  Packing Proposal" xfId="156" xr:uid="{00000000-0005-0000-0000-00008D000000}"/>
    <cellStyle name="_Dell MB to AMF Pricing - 20040308_Lenovo Park Format_July 07 05" xfId="157" xr:uid="{00000000-0005-0000-0000-00008E000000}"/>
    <cellStyle name="_Dell MB to AMF Pricing - 20040308_Lenovo Park Format_July 07 05V2" xfId="158" xr:uid="{00000000-0005-0000-0000-00008F000000}"/>
    <cellStyle name="_Dell Sneetch EE BOM COST0406-from GP-summary-revised" xfId="159" xr:uid="{00000000-0005-0000-0000-000090000000}"/>
    <cellStyle name="_EMC Koto DDP Durham - 20040707" xfId="160" xr:uid="{00000000-0005-0000-0000-000091000000}"/>
    <cellStyle name="_EMC Koto DDP Durham - 20040707_Lenovo PACK  Packing Proposal" xfId="161" xr:uid="{00000000-0005-0000-0000-000092000000}"/>
    <cellStyle name="_EMC Koto DDP Durham - 20040707_Lenovo Park Format_July 07 05" xfId="162" xr:uid="{00000000-0005-0000-0000-000093000000}"/>
    <cellStyle name="_EMC Koto DDP Durham - 20040707_Lenovo Park Format_July 07 05V2" xfId="163" xr:uid="{00000000-0005-0000-0000-000094000000}"/>
    <cellStyle name="_Euro" xfId="164" xr:uid="{00000000-0005-0000-0000-000095000000}"/>
    <cellStyle name="_Euro_BLS2q_salesforce" xfId="165" xr:uid="{00000000-0005-0000-0000-000096000000}"/>
    <cellStyle name="_freight  hub cost-7-281" xfId="166" xr:uid="{00000000-0005-0000-0000-000097000000}"/>
    <cellStyle name="_freight  hub cost-7-281_Lenovo PACK  Packing Proposal" xfId="167" xr:uid="{00000000-0005-0000-0000-000098000000}"/>
    <cellStyle name="_freight  hub cost-7-281_Lenovo Park Format_July 07 05" xfId="168" xr:uid="{00000000-0005-0000-0000-000099000000}"/>
    <cellStyle name="_freight  hub cost-7-281_Lenovo Park Format_July 07 05V2" xfId="169" xr:uid="{00000000-0005-0000-0000-00009A000000}"/>
    <cellStyle name="_freight cost-7-12" xfId="170" xr:uid="{00000000-0005-0000-0000-00009B000000}"/>
    <cellStyle name="_freight cost-7-12_Lenovo PACK  Packing Proposal" xfId="171" xr:uid="{00000000-0005-0000-0000-00009C000000}"/>
    <cellStyle name="_freight cost-7-12_Lenovo Park Format_July 07 05" xfId="172" xr:uid="{00000000-0005-0000-0000-00009D000000}"/>
    <cellStyle name="_freight cost-7-12_Lenovo Park Format_July 07 05V2" xfId="173" xr:uid="{00000000-0005-0000-0000-00009E000000}"/>
    <cellStyle name="_GH4 360 Cost BOM-Apr-23-2008" xfId="174" xr:uid="{00000000-0005-0000-0000-00009F000000}"/>
    <cellStyle name="_HDD Quote Doumen Summary v2_0703013-billy add packing size" xfId="175" xr:uid="{00000000-0005-0000-0000-0000A0000000}"/>
    <cellStyle name="_Heading" xfId="176" xr:uid="{00000000-0005-0000-0000-0000A1000000}"/>
    <cellStyle name="_Heading_01 VU Liquidity 171202" xfId="177" xr:uid="{00000000-0005-0000-0000-0000A2000000}"/>
    <cellStyle name="_Heading_18 Management Projections" xfId="178" xr:uid="{00000000-0005-0000-0000-0000A3000000}"/>
    <cellStyle name="_Heading_20080616_Ownership Structure Walk-Up" xfId="179" xr:uid="{00000000-0005-0000-0000-0000A4000000}"/>
    <cellStyle name="_Heading_210302 VU Liquidity new figures" xfId="180" xr:uid="{00000000-0005-0000-0000-0000A5000000}"/>
    <cellStyle name="_Heading_prestemp" xfId="181" xr:uid="{00000000-0005-0000-0000-0000A6000000}"/>
    <cellStyle name="_Heading_Tribune Consolidated Model v578" xfId="182" xr:uid="{00000000-0005-0000-0000-0000A7000000}"/>
    <cellStyle name="_Headline" xfId="183" xr:uid="{00000000-0005-0000-0000-0000A8000000}"/>
    <cellStyle name="_Highlight" xfId="184" xr:uid="{00000000-0005-0000-0000-0000A9000000}"/>
    <cellStyle name="_Highlight 10" xfId="185" xr:uid="{00000000-0005-0000-0000-0000AA000000}"/>
    <cellStyle name="_Highlight 11" xfId="186" xr:uid="{00000000-0005-0000-0000-0000AB000000}"/>
    <cellStyle name="_Highlight 12" xfId="187" xr:uid="{00000000-0005-0000-0000-0000AC000000}"/>
    <cellStyle name="_Highlight 2" xfId="188" xr:uid="{00000000-0005-0000-0000-0000AD000000}"/>
    <cellStyle name="_Highlight 3" xfId="189" xr:uid="{00000000-0005-0000-0000-0000AE000000}"/>
    <cellStyle name="_Highlight 4" xfId="190" xr:uid="{00000000-0005-0000-0000-0000AF000000}"/>
    <cellStyle name="_Highlight 5" xfId="191" xr:uid="{00000000-0005-0000-0000-0000B0000000}"/>
    <cellStyle name="_Highlight 6" xfId="192" xr:uid="{00000000-0005-0000-0000-0000B1000000}"/>
    <cellStyle name="_Highlight 7" xfId="193" xr:uid="{00000000-0005-0000-0000-0000B2000000}"/>
    <cellStyle name="_Highlight 8" xfId="194" xr:uid="{00000000-0005-0000-0000-0000B3000000}"/>
    <cellStyle name="_Highlight 9" xfId="195" xr:uid="{00000000-0005-0000-0000-0000B4000000}"/>
    <cellStyle name="_HJF-6C0066" xfId="196" xr:uid="{00000000-0005-0000-0000-0000B5000000}"/>
    <cellStyle name="_HP bPC OFR (050912)" xfId="197" xr:uid="{00000000-0005-0000-0000-0000B6000000}"/>
    <cellStyle name="_Hub and Truck and  Ocean rate to Shanghai (Dazhong hub) 060920 revised- to Steven" xfId="198" xr:uid="{00000000-0005-0000-0000-0000B7000000}"/>
    <cellStyle name="_IBM ex DM (ORF_TFR)040719" xfId="199" xr:uid="{00000000-0005-0000-0000-0000B8000000}"/>
    <cellStyle name="_IBM ex DM (ORF_TFR)040719_Lenovo PACK  Packing Proposal" xfId="200" xr:uid="{00000000-0005-0000-0000-0000B9000000}"/>
    <cellStyle name="_IBM ex DM (ORF_TFR)040719_Lenovo Park Format_July 07 05" xfId="201" xr:uid="{00000000-0005-0000-0000-0000BA000000}"/>
    <cellStyle name="_IBM ex DM (ORF_TFR)040719_Lenovo Park Format_July 07 05V2" xfId="202" xr:uid="{00000000-0005-0000-0000-0000BB000000}"/>
    <cellStyle name="_IBM ex DM (ORF_TFR)040818" xfId="203" xr:uid="{00000000-0005-0000-0000-0000BC000000}"/>
    <cellStyle name="_IBM ex DM (ORF_TFR)040818_Lenovo PACK  Packing Proposal" xfId="204" xr:uid="{00000000-0005-0000-0000-0000BD000000}"/>
    <cellStyle name="_IBM ex DM (ORF_TFR)040818_Lenovo Park Format_July 07 05" xfId="205" xr:uid="{00000000-0005-0000-0000-0000BE000000}"/>
    <cellStyle name="_IBM ex DM (ORF_TFR)040818_Lenovo Park Format_July 07 05V2" xfId="206" xr:uid="{00000000-0005-0000-0000-0000BF000000}"/>
    <cellStyle name="_IBM Ocean Freight quoting - 20040714" xfId="207" xr:uid="{00000000-0005-0000-0000-0000C0000000}"/>
    <cellStyle name="_IBM Ocean Freight quoting - 20040714_Lenovo PACK  Packing Proposal" xfId="208" xr:uid="{00000000-0005-0000-0000-0000C1000000}"/>
    <cellStyle name="_IBM Ocean Freight quoting - 20040714_Lenovo Park Format_July 07 05" xfId="209" xr:uid="{00000000-0005-0000-0000-0000C2000000}"/>
    <cellStyle name="_IBM Ocean Freight quoting - 20040714_Lenovo Park Format_July 07 05V2" xfId="210" xr:uid="{00000000-0005-0000-0000-0000C3000000}"/>
    <cellStyle name="_IBM Ocean Freight quoting - 20040719" xfId="211" xr:uid="{00000000-0005-0000-0000-0000C4000000}"/>
    <cellStyle name="_IBM Ocean Freight quoting - 20040719_Lenovo PACK  Packing Proposal" xfId="212" xr:uid="{00000000-0005-0000-0000-0000C5000000}"/>
    <cellStyle name="_IBM Ocean Freight quoting - 20040719_Lenovo Park Format_July 07 05" xfId="213" xr:uid="{00000000-0005-0000-0000-0000C6000000}"/>
    <cellStyle name="_IBM Ocean Freight quoting - 20040719_Lenovo Park Format_July 07 05V2" xfId="214" xr:uid="{00000000-0005-0000-0000-0000C7000000}"/>
    <cellStyle name="_IBM Ocean Freight quoting - 20040728-40'HC" xfId="215" xr:uid="{00000000-0005-0000-0000-0000C8000000}"/>
    <cellStyle name="_IBM Ocean Freight quoting - 20040728-40'HC_Lenovo PACK  Packing Proposal" xfId="216" xr:uid="{00000000-0005-0000-0000-0000C9000000}"/>
    <cellStyle name="_IBM Ocean Freight quoting - 20040728-40'HC_Lenovo Park Format_July 07 05" xfId="217" xr:uid="{00000000-0005-0000-0000-0000CA000000}"/>
    <cellStyle name="_IBM Ocean Freight quoting - 20040728-40'HC_Lenovo Park Format_July 07 05V2" xfId="218" xr:uid="{00000000-0005-0000-0000-0000CB000000}"/>
    <cellStyle name="_IE Model -- Connector Male WS (3.25.2008)" xfId="219" xr:uid="{00000000-0005-0000-0000-0000CC000000}"/>
    <cellStyle name="_IE Model -- -Control-V1 WS(5.8.2008)" xfId="220" xr:uid="{00000000-0005-0000-0000-0000CD000000}"/>
    <cellStyle name="_IE Model - Dell Sneeth MB 550K for 8Q (2508 components)" xfId="221" xr:uid="{00000000-0005-0000-0000-0000CE000000}"/>
    <cellStyle name="_IE Model -- D-Pad PCBA (3.25.2008)" xfId="222" xr:uid="{00000000-0005-0000-0000-0000CF000000}"/>
    <cellStyle name="_IE Model -- GH4 BoxBuild (Mar.25.2008)" xfId="223" xr:uid="{00000000-0005-0000-0000-0000D0000000}"/>
    <cellStyle name="_IE Model -- MB PCBA (3.25.2008)" xfId="224" xr:uid="{00000000-0005-0000-0000-0000D1000000}"/>
    <cellStyle name="_IE Model -- MB SMT(5.8.2008)" xfId="225" xr:uid="{00000000-0005-0000-0000-0000D2000000}"/>
    <cellStyle name="_IE Model -- MB WS (3.25.2008)" xfId="226" xr:uid="{00000000-0005-0000-0000-0000D3000000}"/>
    <cellStyle name="_IE Model -- MB WS(5.8.2008)" xfId="227" xr:uid="{00000000-0005-0000-0000-0000D4000000}"/>
    <cellStyle name="_IE Model -- Neck Connector Female WS (3.25.2008)" xfId="228" xr:uid="{00000000-0005-0000-0000-0000D5000000}"/>
    <cellStyle name="_IE Model -- PMD WS (3.25.2008)" xfId="229" xr:uid="{00000000-0005-0000-0000-0000D6000000}"/>
    <cellStyle name="_IE Model -- RJ-11 WS (3.25.2008)" xfId="230" xr:uid="{00000000-0005-0000-0000-0000D7000000}"/>
    <cellStyle name="_IE Model -- Slider PCBA (3.25.2008)" xfId="231" xr:uid="{00000000-0005-0000-0000-0000D8000000}"/>
    <cellStyle name="_IE Model -- Strum WS (3.25.2008)" xfId="232" xr:uid="{00000000-0005-0000-0000-0000D9000000}"/>
    <cellStyle name="_IE Model -- Synth PCBA(5.8.2008)" xfId="233" xr:uid="{00000000-0005-0000-0000-0000DA000000}"/>
    <cellStyle name="_IE Model -- Synth WS(5.8.2008)" xfId="234" xr:uid="{00000000-0005-0000-0000-0000DB000000}"/>
    <cellStyle name="_IE Model --Alienware 051101" xfId="235" xr:uid="{00000000-0005-0000-0000-0000DC000000}"/>
    <cellStyle name="_IE Model --Alienware 051102" xfId="236" xr:uid="{00000000-0005-0000-0000-0000DD000000}"/>
    <cellStyle name="_IE Model --Alienware 051103" xfId="237" xr:uid="{00000000-0005-0000-0000-0000DE000000}"/>
    <cellStyle name="_IE Model --Alienware 051104" xfId="238" xr:uid="{00000000-0005-0000-0000-0000DF000000}"/>
    <cellStyle name="_IE Model --AMD UVC project" xfId="239" xr:uid="{00000000-0005-0000-0000-0000E0000000}"/>
    <cellStyle name="_IE Model --Backplane 012907-001(Aug.21.07)" xfId="240" xr:uid="{00000000-0005-0000-0000-0000E1000000}"/>
    <cellStyle name="_IE Model --BB(5.8.2008)" xfId="241" xr:uid="{00000000-0005-0000-0000-0000E2000000}"/>
    <cellStyle name="_IE Model --Beibei SAS Backplane (July.25.07)" xfId="242" xr:uid="{00000000-0005-0000-0000-0000E3000000}"/>
    <cellStyle name="_IE Model --Control-V1 SMT(5.8.2008)" xfId="243" xr:uid="{00000000-0005-0000-0000-0000E4000000}"/>
    <cellStyle name="_IE Model --Cymbal WS(5.8.2008)" xfId="244" xr:uid="{00000000-0005-0000-0000-0000E5000000}"/>
    <cellStyle name="_IE Model --Dell heiden Mar. 1(150K per month)" xfId="245" xr:uid="{00000000-0005-0000-0000-0000E6000000}"/>
    <cellStyle name="_IE Model --Dell heiden(150K)" xfId="246" xr:uid="{00000000-0005-0000-0000-0000E7000000}"/>
    <cellStyle name="_IE Model --Dell Klammer motherboard (Jul 10, 07) Doug Edit" xfId="247" xr:uid="{00000000-0005-0000-0000-0000E8000000}"/>
    <cellStyle name="_IE Model --Dell Klammer motherboard (Jul 17, 07) Doug Edit" xfId="248" xr:uid="{00000000-0005-0000-0000-0000E9000000}"/>
    <cellStyle name="_IE Model --Dell Klammer motherboard(Apr.23,07)" xfId="249" xr:uid="{00000000-0005-0000-0000-0000EA000000}"/>
    <cellStyle name="_IE Model --Dell Kookaburra Backplane RevA (Nov 22, 2007)" xfId="250" xr:uid="{00000000-0005-0000-0000-0000EB000000}"/>
    <cellStyle name="_IE Model --Dell Kookaburra MB PCBA RevA (Nov 22,2007)" xfId="251" xr:uid="{00000000-0005-0000-0000-0000EC000000}"/>
    <cellStyle name="_IE Model --Dell Kookaburra Riser card RevA (Nov 22, 2007)" xfId="252" xr:uid="{00000000-0005-0000-0000-0000ED000000}"/>
    <cellStyle name="_IE Model --Dell Kookaburra SI RevA (Nov 22,2007)" xfId="253" xr:uid="{00000000-0005-0000-0000-0000EE000000}"/>
    <cellStyle name="_IE Model --Fan interface PCA  012513-501(Aug.22.07)" xfId="254" xr:uid="{00000000-0005-0000-0000-0000EF000000}"/>
    <cellStyle name="_IE Model --HP 7Seg (Apr.27,07)_Updated 070507" xfId="255" xr:uid="{00000000-0005-0000-0000-0000F0000000}"/>
    <cellStyle name="_IE Model --HP MB Performance(Aug.06.07)" xfId="256" xr:uid="{00000000-0005-0000-0000-0000F1000000}"/>
    <cellStyle name="_IE Model --HP MB Value(Aug.06.07)" xfId="257" xr:uid="{00000000-0005-0000-0000-0000F2000000}"/>
    <cellStyle name="_IE Model --HP ML150-G4" xfId="258" xr:uid="{00000000-0005-0000-0000-0000F3000000}"/>
    <cellStyle name="_IE Model --HP River Gunnison (Jun 21 07)" xfId="259" xr:uid="{00000000-0005-0000-0000-0000F4000000}"/>
    <cellStyle name="_IE Model --HP River MB Low (May.28.07)" xfId="260" xr:uid="{00000000-0005-0000-0000-0000F5000000}"/>
    <cellStyle name="_IE Model --HP River MB Mid-range (May.29.07)" xfId="261" xr:uid="{00000000-0005-0000-0000-0000F6000000}"/>
    <cellStyle name="_IE Model --IBM Backplane RevA (Nov 26, 2007)" xfId="262" xr:uid="{00000000-0005-0000-0000-0000F7000000}"/>
    <cellStyle name="_IE Model --IBM BeiBei MB PCBA RevA (Nov 26,2007)" xfId="263" xr:uid="{00000000-0005-0000-0000-0000F8000000}"/>
    <cellStyle name="_IE Model --IO Board 012404-501(Aug.21.07)" xfId="264" xr:uid="{00000000-0005-0000-0000-0000F9000000}"/>
    <cellStyle name="_IE Model --IO(Apr.27,07)_Updated 070507" xfId="265" xr:uid="{00000000-0005-0000-0000-0000FA000000}"/>
    <cellStyle name="_IE Model --Lenovo Beibei Plan A(July.25.07)" xfId="266" xr:uid="{00000000-0005-0000-0000-0000FB000000}"/>
    <cellStyle name="_IE Model --Lenovo Beibei Plan B(July.25.07)" xfId="267" xr:uid="{00000000-0005-0000-0000-0000FC000000}"/>
    <cellStyle name="_IE Model --Levono Jingjing(July.25.07)" xfId="268" xr:uid="{00000000-0005-0000-0000-0000FD000000}"/>
    <cellStyle name="_IE Model --Midi WS(5.8.2008)" xfId="269" xr:uid="{00000000-0005-0000-0000-0000FE000000}"/>
    <cellStyle name="_IE Model --Midplane012903-001(Aug.21.07)" xfId="270" xr:uid="{00000000-0005-0000-0000-0000FF000000}"/>
    <cellStyle name="_IE Model --NVD C55" xfId="271" xr:uid="{00000000-0005-0000-0000-000000010000}"/>
    <cellStyle name="_IE Model --NVD p162" xfId="272" xr:uid="{00000000-0005-0000-0000-000001010000}"/>
    <cellStyle name="_IE Model --NVD P280 (4)" xfId="273" xr:uid="{00000000-0005-0000-0000-000002010000}"/>
    <cellStyle name="_IE Model --NVD P492(20K per Month)" xfId="274" xr:uid="{00000000-0005-0000-0000-000003010000}"/>
    <cellStyle name="_IE Model --PMD WS(5.8.2008)" xfId="275" xr:uid="{00000000-0005-0000-0000-000004010000}"/>
    <cellStyle name="_IE Model --Power UID PCA1  012438-502(Aug.21.07)" xfId="276" xr:uid="{00000000-0005-0000-0000-000005010000}"/>
    <cellStyle name="_IE Model --Power UID PCA2  012438-501(Aug.22.07)" xfId="277" xr:uid="{00000000-0005-0000-0000-000006010000}"/>
    <cellStyle name="_IE Model --RFQ-P355" xfId="278" xr:uid="{00000000-0005-0000-0000-000007010000}"/>
    <cellStyle name="_IE Model --RFQ-P355 (3)" xfId="279" xr:uid="{00000000-0005-0000-0000-000008010000}"/>
    <cellStyle name="_IE Model --Wacom BB Rev A" xfId="280" xr:uid="{00000000-0005-0000-0000-000009010000}"/>
    <cellStyle name="_IE Model --Wacom Inverter Board Rev A" xfId="281" xr:uid="{00000000-0005-0000-0000-00000A010000}"/>
    <cellStyle name="_IE Model --Wacom Main PCBA Rev A" xfId="282" xr:uid="{00000000-0005-0000-0000-00000B010000}"/>
    <cellStyle name="_IE Model --Wacom OSD SW board Rev A" xfId="283" xr:uid="{00000000-0005-0000-0000-00000C010000}"/>
    <cellStyle name="_IE Model --Wacom Power SW board Rev A" xfId="284" xr:uid="{00000000-0005-0000-0000-00000D010000}"/>
    <cellStyle name="_IE Model --Wacom Sensor control Board Rev A" xfId="285" xr:uid="{00000000-0005-0000-0000-00000E010000}"/>
    <cellStyle name="_IE Model --Wacom USB Connector Board Rev A" xfId="286" xr:uid="{00000000-0005-0000-0000-00000F010000}"/>
    <cellStyle name="_Katana Freight count" xfId="287" xr:uid="{00000000-0005-0000-0000-000010010000}"/>
    <cellStyle name="_Katana Freight count_Lenovo PACK  Packing Proposal" xfId="288" xr:uid="{00000000-0005-0000-0000-000011010000}"/>
    <cellStyle name="_Katana Freight count_Lenovo Park Format_July 07 05" xfId="289" xr:uid="{00000000-0005-0000-0000-000012010000}"/>
    <cellStyle name="_Katana Freight count_Lenovo Park Format_July 07 05V2" xfId="290" xr:uid="{00000000-0005-0000-0000-000013010000}"/>
    <cellStyle name="_KN-Flex Quotes Database 030306" xfId="291" xr:uid="{00000000-0005-0000-0000-000014010000}"/>
    <cellStyle name="_Lenovo PACK  Packing Proposal" xfId="292" xr:uid="{00000000-0005-0000-0000-000015010000}"/>
    <cellStyle name="_Lenovo Park Format_July 07 05" xfId="293" xr:uid="{00000000-0005-0000-0000-000016010000}"/>
    <cellStyle name="_Lenovo Park Format_July 07 05V2" xfId="294" xr:uid="{00000000-0005-0000-0000-000017010000}"/>
    <cellStyle name="_Logistic Cost analysis (DM-SHA for Quanta) -- Stig 061018" xfId="295" xr:uid="{00000000-0005-0000-0000-000018010000}"/>
    <cellStyle name="_Logistic Cost analysis (FOB HK) -- Hill 061023" xfId="296" xr:uid="{00000000-0005-0000-0000-000019010000}"/>
    <cellStyle name="_Logistic Cost analysis (FOB HK) -- Hill 061023 (3)" xfId="297" xr:uid="{00000000-0005-0000-0000-00001A010000}"/>
    <cellStyle name="_Logistic cost analysis 1221_DM" xfId="298" xr:uid="{00000000-0005-0000-0000-00001B010000}"/>
    <cellStyle name="_Logistic Cost analysis template - updated" xfId="299" xr:uid="{00000000-0005-0000-0000-00001C010000}"/>
    <cellStyle name="_Motherboard Pricing 20030722" xfId="300" xr:uid="{00000000-0005-0000-0000-00001D010000}"/>
    <cellStyle name="_Motherboard Pricing 20030722_Lenovo PACK  Packing Proposal" xfId="301" xr:uid="{00000000-0005-0000-0000-00001E010000}"/>
    <cellStyle name="_Motherboard Pricing 20030722_Lenovo Park Format_July 07 05" xfId="302" xr:uid="{00000000-0005-0000-0000-00001F010000}"/>
    <cellStyle name="_Motherboard Pricing 20030722_Lenovo Park Format_July 07 05V2" xfId="303" xr:uid="{00000000-0005-0000-0000-000020010000}"/>
    <cellStyle name="_MOTO SLIC300MP FOB HK Transport Pricing Targe Vol (R2)" xfId="304" xr:uid="{00000000-0005-0000-0000-000021010000}"/>
    <cellStyle name="_MOTO SLIC300MP FOB HK Transport Pricing Targe Vol (R2)_Lenovo PACK  Packing Proposal" xfId="305" xr:uid="{00000000-0005-0000-0000-000022010000}"/>
    <cellStyle name="_MOTO SLIC300MP FOB HK Transport Pricing Targe Vol (R2)_Lenovo Park Format_July 07 05" xfId="306" xr:uid="{00000000-0005-0000-0000-000023010000}"/>
    <cellStyle name="_MOTO SLIC300MP FOB HK Transport Pricing Targe Vol (R2)_Lenovo Park Format_July 07 05V2" xfId="307" xr:uid="{00000000-0005-0000-0000-000024010000}"/>
    <cellStyle name="_MOTO SLIC300MP FOB HK Transport Pricing Targe Vol (R2)_Salcomp FCA HK Transport Pricing Dec11" xfId="308" xr:uid="{00000000-0005-0000-0000-000025010000}"/>
    <cellStyle name="_MOTO SLIC300MP FOB HK Transport Pricing Targe Vol (R2)_Salcomp FCA HK Transport Pricing Dec11_Lenovo PACK  Packing Proposal" xfId="309" xr:uid="{00000000-0005-0000-0000-000026010000}"/>
    <cellStyle name="_MOTO SLIC300MP FOB HK Transport Pricing Targe Vol (R2)_Salcomp FCA HK Transport Pricing Dec11_Lenovo Park Format_July 07 05" xfId="310" xr:uid="{00000000-0005-0000-0000-000027010000}"/>
    <cellStyle name="_MOTO SLIC300MP FOB HK Transport Pricing Targe Vol (R2)_Salcomp FCA HK Transport Pricing Dec11_Lenovo Park Format_July 07 05V2" xfId="311" xr:uid="{00000000-0005-0000-0000-000028010000}"/>
    <cellStyle name="_MOTO SLIC300MP FOB HK Transport Pricing(Target Volume)" xfId="312" xr:uid="{00000000-0005-0000-0000-000029010000}"/>
    <cellStyle name="_MOTO SLIC300MP FOB HK Transport Pricing(Target Volume)_Lenovo PACK  Packing Proposal" xfId="313" xr:uid="{00000000-0005-0000-0000-00002A010000}"/>
    <cellStyle name="_MOTO SLIC300MP FOB HK Transport Pricing(Target Volume)_Lenovo Park Format_July 07 05" xfId="314" xr:uid="{00000000-0005-0000-0000-00002B010000}"/>
    <cellStyle name="_MOTO SLIC300MP FOB HK Transport Pricing(Target Volume)_Lenovo Park Format_July 07 05V2" xfId="315" xr:uid="{00000000-0005-0000-0000-00002C010000}"/>
    <cellStyle name="_MOTO SLIC300MP FOB HK Transport Pricing(Target Volume)_Salcomp FCA HK Transport Pricing Dec11" xfId="316" xr:uid="{00000000-0005-0000-0000-00002D010000}"/>
    <cellStyle name="_MOTO SLIC300MP FOB HK Transport Pricing(Target Volume)_Salcomp FCA HK Transport Pricing Dec11_Lenovo PACK  Packing Proposal" xfId="317" xr:uid="{00000000-0005-0000-0000-00002E010000}"/>
    <cellStyle name="_MOTO SLIC300MP FOB HK Transport Pricing(Target Volume)_Salcomp FCA HK Transport Pricing Dec11_Lenovo Park Format_July 07 05" xfId="318" xr:uid="{00000000-0005-0000-0000-00002F010000}"/>
    <cellStyle name="_MOTO SLIC300MP FOB HK Transport Pricing(Target Volume)_Salcomp FCA HK Transport Pricing Dec11_Lenovo Park Format_July 07 05V2" xfId="319" xr:uid="{00000000-0005-0000-0000-000030010000}"/>
    <cellStyle name="_Mozart BOM-Cost_06Apr05" xfId="320" xr:uid="{00000000-0005-0000-0000-000031010000}"/>
    <cellStyle name="_Mozart BOM-Cost_06Apr05_Lenovo PARK BOM Zero cost 705_05V2" xfId="321" xr:uid="{00000000-0005-0000-0000-000032010000}"/>
    <cellStyle name="_Mozart BOM-Cost_06Apr05_Lenovo PARK BOM Zero cost 705_05V2_Lenovo Park Format_July 07 05" xfId="322" xr:uid="{00000000-0005-0000-0000-000033010000}"/>
    <cellStyle name="_Mozart BOM-Cost_06Apr05_Lenovo PARK BOM Zero cost 705_05V2_Lenovo Park Format_July 07 05V2" xfId="323" xr:uid="{00000000-0005-0000-0000-000034010000}"/>
    <cellStyle name="_Mozart BOM-Cost_06Apr05_Lenovo Park Format (proposed Evans)" xfId="324" xr:uid="{00000000-0005-0000-0000-000035010000}"/>
    <cellStyle name="_Mozart BOM-Cost_06Apr05_Lenovo Park Format (proposed Evans)_Lenovo Park Format_July 07 05" xfId="325" xr:uid="{00000000-0005-0000-0000-000036010000}"/>
    <cellStyle name="_Mozart BOM-Cost_06Apr05_Lenovo Park Format (proposed Evans)_Lenovo Park Format_July 07 05V2" xfId="326" xr:uid="{00000000-0005-0000-0000-000037010000}"/>
    <cellStyle name="_Mozart BOM-Cost_06Apr05_Lenovo Park Format_July 07 05" xfId="327" xr:uid="{00000000-0005-0000-0000-000038010000}"/>
    <cellStyle name="_Mozart BOM-Cost_06Apr05_Lenovo Park Format_July 07 05V2" xfId="328" xr:uid="{00000000-0005-0000-0000-000039010000}"/>
    <cellStyle name="_Multiple" xfId="329" xr:uid="{00000000-0005-0000-0000-00003A010000}"/>
    <cellStyle name="_Multiple_02 Pfd Valuation" xfId="330" xr:uid="{00000000-0005-0000-0000-00003B010000}"/>
    <cellStyle name="_Multiple_03 Contribution Analysis" xfId="331" xr:uid="{00000000-0005-0000-0000-00003C010000}"/>
    <cellStyle name="_Multiple_20080605_182 NewCo Agreement Model_v36" xfId="332" xr:uid="{00000000-0005-0000-0000-00003D010000}"/>
    <cellStyle name="_Multiple_20080616_Ownership Structure Walk-Up" xfId="333" xr:uid="{00000000-0005-0000-0000-00003E010000}"/>
    <cellStyle name="_Multiple_Basic LBO v06" xfId="334" xr:uid="{00000000-0005-0000-0000-00003F010000}"/>
    <cellStyle name="_Multiple_Contribution of assets into USAi_02" xfId="335" xr:uid="{00000000-0005-0000-0000-000040010000}"/>
    <cellStyle name="_Multiple_credit - newco_6_18" xfId="336" xr:uid="{00000000-0005-0000-0000-000041010000}"/>
    <cellStyle name="_Multiple_credit - newco_6_18_BLS2q_salesforce" xfId="337" xr:uid="{00000000-0005-0000-0000-000042010000}"/>
    <cellStyle name="_Multiple_CSC Cable makers 060502" xfId="338" xr:uid="{00000000-0005-0000-0000-000043010000}"/>
    <cellStyle name="_Multiple_Final Pages 8-20" xfId="339" xr:uid="{00000000-0005-0000-0000-000044010000}"/>
    <cellStyle name="_Multiple_further analysis on comparables" xfId="340" xr:uid="{00000000-0005-0000-0000-000045010000}"/>
    <cellStyle name="_Multiple_NBC-5 yearDCF-Final from Vivendi modified" xfId="341" xr:uid="{00000000-0005-0000-0000-000046010000}"/>
    <cellStyle name="_Multiple_Oakley Model v13" xfId="342" xr:uid="{00000000-0005-0000-0000-000047010000}"/>
    <cellStyle name="_Multiple_Training Model Shell" xfId="343" xr:uid="{00000000-0005-0000-0000-000048010000}"/>
    <cellStyle name="_Multiple_Training Model Shell_BLS2q_salesforce" xfId="344" xr:uid="{00000000-0005-0000-0000-000049010000}"/>
    <cellStyle name="_Multiple_Update 08-27-01-3" xfId="345" xr:uid="{00000000-0005-0000-0000-00004A010000}"/>
    <cellStyle name="_Multiple_Update 08-27-01-3_BLS2q_salesforce" xfId="346" xr:uid="{00000000-0005-0000-0000-00004B010000}"/>
    <cellStyle name="_Multiple_USA Ownership" xfId="347" xr:uid="{00000000-0005-0000-0000-00004C010000}"/>
    <cellStyle name="_MultipleSpace" xfId="348" xr:uid="{00000000-0005-0000-0000-00004D010000}"/>
    <cellStyle name="_MultipleSpace_02 Pfd Valuation" xfId="349" xr:uid="{00000000-0005-0000-0000-00004E010000}"/>
    <cellStyle name="_MultipleSpace_03 Contribution Analysis" xfId="350" xr:uid="{00000000-0005-0000-0000-00004F010000}"/>
    <cellStyle name="_MultipleSpace_20080605_182 NewCo Agreement Model_v36" xfId="351" xr:uid="{00000000-0005-0000-0000-000050010000}"/>
    <cellStyle name="_MultipleSpace_20080616_Ownership Structure Walk-Up" xfId="352" xr:uid="{00000000-0005-0000-0000-000051010000}"/>
    <cellStyle name="_MultipleSpace_BLS2q_salesforce" xfId="353" xr:uid="{00000000-0005-0000-0000-000052010000}"/>
    <cellStyle name="_MultipleSpace_Contribution of assets into USAi_02" xfId="354" xr:uid="{00000000-0005-0000-0000-000053010000}"/>
    <cellStyle name="_MultipleSpace_credit - newco_6_18" xfId="355" xr:uid="{00000000-0005-0000-0000-000054010000}"/>
    <cellStyle name="_MultipleSpace_credit - newco_6_18_BLS2q_salesforce" xfId="356" xr:uid="{00000000-0005-0000-0000-000055010000}"/>
    <cellStyle name="_MultipleSpace_CSC Cable makers 060502" xfId="357" xr:uid="{00000000-0005-0000-0000-000056010000}"/>
    <cellStyle name="_MultipleSpace_EBITDA Multiple_3" xfId="358" xr:uid="{00000000-0005-0000-0000-000057010000}"/>
    <cellStyle name="_MultipleSpace_Final Pages 8-20" xfId="359" xr:uid="{00000000-0005-0000-0000-000058010000}"/>
    <cellStyle name="_MultipleSpace_Final Pages 8-20_BLS2q_salesforce" xfId="360" xr:uid="{00000000-0005-0000-0000-000059010000}"/>
    <cellStyle name="_MultipleSpace_further analysis on comparables" xfId="361" xr:uid="{00000000-0005-0000-0000-00005A010000}"/>
    <cellStyle name="_MultipleSpace_further analysis on comparables_BLS2q_salesforce" xfId="362" xr:uid="{00000000-0005-0000-0000-00005B010000}"/>
    <cellStyle name="_MultipleSpace_NBC-5 yearDCF-Final from Vivendi modified" xfId="363" xr:uid="{00000000-0005-0000-0000-00005C010000}"/>
    <cellStyle name="_MultipleSpace_Training Model Shell" xfId="364" xr:uid="{00000000-0005-0000-0000-00005D010000}"/>
    <cellStyle name="_MultipleSpace_Training Model Shell_BLS2q_salesforce" xfId="365" xr:uid="{00000000-0005-0000-0000-00005E010000}"/>
    <cellStyle name="_MultipleSpace_Update 08-27-01-3" xfId="366" xr:uid="{00000000-0005-0000-0000-00005F010000}"/>
    <cellStyle name="_MultipleSpace_Update 08-27-01-3_BLS2q_salesforce" xfId="367" xr:uid="{00000000-0005-0000-0000-000060010000}"/>
    <cellStyle name="_MultipleSpace_USA Ownership" xfId="368" xr:uid="{00000000-0005-0000-0000-000061010000}"/>
    <cellStyle name="_MultipleSpace_VU Valuation-top down approach 02" xfId="369" xr:uid="{00000000-0005-0000-0000-000062010000}"/>
    <cellStyle name="_Ocean Freight Request - HKG to Touyuan" xfId="370" xr:uid="{00000000-0005-0000-0000-000063010000}"/>
    <cellStyle name="_Ocean Freight RFQ - New Format" xfId="371" xr:uid="{00000000-0005-0000-0000-000064010000}"/>
    <cellStyle name="_Ocean Freight RFQ - New Lane Pair EX DGN 20050419" xfId="372" xr:uid="{00000000-0005-0000-0000-000065010000}"/>
    <cellStyle name="_ONL Considerations PR CY09 AOP 01-21-09 FINAL" xfId="373" xr:uid="{00000000-0005-0000-0000-000066010000}"/>
    <cellStyle name="_P456 COST BOM_Sep29th" xfId="374" xr:uid="{00000000-0005-0000-0000-000067010000}"/>
    <cellStyle name="_P50455 Costed BOM 20050922" xfId="375" xr:uid="{00000000-0005-0000-0000-000068010000}"/>
    <cellStyle name="_PACKAGE COST Lenovo Speyburn IV " xfId="376" xr:uid="{00000000-0005-0000-0000-000069010000}"/>
    <cellStyle name="_PACKAGE COST-Andes Lenovo 17L" xfId="377" xr:uid="{00000000-0005-0000-0000-00006A010000}"/>
    <cellStyle name="_PACKAGE COST-HP Malibu DL580 G5" xfId="378" xr:uid="{00000000-0005-0000-0000-00006B010000}"/>
    <cellStyle name="_PACKAGE COST-Lenovo 13LS" xfId="379" xr:uid="{00000000-0005-0000-0000-00006C010000}"/>
    <cellStyle name="_PACKAGE COST-Lenovo 25LM" xfId="380" xr:uid="{00000000-0005-0000-0000-00006D010000}"/>
    <cellStyle name="_PACKAGE COST-Martel- W-Handle" xfId="381" xr:uid="{00000000-0005-0000-0000-00006E010000}"/>
    <cellStyle name="_PACKAGE COST-Martel- WO_Handle" xfId="382" xr:uid="{00000000-0005-0000-0000-00006F010000}"/>
    <cellStyle name="_PACKAGE-ASSY COST Apollo" xfId="383" xr:uid="{00000000-0005-0000-0000-000070010000}"/>
    <cellStyle name="_PACKAGE-ASSY COST-Lenova Bluesky (2)" xfId="384" xr:uid="{00000000-0005-0000-0000-000071010000}"/>
    <cellStyle name="_Percent" xfId="385" xr:uid="{00000000-0005-0000-0000-000072010000}"/>
    <cellStyle name="_Percent_02 Pfd Valuation" xfId="386" xr:uid="{00000000-0005-0000-0000-000073010000}"/>
    <cellStyle name="_Percent_20080616_Ownership Structure Walk-Up" xfId="387" xr:uid="{00000000-0005-0000-0000-000074010000}"/>
    <cellStyle name="_Percent_BLS2q_salesforce" xfId="388" xr:uid="{00000000-0005-0000-0000-000075010000}"/>
    <cellStyle name="_Percent_USA Ownership" xfId="389" xr:uid="{00000000-0005-0000-0000-000076010000}"/>
    <cellStyle name="_PercentSpace" xfId="390" xr:uid="{00000000-0005-0000-0000-000077010000}"/>
    <cellStyle name="_PercentSpace_02 Pfd Valuation" xfId="391" xr:uid="{00000000-0005-0000-0000-000078010000}"/>
    <cellStyle name="_PercentSpace_20080616_Ownership Structure Walk-Up" xfId="392" xr:uid="{00000000-0005-0000-0000-000079010000}"/>
    <cellStyle name="_PercentSpace_BLS2q_salesforce" xfId="393" xr:uid="{00000000-0005-0000-0000-00007A010000}"/>
    <cellStyle name="_PercentSpace_USA Ownership" xfId="394" xr:uid="{00000000-0005-0000-0000-00007B010000}"/>
    <cellStyle name="_PL VG au 9 juillet 2008" xfId="395" xr:uid="{00000000-0005-0000-0000-00007C010000}"/>
    <cellStyle name="_PM93 Quote Summary Update 061024" xfId="396" xr:uid="{00000000-0005-0000-0000-00007D010000}"/>
    <cellStyle name="_PPA 9Cegetel 30 juin (040808)" xfId="397" xr:uid="{00000000-0005-0000-0000-00007E010000}"/>
    <cellStyle name="_Presentation ATVI" xfId="398" xr:uid="{00000000-0005-0000-0000-00007F010000}"/>
    <cellStyle name="_quotation(IBM) to david new" xfId="399" xr:uid="{00000000-0005-0000-0000-000080010000}"/>
    <cellStyle name="_quotation(IBM) to david new_Lenovo PACK  Packing Proposal" xfId="400" xr:uid="{00000000-0005-0000-0000-000081010000}"/>
    <cellStyle name="_quotation(IBM) to david new_Lenovo Park Format_July 07 05" xfId="401" xr:uid="{00000000-0005-0000-0000-000082010000}"/>
    <cellStyle name="_quotation(IBM) to david new_Lenovo Park Format_July 07 05V2" xfId="402" xr:uid="{00000000-0005-0000-0000-000083010000}"/>
    <cellStyle name="_RFQ required by Makkah 1101 (3)" xfId="403" xr:uid="{00000000-0005-0000-0000-000084010000}"/>
    <cellStyle name="_RollDG Template 605" xfId="404" xr:uid="{00000000-0005-0000-0000-000085010000}"/>
    <cellStyle name="_RollDM Alienware PCBA only business_ELC DIP Cards 070314" xfId="405" xr:uid="{00000000-0005-0000-0000-000086010000}"/>
    <cellStyle name="_RollDM Dell MB Heiden $70 BOM_Revised with Roberto 070318_$4TC Goal Seek" xfId="406" xr:uid="{00000000-0005-0000-0000-000087010000}"/>
    <cellStyle name="_RollDM Dell Sneeth MB_Rev01 070405" xfId="407" xr:uid="{00000000-0005-0000-0000-000088010000}"/>
    <cellStyle name="_RollDM HP MSA50 PCBA Cost Model_Quote 500K Monthly Rev01 (Aug 29, 2007)" xfId="408" xr:uid="{00000000-0005-0000-0000-000089010000}"/>
    <cellStyle name="_RollDM HP Rivers MB Gunnison_9K-13K monthly 070622" xfId="409" xr:uid="{00000000-0005-0000-0000-00008A010000}"/>
    <cellStyle name="_RollDM L10 Cost Model_Template 070712 Rev 1.2" xfId="410" xr:uid="{00000000-0005-0000-0000-00008B010000}"/>
    <cellStyle name="_RollDM Nvidia Add-in Card-50329" xfId="411" xr:uid="{00000000-0005-0000-0000-00008C010000}"/>
    <cellStyle name="_RollDM Nvidia Add-in Card-50330 rev b" xfId="412" xr:uid="{00000000-0005-0000-0000-00008D010000}"/>
    <cellStyle name="_RollDM Nvidia P381" xfId="413" xr:uid="{00000000-0005-0000-0000-00008E010000}"/>
    <cellStyle name="_RollDM Nvidia P492 Rev 1" xfId="414" xr:uid="{00000000-0005-0000-0000-00008F010000}"/>
    <cellStyle name="_RollDM nVidia PM132 060929" xfId="415" xr:uid="{00000000-0005-0000-0000-000090010000}"/>
    <cellStyle name="_RollDM Nvidia PM93 960" xfId="416" xr:uid="{00000000-0005-0000-0000-000091010000}"/>
    <cellStyle name="_RollDM Nvidia PM93 960 EVGA ON OFF 061024 Revised 1.2" xfId="417" xr:uid="{00000000-0005-0000-0000-000092010000}"/>
    <cellStyle name="_RollDM PCBA Cost Model_Template 070802 Rev C_Single High Volume Model" xfId="418" xr:uid="{00000000-0005-0000-0000-000093010000}"/>
    <cellStyle name="_RollDM Template 605" xfId="419" xr:uid="{00000000-0005-0000-0000-000094010000}"/>
    <cellStyle name="_Salcomp FCA HK Transport Pricing Dec11" xfId="420" xr:uid="{00000000-0005-0000-0000-000095010000}"/>
    <cellStyle name="_Salcomp FCA HK Transport Pricing Dec11_Lenovo PACK  Packing Proposal" xfId="421" xr:uid="{00000000-0005-0000-0000-000096010000}"/>
    <cellStyle name="_Salcomp FCA HK Transport Pricing Dec11_Lenovo Park Format_July 07 05" xfId="422" xr:uid="{00000000-0005-0000-0000-000097010000}"/>
    <cellStyle name="_Salcomp FCA HK Transport Pricing Dec11_Lenovo Park Format_July 07 05V2" xfId="423" xr:uid="{00000000-0005-0000-0000-000098010000}"/>
    <cellStyle name="_Sheet2" xfId="424" xr:uid="{00000000-0005-0000-0000-000099010000}"/>
    <cellStyle name="_Sheet2_Kuehne+Nagel Ocean Freight Rate Table 2005" xfId="425" xr:uid="{00000000-0005-0000-0000-00009A010000}"/>
    <cellStyle name="_Sheet2_Kuehne+Nagel Ocean Freight Rate Table1" xfId="426" xr:uid="{00000000-0005-0000-0000-00009B010000}"/>
    <cellStyle name="_SubHeading" xfId="427" xr:uid="{00000000-0005-0000-0000-00009C010000}"/>
    <cellStyle name="_SubHeading_01 VU Liquidity 171202" xfId="428" xr:uid="{00000000-0005-0000-0000-00009D010000}"/>
    <cellStyle name="_SubHeading_20080616_Ownership Structure Walk-Up" xfId="429" xr:uid="{00000000-0005-0000-0000-00009E010000}"/>
    <cellStyle name="_SubHeading_210302 VU Liquidity new figures" xfId="430" xr:uid="{00000000-0005-0000-0000-00009F010000}"/>
    <cellStyle name="_SubHeading_Contribution of assets into USAi_02" xfId="431" xr:uid="{00000000-0005-0000-0000-0000A0010000}"/>
    <cellStyle name="_SubHeading_NBC-5 yearDCF-Final from Vivendi modified" xfId="432" xr:uid="{00000000-0005-0000-0000-0000A1010000}"/>
    <cellStyle name="_SubHeading_prestemp" xfId="433" xr:uid="{00000000-0005-0000-0000-0000A2010000}"/>
    <cellStyle name="_SubHeading_prestemp_USAi Warrants Valuation 1" xfId="434" xr:uid="{00000000-0005-0000-0000-0000A3010000}"/>
    <cellStyle name="_SubHeading_Tribune Consolidated Model v578" xfId="435" xr:uid="{00000000-0005-0000-0000-0000A4010000}"/>
    <cellStyle name="_Table" xfId="436" xr:uid="{00000000-0005-0000-0000-0000A5010000}"/>
    <cellStyle name="_Table_02 Pfd Valuation" xfId="437" xr:uid="{00000000-0005-0000-0000-0000A6010000}"/>
    <cellStyle name="_Table_03 Contribution Analysis" xfId="438" xr:uid="{00000000-0005-0000-0000-0000A7010000}"/>
    <cellStyle name="_Table_20080616_Ownership Structure Walk-Up" xfId="439" xr:uid="{00000000-0005-0000-0000-0000A8010000}"/>
    <cellStyle name="_Table_Contribution of assets into USAi_02" xfId="440" xr:uid="{00000000-0005-0000-0000-0000A9010000}"/>
    <cellStyle name="_Table_NBC-5 yearDCF-Final from Vivendi modified" xfId="441" xr:uid="{00000000-0005-0000-0000-0000AA010000}"/>
    <cellStyle name="_Table_USA Ownership" xfId="442" xr:uid="{00000000-0005-0000-0000-0000AB010000}"/>
    <cellStyle name="_TableHead" xfId="443" xr:uid="{00000000-0005-0000-0000-0000AC010000}"/>
    <cellStyle name="_TableHead_03 Contribution Analysis" xfId="444" xr:uid="{00000000-0005-0000-0000-0000AD010000}"/>
    <cellStyle name="_TableHead_20080616_Ownership Structure Walk-Up" xfId="445" xr:uid="{00000000-0005-0000-0000-0000AE010000}"/>
    <cellStyle name="_TableHead_Basic LBO v06" xfId="446" xr:uid="{00000000-0005-0000-0000-0000AF010000}"/>
    <cellStyle name="_TableHead_Black Scholes Model" xfId="447" xr:uid="{00000000-0005-0000-0000-0000B0010000}"/>
    <cellStyle name="_TableHeading" xfId="448" xr:uid="{00000000-0005-0000-0000-0000B1010000}"/>
    <cellStyle name="_TableRowBorder" xfId="449" xr:uid="{00000000-0005-0000-0000-0000B2010000}"/>
    <cellStyle name="_TableRowHead" xfId="450" xr:uid="{00000000-0005-0000-0000-0000B3010000}"/>
    <cellStyle name="_TableRowHead_03 Contribution Analysis" xfId="451" xr:uid="{00000000-0005-0000-0000-0000B4010000}"/>
    <cellStyle name="_TableRowHead_20080616_Ownership Structure Walk-Up" xfId="452" xr:uid="{00000000-0005-0000-0000-0000B5010000}"/>
    <cellStyle name="_TableRowHead_Basic LBO v06" xfId="453" xr:uid="{00000000-0005-0000-0000-0000B6010000}"/>
    <cellStyle name="_TableRowHeading" xfId="454" xr:uid="{00000000-0005-0000-0000-0000B7010000}"/>
    <cellStyle name="_TableSuperHead" xfId="455" xr:uid="{00000000-0005-0000-0000-0000B8010000}"/>
    <cellStyle name="_TableSuperHead_02 Pfd Valuation" xfId="456" xr:uid="{00000000-0005-0000-0000-0000B9010000}"/>
    <cellStyle name="_TableSuperHead_03 Contribution Analysis" xfId="457" xr:uid="{00000000-0005-0000-0000-0000BA010000}"/>
    <cellStyle name="_TableSuperHead_20080616_Ownership Structure Walk-Up" xfId="458" xr:uid="{00000000-0005-0000-0000-0000BB010000}"/>
    <cellStyle name="_TableSuperHead_As the Market has Lower Implied Growth Expectations v2" xfId="459" xr:uid="{00000000-0005-0000-0000-0000BC010000}"/>
    <cellStyle name="_TableSuperHead_Basic LBO v06" xfId="460" xr:uid="{00000000-0005-0000-0000-0000BD010000}"/>
    <cellStyle name="_TableSuperHead_USA Ownership" xfId="461" xr:uid="{00000000-0005-0000-0000-0000BE010000}"/>
    <cellStyle name="_TableSuperHeading" xfId="462" xr:uid="{00000000-0005-0000-0000-0000BF010000}"/>
    <cellStyle name="_TableText" xfId="463" xr:uid="{00000000-0005-0000-0000-0000C0010000}"/>
    <cellStyle name="_Transportation Charges from DM to Huizhou" xfId="464" xr:uid="{00000000-0005-0000-0000-0000C1010000}"/>
    <cellStyle name="_Transportation Charges from DM to Huizhou_Lenovo PACK  Packing Proposal" xfId="465" xr:uid="{00000000-0005-0000-0000-0000C2010000}"/>
    <cellStyle name="_Transportation Charges from DM to Huizhou_Lenovo Park Format_July 07 05" xfId="466" xr:uid="{00000000-0005-0000-0000-0000C3010000}"/>
    <cellStyle name="_Transportation Charges from DM to Huizhou_Lenovo Park Format_July 07 05V2" xfId="467" xr:uid="{00000000-0005-0000-0000-0000C4010000}"/>
    <cellStyle name="_Trt-KX864-CDC-DM-HK-Futian" xfId="468" xr:uid="{00000000-0005-0000-0000-0000C5010000}"/>
    <cellStyle name="_Trt-KX864-CDC-DM-HK-Futian_Lenovo PACK  Packing Proposal" xfId="469" xr:uid="{00000000-0005-0000-0000-0000C6010000}"/>
    <cellStyle name="_Trt-KX864-CDC-DM-HK-Futian_Lenovo Park Format_July 07 05" xfId="470" xr:uid="{00000000-0005-0000-0000-0000C7010000}"/>
    <cellStyle name="_Trt-KX864-CDC-DM-HK-Futian_Lenovo Park Format_July 07 05V2" xfId="471" xr:uid="{00000000-0005-0000-0000-0000C8010000}"/>
    <cellStyle name="_WaterfrontRequote0525_DN_(JS)" xfId="472" xr:uid="{00000000-0005-0000-0000-0000C9010000}"/>
    <cellStyle name="_XBOX 360 Drum BOM" xfId="473" xr:uid="{00000000-0005-0000-0000-0000CA010000}"/>
    <cellStyle name="_XBOX MB repair &amp; refurbish freight cost" xfId="474" xr:uid="{00000000-0005-0000-0000-0000CB010000}"/>
    <cellStyle name="_XBOX MB repair &amp; refurbish freight cost_Lenovo PACK  Packing Proposal" xfId="475" xr:uid="{00000000-0005-0000-0000-0000CC010000}"/>
    <cellStyle name="_XBOX MB repair &amp; refurbish freight cost_Lenovo Park Format_July 07 05" xfId="476" xr:uid="{00000000-0005-0000-0000-0000CD010000}"/>
    <cellStyle name="_XBOX MB repair &amp; refurbish freight cost_Lenovo Park Format_July 07 05V2" xfId="477" xr:uid="{00000000-0005-0000-0000-0000CE010000}"/>
    <cellStyle name="_XBOX MB RR Transport Cost - Air  Express 040506R1" xfId="478" xr:uid="{00000000-0005-0000-0000-0000CF010000}"/>
    <cellStyle name="_XBOX MB RR Transport Cost - Air  Express 040506R1_Lenovo PACK  Packing Proposal" xfId="479" xr:uid="{00000000-0005-0000-0000-0000D0010000}"/>
    <cellStyle name="_XBOX MB RR Transport Cost - Air  Express 040506R1_Lenovo Park Format_July 07 05" xfId="480" xr:uid="{00000000-0005-0000-0000-0000D1010000}"/>
    <cellStyle name="_XBOX MB RR Transport Cost - Air  Express 040506R1_Lenovo Park Format_July 07 05V2" xfId="481" xr:uid="{00000000-0005-0000-0000-0000D2010000}"/>
    <cellStyle name="_XBOX MB RR Transport Cost - Air &amp; Express 040506R1" xfId="482" xr:uid="{00000000-0005-0000-0000-0000D3010000}"/>
    <cellStyle name="_XBOX MB RR Transport Cost - Air &amp; Express 040506R1_Lenovo PACK  Packing Proposal" xfId="483" xr:uid="{00000000-0005-0000-0000-0000D4010000}"/>
    <cellStyle name="_XBOX MB RR Transport Cost - Air &amp; Express 040506R1_Lenovo Park Format_July 07 05" xfId="484" xr:uid="{00000000-0005-0000-0000-0000D5010000}"/>
    <cellStyle name="_XBOX MB RR Transport Cost - Air &amp; Express 040506R1_Lenovo Park Format_July 07 05V2" xfId="485" xr:uid="{00000000-0005-0000-0000-0000D6010000}"/>
    <cellStyle name="_XBOX Total BI Q1'08 0310" xfId="486" xr:uid="{00000000-0005-0000-0000-0000D7010000}"/>
    <cellStyle name="’Ê‰Ý [0.00]_Region Orders (2)" xfId="487" xr:uid="{00000000-0005-0000-0000-0000D8010000}"/>
    <cellStyle name="’Ê‰Ý_Region Orders (2)" xfId="488" xr:uid="{00000000-0005-0000-0000-0000D9010000}"/>
    <cellStyle name="¤@¯ë_pldt" xfId="489" xr:uid="{00000000-0005-0000-0000-0000DA010000}"/>
    <cellStyle name="•W_Pacific Region P&amp;L" xfId="490" xr:uid="{00000000-0005-0000-0000-0000DB010000}"/>
    <cellStyle name="0,0_x000d__x000a_NA_x000d__x000a_" xfId="491" xr:uid="{00000000-0005-0000-0000-0000DC010000}"/>
    <cellStyle name="0dp" xfId="492" xr:uid="{00000000-0005-0000-0000-0000DD010000}"/>
    <cellStyle name="20% - Accent1 10" xfId="493" xr:uid="{00000000-0005-0000-0000-0000DE010000}"/>
    <cellStyle name="20% - Accent1 10 2" xfId="494" xr:uid="{00000000-0005-0000-0000-0000DF010000}"/>
    <cellStyle name="20% - Accent1 10 3" xfId="495" xr:uid="{00000000-0005-0000-0000-0000E0010000}"/>
    <cellStyle name="20% - Accent1 11" xfId="496" xr:uid="{00000000-0005-0000-0000-0000E1010000}"/>
    <cellStyle name="20% - Accent1 11 2" xfId="497" xr:uid="{00000000-0005-0000-0000-0000E2010000}"/>
    <cellStyle name="20% - Accent1 11 3" xfId="498" xr:uid="{00000000-0005-0000-0000-0000E3010000}"/>
    <cellStyle name="20% - Accent1 12" xfId="499" xr:uid="{00000000-0005-0000-0000-0000E4010000}"/>
    <cellStyle name="20% - Accent1 12 2" xfId="500" xr:uid="{00000000-0005-0000-0000-0000E5010000}"/>
    <cellStyle name="20% - Accent1 12 3" xfId="501" xr:uid="{00000000-0005-0000-0000-0000E6010000}"/>
    <cellStyle name="20% - Accent1 13" xfId="502" xr:uid="{00000000-0005-0000-0000-0000E7010000}"/>
    <cellStyle name="20% - Accent1 13 2" xfId="503" xr:uid="{00000000-0005-0000-0000-0000E8010000}"/>
    <cellStyle name="20% - Accent1 13 3" xfId="504" xr:uid="{00000000-0005-0000-0000-0000E9010000}"/>
    <cellStyle name="20% - Accent1 14" xfId="505" xr:uid="{00000000-0005-0000-0000-0000EA010000}"/>
    <cellStyle name="20% - Accent1 14 2" xfId="506" xr:uid="{00000000-0005-0000-0000-0000EB010000}"/>
    <cellStyle name="20% - Accent1 14 3" xfId="507" xr:uid="{00000000-0005-0000-0000-0000EC010000}"/>
    <cellStyle name="20% - Accent1 15" xfId="508" xr:uid="{00000000-0005-0000-0000-0000ED010000}"/>
    <cellStyle name="20% - Accent1 15 2" xfId="509" xr:uid="{00000000-0005-0000-0000-0000EE010000}"/>
    <cellStyle name="20% - Accent1 15 3" xfId="510" xr:uid="{00000000-0005-0000-0000-0000EF010000}"/>
    <cellStyle name="20% - Accent1 16" xfId="511" xr:uid="{00000000-0005-0000-0000-0000F0010000}"/>
    <cellStyle name="20% - Accent1 17" xfId="512" xr:uid="{00000000-0005-0000-0000-0000F1010000}"/>
    <cellStyle name="20% - Accent1 18" xfId="513" xr:uid="{00000000-0005-0000-0000-0000F2010000}"/>
    <cellStyle name="20% - Accent1 19" xfId="514" xr:uid="{00000000-0005-0000-0000-0000F3010000}"/>
    <cellStyle name="20% - Accent1 2" xfId="515" xr:uid="{00000000-0005-0000-0000-0000F4010000}"/>
    <cellStyle name="20% - Accent1 2 10" xfId="516" xr:uid="{00000000-0005-0000-0000-0000F5010000}"/>
    <cellStyle name="20% - Accent1 2 11" xfId="517" xr:uid="{00000000-0005-0000-0000-0000F6010000}"/>
    <cellStyle name="20% - Accent1 2 12" xfId="518" xr:uid="{00000000-0005-0000-0000-0000F7010000}"/>
    <cellStyle name="20% - Accent1 2 13" xfId="519" xr:uid="{00000000-0005-0000-0000-0000F8010000}"/>
    <cellStyle name="20% - Accent1 2 14" xfId="520" xr:uid="{00000000-0005-0000-0000-0000F9010000}"/>
    <cellStyle name="20% - Accent1 2 15" xfId="521" xr:uid="{00000000-0005-0000-0000-0000FA010000}"/>
    <cellStyle name="20% - Accent1 2 2" xfId="522" xr:uid="{00000000-0005-0000-0000-0000FB010000}"/>
    <cellStyle name="20% - Accent1 2 3" xfId="523" xr:uid="{00000000-0005-0000-0000-0000FC010000}"/>
    <cellStyle name="20% - Accent1 2 4" xfId="524" xr:uid="{00000000-0005-0000-0000-0000FD010000}"/>
    <cellStyle name="20% - Accent1 2 5" xfId="525" xr:uid="{00000000-0005-0000-0000-0000FE010000}"/>
    <cellStyle name="20% - Accent1 2 6" xfId="526" xr:uid="{00000000-0005-0000-0000-0000FF010000}"/>
    <cellStyle name="20% - Accent1 2 7" xfId="527" xr:uid="{00000000-0005-0000-0000-000000020000}"/>
    <cellStyle name="20% - Accent1 2 8" xfId="528" xr:uid="{00000000-0005-0000-0000-000001020000}"/>
    <cellStyle name="20% - Accent1 2 9" xfId="529" xr:uid="{00000000-0005-0000-0000-000002020000}"/>
    <cellStyle name="20% - Accent1 2_Display" xfId="530" xr:uid="{00000000-0005-0000-0000-000003020000}"/>
    <cellStyle name="20% - Accent1 20" xfId="4317" xr:uid="{00000000-0005-0000-0000-000004020000}"/>
    <cellStyle name="20% - Accent1 3" xfId="531" xr:uid="{00000000-0005-0000-0000-000005020000}"/>
    <cellStyle name="20% - Accent1 3 2" xfId="532" xr:uid="{00000000-0005-0000-0000-000006020000}"/>
    <cellStyle name="20% - Accent1 3 3" xfId="533" xr:uid="{00000000-0005-0000-0000-000007020000}"/>
    <cellStyle name="20% - Accent1 3 4" xfId="534" xr:uid="{00000000-0005-0000-0000-000008020000}"/>
    <cellStyle name="20% - Accent1 3 5" xfId="535" xr:uid="{00000000-0005-0000-0000-000009020000}"/>
    <cellStyle name="20% - Accent1 3 6" xfId="536" xr:uid="{00000000-0005-0000-0000-00000A020000}"/>
    <cellStyle name="20% - Accent1 3 7" xfId="537" xr:uid="{00000000-0005-0000-0000-00000B020000}"/>
    <cellStyle name="20% - Accent1 3 8" xfId="538" xr:uid="{00000000-0005-0000-0000-00000C020000}"/>
    <cellStyle name="20% - Accent1 3_Display" xfId="539" xr:uid="{00000000-0005-0000-0000-00000D020000}"/>
    <cellStyle name="20% - Accent1 4" xfId="540" xr:uid="{00000000-0005-0000-0000-00000E020000}"/>
    <cellStyle name="20% - Accent1 4 2" xfId="541" xr:uid="{00000000-0005-0000-0000-00000F020000}"/>
    <cellStyle name="20% - Accent1 4_Display" xfId="542" xr:uid="{00000000-0005-0000-0000-000010020000}"/>
    <cellStyle name="20% - Accent1 5" xfId="543" xr:uid="{00000000-0005-0000-0000-000011020000}"/>
    <cellStyle name="20% - Accent1 5 2" xfId="544" xr:uid="{00000000-0005-0000-0000-000012020000}"/>
    <cellStyle name="20% - Accent1 5_Display" xfId="545" xr:uid="{00000000-0005-0000-0000-000013020000}"/>
    <cellStyle name="20% - Accent1 6" xfId="546" xr:uid="{00000000-0005-0000-0000-000014020000}"/>
    <cellStyle name="20% - Accent1 6 2" xfId="547" xr:uid="{00000000-0005-0000-0000-000015020000}"/>
    <cellStyle name="20% - Accent1 6_Display" xfId="548" xr:uid="{00000000-0005-0000-0000-000016020000}"/>
    <cellStyle name="20% - Accent1 7" xfId="549" xr:uid="{00000000-0005-0000-0000-000017020000}"/>
    <cellStyle name="20% - Accent1 8" xfId="550" xr:uid="{00000000-0005-0000-0000-000018020000}"/>
    <cellStyle name="20% - Accent1 9" xfId="551" xr:uid="{00000000-0005-0000-0000-000019020000}"/>
    <cellStyle name="20% - Accent1 9 2" xfId="552" xr:uid="{00000000-0005-0000-0000-00001A020000}"/>
    <cellStyle name="20% - Accent1 9 3" xfId="553" xr:uid="{00000000-0005-0000-0000-00001B020000}"/>
    <cellStyle name="20% - Accent1 9 4" xfId="554" xr:uid="{00000000-0005-0000-0000-00001C020000}"/>
    <cellStyle name="20% - Accent2 10" xfId="555" xr:uid="{00000000-0005-0000-0000-00001D020000}"/>
    <cellStyle name="20% - Accent2 10 2" xfId="556" xr:uid="{00000000-0005-0000-0000-00001E020000}"/>
    <cellStyle name="20% - Accent2 10 3" xfId="557" xr:uid="{00000000-0005-0000-0000-00001F020000}"/>
    <cellStyle name="20% - Accent2 11" xfId="558" xr:uid="{00000000-0005-0000-0000-000020020000}"/>
    <cellStyle name="20% - Accent2 11 2" xfId="559" xr:uid="{00000000-0005-0000-0000-000021020000}"/>
    <cellStyle name="20% - Accent2 11 3" xfId="560" xr:uid="{00000000-0005-0000-0000-000022020000}"/>
    <cellStyle name="20% - Accent2 12" xfId="561" xr:uid="{00000000-0005-0000-0000-000023020000}"/>
    <cellStyle name="20% - Accent2 12 2" xfId="562" xr:uid="{00000000-0005-0000-0000-000024020000}"/>
    <cellStyle name="20% - Accent2 12 3" xfId="563" xr:uid="{00000000-0005-0000-0000-000025020000}"/>
    <cellStyle name="20% - Accent2 13" xfId="564" xr:uid="{00000000-0005-0000-0000-000026020000}"/>
    <cellStyle name="20% - Accent2 13 2" xfId="565" xr:uid="{00000000-0005-0000-0000-000027020000}"/>
    <cellStyle name="20% - Accent2 13 3" xfId="566" xr:uid="{00000000-0005-0000-0000-000028020000}"/>
    <cellStyle name="20% - Accent2 14" xfId="567" xr:uid="{00000000-0005-0000-0000-000029020000}"/>
    <cellStyle name="20% - Accent2 14 2" xfId="568" xr:uid="{00000000-0005-0000-0000-00002A020000}"/>
    <cellStyle name="20% - Accent2 14 3" xfId="569" xr:uid="{00000000-0005-0000-0000-00002B020000}"/>
    <cellStyle name="20% - Accent2 15" xfId="570" xr:uid="{00000000-0005-0000-0000-00002C020000}"/>
    <cellStyle name="20% - Accent2 15 2" xfId="571" xr:uid="{00000000-0005-0000-0000-00002D020000}"/>
    <cellStyle name="20% - Accent2 15 3" xfId="572" xr:uid="{00000000-0005-0000-0000-00002E020000}"/>
    <cellStyle name="20% - Accent2 16" xfId="573" xr:uid="{00000000-0005-0000-0000-00002F020000}"/>
    <cellStyle name="20% - Accent2 17" xfId="574" xr:uid="{00000000-0005-0000-0000-000030020000}"/>
    <cellStyle name="20% - Accent2 18" xfId="575" xr:uid="{00000000-0005-0000-0000-000031020000}"/>
    <cellStyle name="20% - Accent2 19" xfId="576" xr:uid="{00000000-0005-0000-0000-000032020000}"/>
    <cellStyle name="20% - Accent2 2" xfId="577" xr:uid="{00000000-0005-0000-0000-000033020000}"/>
    <cellStyle name="20% - Accent2 2 10" xfId="578" xr:uid="{00000000-0005-0000-0000-000034020000}"/>
    <cellStyle name="20% - Accent2 2 11" xfId="579" xr:uid="{00000000-0005-0000-0000-000035020000}"/>
    <cellStyle name="20% - Accent2 2 12" xfId="580" xr:uid="{00000000-0005-0000-0000-000036020000}"/>
    <cellStyle name="20% - Accent2 2 13" xfId="581" xr:uid="{00000000-0005-0000-0000-000037020000}"/>
    <cellStyle name="20% - Accent2 2 14" xfId="582" xr:uid="{00000000-0005-0000-0000-000038020000}"/>
    <cellStyle name="20% - Accent2 2 15" xfId="583" xr:uid="{00000000-0005-0000-0000-000039020000}"/>
    <cellStyle name="20% - Accent2 2 2" xfId="584" xr:uid="{00000000-0005-0000-0000-00003A020000}"/>
    <cellStyle name="20% - Accent2 2 3" xfId="585" xr:uid="{00000000-0005-0000-0000-00003B020000}"/>
    <cellStyle name="20% - Accent2 2 4" xfId="586" xr:uid="{00000000-0005-0000-0000-00003C020000}"/>
    <cellStyle name="20% - Accent2 2 5" xfId="587" xr:uid="{00000000-0005-0000-0000-00003D020000}"/>
    <cellStyle name="20% - Accent2 2 6" xfId="588" xr:uid="{00000000-0005-0000-0000-00003E020000}"/>
    <cellStyle name="20% - Accent2 2 7" xfId="589" xr:uid="{00000000-0005-0000-0000-00003F020000}"/>
    <cellStyle name="20% - Accent2 2 8" xfId="590" xr:uid="{00000000-0005-0000-0000-000040020000}"/>
    <cellStyle name="20% - Accent2 2 9" xfId="591" xr:uid="{00000000-0005-0000-0000-000041020000}"/>
    <cellStyle name="20% - Accent2 2_Display" xfId="592" xr:uid="{00000000-0005-0000-0000-000042020000}"/>
    <cellStyle name="20% - Accent2 20" xfId="4318" xr:uid="{00000000-0005-0000-0000-000043020000}"/>
    <cellStyle name="20% - Accent2 3" xfId="593" xr:uid="{00000000-0005-0000-0000-000044020000}"/>
    <cellStyle name="20% - Accent2 3 2" xfId="594" xr:uid="{00000000-0005-0000-0000-000045020000}"/>
    <cellStyle name="20% - Accent2 3 3" xfId="595" xr:uid="{00000000-0005-0000-0000-000046020000}"/>
    <cellStyle name="20% - Accent2 3 4" xfId="596" xr:uid="{00000000-0005-0000-0000-000047020000}"/>
    <cellStyle name="20% - Accent2 3 5" xfId="597" xr:uid="{00000000-0005-0000-0000-000048020000}"/>
    <cellStyle name="20% - Accent2 3 5 2" xfId="598" xr:uid="{00000000-0005-0000-0000-000049020000}"/>
    <cellStyle name="20% - Accent2 3 6" xfId="599" xr:uid="{00000000-0005-0000-0000-00004A020000}"/>
    <cellStyle name="20% - Accent2 3 7" xfId="600" xr:uid="{00000000-0005-0000-0000-00004B020000}"/>
    <cellStyle name="20% - Accent2 3 8" xfId="601" xr:uid="{00000000-0005-0000-0000-00004C020000}"/>
    <cellStyle name="20% - Accent2 3 9" xfId="602" xr:uid="{00000000-0005-0000-0000-00004D020000}"/>
    <cellStyle name="20% - Accent2 3_Display" xfId="603" xr:uid="{00000000-0005-0000-0000-00004E020000}"/>
    <cellStyle name="20% - Accent2 4" xfId="604" xr:uid="{00000000-0005-0000-0000-00004F020000}"/>
    <cellStyle name="20% - Accent2 4 2" xfId="605" xr:uid="{00000000-0005-0000-0000-000050020000}"/>
    <cellStyle name="20% - Accent2 4_Display" xfId="606" xr:uid="{00000000-0005-0000-0000-000051020000}"/>
    <cellStyle name="20% - Accent2 5" xfId="607" xr:uid="{00000000-0005-0000-0000-000052020000}"/>
    <cellStyle name="20% - Accent2 5 2" xfId="608" xr:uid="{00000000-0005-0000-0000-000053020000}"/>
    <cellStyle name="20% - Accent2 5_Display" xfId="609" xr:uid="{00000000-0005-0000-0000-000054020000}"/>
    <cellStyle name="20% - Accent2 6" xfId="610" xr:uid="{00000000-0005-0000-0000-000055020000}"/>
    <cellStyle name="20% - Accent2 6 2" xfId="611" xr:uid="{00000000-0005-0000-0000-000056020000}"/>
    <cellStyle name="20% - Accent2 6_Display" xfId="612" xr:uid="{00000000-0005-0000-0000-000057020000}"/>
    <cellStyle name="20% - Accent2 7" xfId="613" xr:uid="{00000000-0005-0000-0000-000058020000}"/>
    <cellStyle name="20% - Accent2 8" xfId="614" xr:uid="{00000000-0005-0000-0000-000059020000}"/>
    <cellStyle name="20% - Accent2 9" xfId="615" xr:uid="{00000000-0005-0000-0000-00005A020000}"/>
    <cellStyle name="20% - Accent2 9 2" xfId="616" xr:uid="{00000000-0005-0000-0000-00005B020000}"/>
    <cellStyle name="20% - Accent2 9 2 2" xfId="617" xr:uid="{00000000-0005-0000-0000-00005C020000}"/>
    <cellStyle name="20% - Accent2 9 3" xfId="618" xr:uid="{00000000-0005-0000-0000-00005D020000}"/>
    <cellStyle name="20% - Accent2 9 4" xfId="619" xr:uid="{00000000-0005-0000-0000-00005E020000}"/>
    <cellStyle name="20% - Accent2 9 5" xfId="620" xr:uid="{00000000-0005-0000-0000-00005F020000}"/>
    <cellStyle name="20% - Accent3 10" xfId="621" xr:uid="{00000000-0005-0000-0000-000060020000}"/>
    <cellStyle name="20% - Accent3 10 2" xfId="622" xr:uid="{00000000-0005-0000-0000-000061020000}"/>
    <cellStyle name="20% - Accent3 10 3" xfId="623" xr:uid="{00000000-0005-0000-0000-000062020000}"/>
    <cellStyle name="20% - Accent3 11" xfId="624" xr:uid="{00000000-0005-0000-0000-000063020000}"/>
    <cellStyle name="20% - Accent3 11 2" xfId="625" xr:uid="{00000000-0005-0000-0000-000064020000}"/>
    <cellStyle name="20% - Accent3 11 3" xfId="626" xr:uid="{00000000-0005-0000-0000-000065020000}"/>
    <cellStyle name="20% - Accent3 12" xfId="627" xr:uid="{00000000-0005-0000-0000-000066020000}"/>
    <cellStyle name="20% - Accent3 12 2" xfId="628" xr:uid="{00000000-0005-0000-0000-000067020000}"/>
    <cellStyle name="20% - Accent3 12 3" xfId="629" xr:uid="{00000000-0005-0000-0000-000068020000}"/>
    <cellStyle name="20% - Accent3 13" xfId="630" xr:uid="{00000000-0005-0000-0000-000069020000}"/>
    <cellStyle name="20% - Accent3 13 2" xfId="631" xr:uid="{00000000-0005-0000-0000-00006A020000}"/>
    <cellStyle name="20% - Accent3 13 3" xfId="632" xr:uid="{00000000-0005-0000-0000-00006B020000}"/>
    <cellStyle name="20% - Accent3 14" xfId="633" xr:uid="{00000000-0005-0000-0000-00006C020000}"/>
    <cellStyle name="20% - Accent3 14 2" xfId="634" xr:uid="{00000000-0005-0000-0000-00006D020000}"/>
    <cellStyle name="20% - Accent3 14 3" xfId="635" xr:uid="{00000000-0005-0000-0000-00006E020000}"/>
    <cellStyle name="20% - Accent3 15" xfId="636" xr:uid="{00000000-0005-0000-0000-00006F020000}"/>
    <cellStyle name="20% - Accent3 15 2" xfId="637" xr:uid="{00000000-0005-0000-0000-000070020000}"/>
    <cellStyle name="20% - Accent3 15 3" xfId="638" xr:uid="{00000000-0005-0000-0000-000071020000}"/>
    <cellStyle name="20% - Accent3 16" xfId="639" xr:uid="{00000000-0005-0000-0000-000072020000}"/>
    <cellStyle name="20% - Accent3 17" xfId="640" xr:uid="{00000000-0005-0000-0000-000073020000}"/>
    <cellStyle name="20% - Accent3 18" xfId="641" xr:uid="{00000000-0005-0000-0000-000074020000}"/>
    <cellStyle name="20% - Accent3 19" xfId="642" xr:uid="{00000000-0005-0000-0000-000075020000}"/>
    <cellStyle name="20% - Accent3 2" xfId="643" xr:uid="{00000000-0005-0000-0000-000076020000}"/>
    <cellStyle name="20% - Accent3 2 10" xfId="644" xr:uid="{00000000-0005-0000-0000-000077020000}"/>
    <cellStyle name="20% - Accent3 2 11" xfId="645" xr:uid="{00000000-0005-0000-0000-000078020000}"/>
    <cellStyle name="20% - Accent3 2 12" xfId="646" xr:uid="{00000000-0005-0000-0000-000079020000}"/>
    <cellStyle name="20% - Accent3 2 13" xfId="647" xr:uid="{00000000-0005-0000-0000-00007A020000}"/>
    <cellStyle name="20% - Accent3 2 14" xfId="648" xr:uid="{00000000-0005-0000-0000-00007B020000}"/>
    <cellStyle name="20% - Accent3 2 15" xfId="649" xr:uid="{00000000-0005-0000-0000-00007C020000}"/>
    <cellStyle name="20% - Accent3 2 2" xfId="650" xr:uid="{00000000-0005-0000-0000-00007D020000}"/>
    <cellStyle name="20% - Accent3 2 3" xfId="651" xr:uid="{00000000-0005-0000-0000-00007E020000}"/>
    <cellStyle name="20% - Accent3 2 4" xfId="652" xr:uid="{00000000-0005-0000-0000-00007F020000}"/>
    <cellStyle name="20% - Accent3 2 5" xfId="653" xr:uid="{00000000-0005-0000-0000-000080020000}"/>
    <cellStyle name="20% - Accent3 2 6" xfId="654" xr:uid="{00000000-0005-0000-0000-000081020000}"/>
    <cellStyle name="20% - Accent3 2 7" xfId="655" xr:uid="{00000000-0005-0000-0000-000082020000}"/>
    <cellStyle name="20% - Accent3 2 8" xfId="656" xr:uid="{00000000-0005-0000-0000-000083020000}"/>
    <cellStyle name="20% - Accent3 2 9" xfId="657" xr:uid="{00000000-0005-0000-0000-000084020000}"/>
    <cellStyle name="20% - Accent3 2_Display" xfId="658" xr:uid="{00000000-0005-0000-0000-000085020000}"/>
    <cellStyle name="20% - Accent3 20" xfId="4319" xr:uid="{00000000-0005-0000-0000-000086020000}"/>
    <cellStyle name="20% - Accent3 3" xfId="659" xr:uid="{00000000-0005-0000-0000-000087020000}"/>
    <cellStyle name="20% - Accent3 3 2" xfId="660" xr:uid="{00000000-0005-0000-0000-000088020000}"/>
    <cellStyle name="20% - Accent3 3 3" xfId="661" xr:uid="{00000000-0005-0000-0000-000089020000}"/>
    <cellStyle name="20% - Accent3 3 4" xfId="662" xr:uid="{00000000-0005-0000-0000-00008A020000}"/>
    <cellStyle name="20% - Accent3 3 5" xfId="663" xr:uid="{00000000-0005-0000-0000-00008B020000}"/>
    <cellStyle name="20% - Accent3 3 5 2" xfId="664" xr:uid="{00000000-0005-0000-0000-00008C020000}"/>
    <cellStyle name="20% - Accent3 3 6" xfId="665" xr:uid="{00000000-0005-0000-0000-00008D020000}"/>
    <cellStyle name="20% - Accent3 3 7" xfId="666" xr:uid="{00000000-0005-0000-0000-00008E020000}"/>
    <cellStyle name="20% - Accent3 3 8" xfId="667" xr:uid="{00000000-0005-0000-0000-00008F020000}"/>
    <cellStyle name="20% - Accent3 3 9" xfId="668" xr:uid="{00000000-0005-0000-0000-000090020000}"/>
    <cellStyle name="20% - Accent3 3_Display" xfId="669" xr:uid="{00000000-0005-0000-0000-000091020000}"/>
    <cellStyle name="20% - Accent3 4" xfId="670" xr:uid="{00000000-0005-0000-0000-000092020000}"/>
    <cellStyle name="20% - Accent3 4 2" xfId="671" xr:uid="{00000000-0005-0000-0000-000093020000}"/>
    <cellStyle name="20% - Accent3 4_Display" xfId="672" xr:uid="{00000000-0005-0000-0000-000094020000}"/>
    <cellStyle name="20% - Accent3 5" xfId="673" xr:uid="{00000000-0005-0000-0000-000095020000}"/>
    <cellStyle name="20% - Accent3 5 2" xfId="674" xr:uid="{00000000-0005-0000-0000-000096020000}"/>
    <cellStyle name="20% - Accent3 5_Display" xfId="675" xr:uid="{00000000-0005-0000-0000-000097020000}"/>
    <cellStyle name="20% - Accent3 6" xfId="676" xr:uid="{00000000-0005-0000-0000-000098020000}"/>
    <cellStyle name="20% - Accent3 6 2" xfId="677" xr:uid="{00000000-0005-0000-0000-000099020000}"/>
    <cellStyle name="20% - Accent3 6_Display" xfId="678" xr:uid="{00000000-0005-0000-0000-00009A020000}"/>
    <cellStyle name="20% - Accent3 7" xfId="679" xr:uid="{00000000-0005-0000-0000-00009B020000}"/>
    <cellStyle name="20% - Accent3 8" xfId="680" xr:uid="{00000000-0005-0000-0000-00009C020000}"/>
    <cellStyle name="20% - Accent3 9" xfId="681" xr:uid="{00000000-0005-0000-0000-00009D020000}"/>
    <cellStyle name="20% - Accent3 9 2" xfId="682" xr:uid="{00000000-0005-0000-0000-00009E020000}"/>
    <cellStyle name="20% - Accent3 9 2 2" xfId="683" xr:uid="{00000000-0005-0000-0000-00009F020000}"/>
    <cellStyle name="20% - Accent3 9 3" xfId="684" xr:uid="{00000000-0005-0000-0000-0000A0020000}"/>
    <cellStyle name="20% - Accent3 9 4" xfId="685" xr:uid="{00000000-0005-0000-0000-0000A1020000}"/>
    <cellStyle name="20% - Accent3 9 5" xfId="686" xr:uid="{00000000-0005-0000-0000-0000A2020000}"/>
    <cellStyle name="20% - Accent4 10" xfId="687" xr:uid="{00000000-0005-0000-0000-0000A3020000}"/>
    <cellStyle name="20% - Accent4 10 2" xfId="688" xr:uid="{00000000-0005-0000-0000-0000A4020000}"/>
    <cellStyle name="20% - Accent4 10 3" xfId="689" xr:uid="{00000000-0005-0000-0000-0000A5020000}"/>
    <cellStyle name="20% - Accent4 11" xfId="690" xr:uid="{00000000-0005-0000-0000-0000A6020000}"/>
    <cellStyle name="20% - Accent4 11 2" xfId="691" xr:uid="{00000000-0005-0000-0000-0000A7020000}"/>
    <cellStyle name="20% - Accent4 11 3" xfId="692" xr:uid="{00000000-0005-0000-0000-0000A8020000}"/>
    <cellStyle name="20% - Accent4 12" xfId="693" xr:uid="{00000000-0005-0000-0000-0000A9020000}"/>
    <cellStyle name="20% - Accent4 12 2" xfId="694" xr:uid="{00000000-0005-0000-0000-0000AA020000}"/>
    <cellStyle name="20% - Accent4 12 3" xfId="695" xr:uid="{00000000-0005-0000-0000-0000AB020000}"/>
    <cellStyle name="20% - Accent4 13" xfId="696" xr:uid="{00000000-0005-0000-0000-0000AC020000}"/>
    <cellStyle name="20% - Accent4 13 2" xfId="697" xr:uid="{00000000-0005-0000-0000-0000AD020000}"/>
    <cellStyle name="20% - Accent4 13 3" xfId="698" xr:uid="{00000000-0005-0000-0000-0000AE020000}"/>
    <cellStyle name="20% - Accent4 14" xfId="699" xr:uid="{00000000-0005-0000-0000-0000AF020000}"/>
    <cellStyle name="20% - Accent4 14 2" xfId="700" xr:uid="{00000000-0005-0000-0000-0000B0020000}"/>
    <cellStyle name="20% - Accent4 14 3" xfId="701" xr:uid="{00000000-0005-0000-0000-0000B1020000}"/>
    <cellStyle name="20% - Accent4 15" xfId="702" xr:uid="{00000000-0005-0000-0000-0000B2020000}"/>
    <cellStyle name="20% - Accent4 15 2" xfId="703" xr:uid="{00000000-0005-0000-0000-0000B3020000}"/>
    <cellStyle name="20% - Accent4 15 3" xfId="704" xr:uid="{00000000-0005-0000-0000-0000B4020000}"/>
    <cellStyle name="20% - Accent4 16" xfId="705" xr:uid="{00000000-0005-0000-0000-0000B5020000}"/>
    <cellStyle name="20% - Accent4 17" xfId="706" xr:uid="{00000000-0005-0000-0000-0000B6020000}"/>
    <cellStyle name="20% - Accent4 18" xfId="707" xr:uid="{00000000-0005-0000-0000-0000B7020000}"/>
    <cellStyle name="20% - Accent4 19" xfId="708" xr:uid="{00000000-0005-0000-0000-0000B8020000}"/>
    <cellStyle name="20% - Accent4 2" xfId="709" xr:uid="{00000000-0005-0000-0000-0000B9020000}"/>
    <cellStyle name="20% - Accent4 2 10" xfId="710" xr:uid="{00000000-0005-0000-0000-0000BA020000}"/>
    <cellStyle name="20% - Accent4 2 11" xfId="711" xr:uid="{00000000-0005-0000-0000-0000BB020000}"/>
    <cellStyle name="20% - Accent4 2 12" xfId="712" xr:uid="{00000000-0005-0000-0000-0000BC020000}"/>
    <cellStyle name="20% - Accent4 2 13" xfId="713" xr:uid="{00000000-0005-0000-0000-0000BD020000}"/>
    <cellStyle name="20% - Accent4 2 14" xfId="714" xr:uid="{00000000-0005-0000-0000-0000BE020000}"/>
    <cellStyle name="20% - Accent4 2 15" xfId="715" xr:uid="{00000000-0005-0000-0000-0000BF020000}"/>
    <cellStyle name="20% - Accent4 2 2" xfId="716" xr:uid="{00000000-0005-0000-0000-0000C0020000}"/>
    <cellStyle name="20% - Accent4 2 3" xfId="717" xr:uid="{00000000-0005-0000-0000-0000C1020000}"/>
    <cellStyle name="20% - Accent4 2 4" xfId="718" xr:uid="{00000000-0005-0000-0000-0000C2020000}"/>
    <cellStyle name="20% - Accent4 2 5" xfId="719" xr:uid="{00000000-0005-0000-0000-0000C3020000}"/>
    <cellStyle name="20% - Accent4 2 6" xfId="720" xr:uid="{00000000-0005-0000-0000-0000C4020000}"/>
    <cellStyle name="20% - Accent4 2 7" xfId="721" xr:uid="{00000000-0005-0000-0000-0000C5020000}"/>
    <cellStyle name="20% - Accent4 2 8" xfId="722" xr:uid="{00000000-0005-0000-0000-0000C6020000}"/>
    <cellStyle name="20% - Accent4 2 9" xfId="723" xr:uid="{00000000-0005-0000-0000-0000C7020000}"/>
    <cellStyle name="20% - Accent4 2_Display" xfId="724" xr:uid="{00000000-0005-0000-0000-0000C8020000}"/>
    <cellStyle name="20% - Accent4 20" xfId="4320" xr:uid="{00000000-0005-0000-0000-0000C9020000}"/>
    <cellStyle name="20% - Accent4 3" xfId="725" xr:uid="{00000000-0005-0000-0000-0000CA020000}"/>
    <cellStyle name="20% - Accent4 3 2" xfId="726" xr:uid="{00000000-0005-0000-0000-0000CB020000}"/>
    <cellStyle name="20% - Accent4 3 3" xfId="727" xr:uid="{00000000-0005-0000-0000-0000CC020000}"/>
    <cellStyle name="20% - Accent4 3 4" xfId="728" xr:uid="{00000000-0005-0000-0000-0000CD020000}"/>
    <cellStyle name="20% - Accent4 3 5" xfId="729" xr:uid="{00000000-0005-0000-0000-0000CE020000}"/>
    <cellStyle name="20% - Accent4 3 5 2" xfId="730" xr:uid="{00000000-0005-0000-0000-0000CF020000}"/>
    <cellStyle name="20% - Accent4 3 6" xfId="731" xr:uid="{00000000-0005-0000-0000-0000D0020000}"/>
    <cellStyle name="20% - Accent4 3 7" xfId="732" xr:uid="{00000000-0005-0000-0000-0000D1020000}"/>
    <cellStyle name="20% - Accent4 3 8" xfId="733" xr:uid="{00000000-0005-0000-0000-0000D2020000}"/>
    <cellStyle name="20% - Accent4 3 9" xfId="734" xr:uid="{00000000-0005-0000-0000-0000D3020000}"/>
    <cellStyle name="20% - Accent4 3_Display" xfId="735" xr:uid="{00000000-0005-0000-0000-0000D4020000}"/>
    <cellStyle name="20% - Accent4 4" xfId="736" xr:uid="{00000000-0005-0000-0000-0000D5020000}"/>
    <cellStyle name="20% - Accent4 4 2" xfId="737" xr:uid="{00000000-0005-0000-0000-0000D6020000}"/>
    <cellStyle name="20% - Accent4 4_Display" xfId="738" xr:uid="{00000000-0005-0000-0000-0000D7020000}"/>
    <cellStyle name="20% - Accent4 5" xfId="739" xr:uid="{00000000-0005-0000-0000-0000D8020000}"/>
    <cellStyle name="20% - Accent4 5 2" xfId="740" xr:uid="{00000000-0005-0000-0000-0000D9020000}"/>
    <cellStyle name="20% - Accent4 5_Display" xfId="741" xr:uid="{00000000-0005-0000-0000-0000DA020000}"/>
    <cellStyle name="20% - Accent4 6" xfId="742" xr:uid="{00000000-0005-0000-0000-0000DB020000}"/>
    <cellStyle name="20% - Accent4 6 2" xfId="743" xr:uid="{00000000-0005-0000-0000-0000DC020000}"/>
    <cellStyle name="20% - Accent4 6_Display" xfId="744" xr:uid="{00000000-0005-0000-0000-0000DD020000}"/>
    <cellStyle name="20% - Accent4 7" xfId="745" xr:uid="{00000000-0005-0000-0000-0000DE020000}"/>
    <cellStyle name="20% - Accent4 8" xfId="746" xr:uid="{00000000-0005-0000-0000-0000DF020000}"/>
    <cellStyle name="20% - Accent4 9" xfId="747" xr:uid="{00000000-0005-0000-0000-0000E0020000}"/>
    <cellStyle name="20% - Accent4 9 2" xfId="748" xr:uid="{00000000-0005-0000-0000-0000E1020000}"/>
    <cellStyle name="20% - Accent4 9 2 2" xfId="749" xr:uid="{00000000-0005-0000-0000-0000E2020000}"/>
    <cellStyle name="20% - Accent4 9 3" xfId="750" xr:uid="{00000000-0005-0000-0000-0000E3020000}"/>
    <cellStyle name="20% - Accent4 9 4" xfId="751" xr:uid="{00000000-0005-0000-0000-0000E4020000}"/>
    <cellStyle name="20% - Accent4 9 5" xfId="752" xr:uid="{00000000-0005-0000-0000-0000E5020000}"/>
    <cellStyle name="20% - Accent5 10" xfId="753" xr:uid="{00000000-0005-0000-0000-0000E6020000}"/>
    <cellStyle name="20% - Accent5 10 2" xfId="754" xr:uid="{00000000-0005-0000-0000-0000E7020000}"/>
    <cellStyle name="20% - Accent5 10 3" xfId="755" xr:uid="{00000000-0005-0000-0000-0000E8020000}"/>
    <cellStyle name="20% - Accent5 11" xfId="756" xr:uid="{00000000-0005-0000-0000-0000E9020000}"/>
    <cellStyle name="20% - Accent5 11 2" xfId="757" xr:uid="{00000000-0005-0000-0000-0000EA020000}"/>
    <cellStyle name="20% - Accent5 11 3" xfId="758" xr:uid="{00000000-0005-0000-0000-0000EB020000}"/>
    <cellStyle name="20% - Accent5 12" xfId="759" xr:uid="{00000000-0005-0000-0000-0000EC020000}"/>
    <cellStyle name="20% - Accent5 12 2" xfId="760" xr:uid="{00000000-0005-0000-0000-0000ED020000}"/>
    <cellStyle name="20% - Accent5 12 3" xfId="761" xr:uid="{00000000-0005-0000-0000-0000EE020000}"/>
    <cellStyle name="20% - Accent5 13" xfId="762" xr:uid="{00000000-0005-0000-0000-0000EF020000}"/>
    <cellStyle name="20% - Accent5 13 2" xfId="763" xr:uid="{00000000-0005-0000-0000-0000F0020000}"/>
    <cellStyle name="20% - Accent5 13 3" xfId="764" xr:uid="{00000000-0005-0000-0000-0000F1020000}"/>
    <cellStyle name="20% - Accent5 14" xfId="765" xr:uid="{00000000-0005-0000-0000-0000F2020000}"/>
    <cellStyle name="20% - Accent5 14 2" xfId="766" xr:uid="{00000000-0005-0000-0000-0000F3020000}"/>
    <cellStyle name="20% - Accent5 14 3" xfId="767" xr:uid="{00000000-0005-0000-0000-0000F4020000}"/>
    <cellStyle name="20% - Accent5 15" xfId="768" xr:uid="{00000000-0005-0000-0000-0000F5020000}"/>
    <cellStyle name="20% - Accent5 15 2" xfId="769" xr:uid="{00000000-0005-0000-0000-0000F6020000}"/>
    <cellStyle name="20% - Accent5 15 3" xfId="770" xr:uid="{00000000-0005-0000-0000-0000F7020000}"/>
    <cellStyle name="20% - Accent5 16" xfId="771" xr:uid="{00000000-0005-0000-0000-0000F8020000}"/>
    <cellStyle name="20% - Accent5 17" xfId="772" xr:uid="{00000000-0005-0000-0000-0000F9020000}"/>
    <cellStyle name="20% - Accent5 18" xfId="773" xr:uid="{00000000-0005-0000-0000-0000FA020000}"/>
    <cellStyle name="20% - Accent5 19" xfId="774" xr:uid="{00000000-0005-0000-0000-0000FB020000}"/>
    <cellStyle name="20% - Accent5 2" xfId="775" xr:uid="{00000000-0005-0000-0000-0000FC020000}"/>
    <cellStyle name="20% - Accent5 2 10" xfId="776" xr:uid="{00000000-0005-0000-0000-0000FD020000}"/>
    <cellStyle name="20% - Accent5 2 11" xfId="777" xr:uid="{00000000-0005-0000-0000-0000FE020000}"/>
    <cellStyle name="20% - Accent5 2 12" xfId="778" xr:uid="{00000000-0005-0000-0000-0000FF020000}"/>
    <cellStyle name="20% - Accent5 2 13" xfId="779" xr:uid="{00000000-0005-0000-0000-000000030000}"/>
    <cellStyle name="20% - Accent5 2 14" xfId="780" xr:uid="{00000000-0005-0000-0000-000001030000}"/>
    <cellStyle name="20% - Accent5 2 15" xfId="781" xr:uid="{00000000-0005-0000-0000-000002030000}"/>
    <cellStyle name="20% - Accent5 2 2" xfId="782" xr:uid="{00000000-0005-0000-0000-000003030000}"/>
    <cellStyle name="20% - Accent5 2 3" xfId="783" xr:uid="{00000000-0005-0000-0000-000004030000}"/>
    <cellStyle name="20% - Accent5 2 4" xfId="784" xr:uid="{00000000-0005-0000-0000-000005030000}"/>
    <cellStyle name="20% - Accent5 2 5" xfId="785" xr:uid="{00000000-0005-0000-0000-000006030000}"/>
    <cellStyle name="20% - Accent5 2 6" xfId="786" xr:uid="{00000000-0005-0000-0000-000007030000}"/>
    <cellStyle name="20% - Accent5 2 7" xfId="787" xr:uid="{00000000-0005-0000-0000-000008030000}"/>
    <cellStyle name="20% - Accent5 2 8" xfId="788" xr:uid="{00000000-0005-0000-0000-000009030000}"/>
    <cellStyle name="20% - Accent5 2 9" xfId="789" xr:uid="{00000000-0005-0000-0000-00000A030000}"/>
    <cellStyle name="20% - Accent5 2_Display" xfId="790" xr:uid="{00000000-0005-0000-0000-00000B030000}"/>
    <cellStyle name="20% - Accent5 20" xfId="4321" xr:uid="{00000000-0005-0000-0000-00000C030000}"/>
    <cellStyle name="20% - Accent5 3" xfId="791" xr:uid="{00000000-0005-0000-0000-00000D030000}"/>
    <cellStyle name="20% - Accent5 3 2" xfId="792" xr:uid="{00000000-0005-0000-0000-00000E030000}"/>
    <cellStyle name="20% - Accent5 3 3" xfId="793" xr:uid="{00000000-0005-0000-0000-00000F030000}"/>
    <cellStyle name="20% - Accent5 3 4" xfId="794" xr:uid="{00000000-0005-0000-0000-000010030000}"/>
    <cellStyle name="20% - Accent5 3 5" xfId="795" xr:uid="{00000000-0005-0000-0000-000011030000}"/>
    <cellStyle name="20% - Accent5 3 6" xfId="796" xr:uid="{00000000-0005-0000-0000-000012030000}"/>
    <cellStyle name="20% - Accent5 3 7" xfId="797" xr:uid="{00000000-0005-0000-0000-000013030000}"/>
    <cellStyle name="20% - Accent5 3 8" xfId="798" xr:uid="{00000000-0005-0000-0000-000014030000}"/>
    <cellStyle name="20% - Accent5 3_Display" xfId="799" xr:uid="{00000000-0005-0000-0000-000015030000}"/>
    <cellStyle name="20% - Accent5 4" xfId="800" xr:uid="{00000000-0005-0000-0000-000016030000}"/>
    <cellStyle name="20% - Accent5 4 2" xfId="801" xr:uid="{00000000-0005-0000-0000-000017030000}"/>
    <cellStyle name="20% - Accent5 4_Display" xfId="802" xr:uid="{00000000-0005-0000-0000-000018030000}"/>
    <cellStyle name="20% - Accent5 5" xfId="803" xr:uid="{00000000-0005-0000-0000-000019030000}"/>
    <cellStyle name="20% - Accent5 5 2" xfId="804" xr:uid="{00000000-0005-0000-0000-00001A030000}"/>
    <cellStyle name="20% - Accent5 5_Display" xfId="805" xr:uid="{00000000-0005-0000-0000-00001B030000}"/>
    <cellStyle name="20% - Accent5 6" xfId="806" xr:uid="{00000000-0005-0000-0000-00001C030000}"/>
    <cellStyle name="20% - Accent5 6 2" xfId="807" xr:uid="{00000000-0005-0000-0000-00001D030000}"/>
    <cellStyle name="20% - Accent5 6_Display" xfId="808" xr:uid="{00000000-0005-0000-0000-00001E030000}"/>
    <cellStyle name="20% - Accent5 7" xfId="809" xr:uid="{00000000-0005-0000-0000-00001F030000}"/>
    <cellStyle name="20% - Accent5 8" xfId="810" xr:uid="{00000000-0005-0000-0000-000020030000}"/>
    <cellStyle name="20% - Accent5 9" xfId="811" xr:uid="{00000000-0005-0000-0000-000021030000}"/>
    <cellStyle name="20% - Accent5 9 2" xfId="812" xr:uid="{00000000-0005-0000-0000-000022030000}"/>
    <cellStyle name="20% - Accent5 9 3" xfId="813" xr:uid="{00000000-0005-0000-0000-000023030000}"/>
    <cellStyle name="20% - Accent5 9 4" xfId="814" xr:uid="{00000000-0005-0000-0000-000024030000}"/>
    <cellStyle name="20% - Accent6 10" xfId="815" xr:uid="{00000000-0005-0000-0000-000025030000}"/>
    <cellStyle name="20% - Accent6 10 2" xfId="816" xr:uid="{00000000-0005-0000-0000-000026030000}"/>
    <cellStyle name="20% - Accent6 10 3" xfId="817" xr:uid="{00000000-0005-0000-0000-000027030000}"/>
    <cellStyle name="20% - Accent6 11" xfId="818" xr:uid="{00000000-0005-0000-0000-000028030000}"/>
    <cellStyle name="20% - Accent6 11 2" xfId="819" xr:uid="{00000000-0005-0000-0000-000029030000}"/>
    <cellStyle name="20% - Accent6 11 3" xfId="820" xr:uid="{00000000-0005-0000-0000-00002A030000}"/>
    <cellStyle name="20% - Accent6 12" xfId="821" xr:uid="{00000000-0005-0000-0000-00002B030000}"/>
    <cellStyle name="20% - Accent6 12 2" xfId="822" xr:uid="{00000000-0005-0000-0000-00002C030000}"/>
    <cellStyle name="20% - Accent6 12 3" xfId="823" xr:uid="{00000000-0005-0000-0000-00002D030000}"/>
    <cellStyle name="20% - Accent6 13" xfId="824" xr:uid="{00000000-0005-0000-0000-00002E030000}"/>
    <cellStyle name="20% - Accent6 13 2" xfId="825" xr:uid="{00000000-0005-0000-0000-00002F030000}"/>
    <cellStyle name="20% - Accent6 13 3" xfId="826" xr:uid="{00000000-0005-0000-0000-000030030000}"/>
    <cellStyle name="20% - Accent6 14" xfId="827" xr:uid="{00000000-0005-0000-0000-000031030000}"/>
    <cellStyle name="20% - Accent6 14 2" xfId="828" xr:uid="{00000000-0005-0000-0000-000032030000}"/>
    <cellStyle name="20% - Accent6 14 3" xfId="829" xr:uid="{00000000-0005-0000-0000-000033030000}"/>
    <cellStyle name="20% - Accent6 15" xfId="830" xr:uid="{00000000-0005-0000-0000-000034030000}"/>
    <cellStyle name="20% - Accent6 15 2" xfId="831" xr:uid="{00000000-0005-0000-0000-000035030000}"/>
    <cellStyle name="20% - Accent6 15 3" xfId="832" xr:uid="{00000000-0005-0000-0000-000036030000}"/>
    <cellStyle name="20% - Accent6 16" xfId="833" xr:uid="{00000000-0005-0000-0000-000037030000}"/>
    <cellStyle name="20% - Accent6 17" xfId="834" xr:uid="{00000000-0005-0000-0000-000038030000}"/>
    <cellStyle name="20% - Accent6 18" xfId="835" xr:uid="{00000000-0005-0000-0000-000039030000}"/>
    <cellStyle name="20% - Accent6 19" xfId="836" xr:uid="{00000000-0005-0000-0000-00003A030000}"/>
    <cellStyle name="20% - Accent6 2" xfId="837" xr:uid="{00000000-0005-0000-0000-00003B030000}"/>
    <cellStyle name="20% - Accent6 2 10" xfId="838" xr:uid="{00000000-0005-0000-0000-00003C030000}"/>
    <cellStyle name="20% - Accent6 2 11" xfId="839" xr:uid="{00000000-0005-0000-0000-00003D030000}"/>
    <cellStyle name="20% - Accent6 2 12" xfId="840" xr:uid="{00000000-0005-0000-0000-00003E030000}"/>
    <cellStyle name="20% - Accent6 2 13" xfId="841" xr:uid="{00000000-0005-0000-0000-00003F030000}"/>
    <cellStyle name="20% - Accent6 2 14" xfId="842" xr:uid="{00000000-0005-0000-0000-000040030000}"/>
    <cellStyle name="20% - Accent6 2 15" xfId="843" xr:uid="{00000000-0005-0000-0000-000041030000}"/>
    <cellStyle name="20% - Accent6 2 2" xfId="844" xr:uid="{00000000-0005-0000-0000-000042030000}"/>
    <cellStyle name="20% - Accent6 2 3" xfId="845" xr:uid="{00000000-0005-0000-0000-000043030000}"/>
    <cellStyle name="20% - Accent6 2 4" xfId="846" xr:uid="{00000000-0005-0000-0000-000044030000}"/>
    <cellStyle name="20% - Accent6 2 5" xfId="847" xr:uid="{00000000-0005-0000-0000-000045030000}"/>
    <cellStyle name="20% - Accent6 2 6" xfId="848" xr:uid="{00000000-0005-0000-0000-000046030000}"/>
    <cellStyle name="20% - Accent6 2 7" xfId="849" xr:uid="{00000000-0005-0000-0000-000047030000}"/>
    <cellStyle name="20% - Accent6 2 8" xfId="850" xr:uid="{00000000-0005-0000-0000-000048030000}"/>
    <cellStyle name="20% - Accent6 2 9" xfId="851" xr:uid="{00000000-0005-0000-0000-000049030000}"/>
    <cellStyle name="20% - Accent6 2_Display" xfId="852" xr:uid="{00000000-0005-0000-0000-00004A030000}"/>
    <cellStyle name="20% - Accent6 20" xfId="4322" xr:uid="{00000000-0005-0000-0000-00004B030000}"/>
    <cellStyle name="20% - Accent6 3" xfId="853" xr:uid="{00000000-0005-0000-0000-00004C030000}"/>
    <cellStyle name="20% - Accent6 3 2" xfId="854" xr:uid="{00000000-0005-0000-0000-00004D030000}"/>
    <cellStyle name="20% - Accent6 3 3" xfId="855" xr:uid="{00000000-0005-0000-0000-00004E030000}"/>
    <cellStyle name="20% - Accent6 3 4" xfId="856" xr:uid="{00000000-0005-0000-0000-00004F030000}"/>
    <cellStyle name="20% - Accent6 3 5" xfId="857" xr:uid="{00000000-0005-0000-0000-000050030000}"/>
    <cellStyle name="20% - Accent6 3 5 2" xfId="858" xr:uid="{00000000-0005-0000-0000-000051030000}"/>
    <cellStyle name="20% - Accent6 3 6" xfId="859" xr:uid="{00000000-0005-0000-0000-000052030000}"/>
    <cellStyle name="20% - Accent6 3 7" xfId="860" xr:uid="{00000000-0005-0000-0000-000053030000}"/>
    <cellStyle name="20% - Accent6 3 8" xfId="861" xr:uid="{00000000-0005-0000-0000-000054030000}"/>
    <cellStyle name="20% - Accent6 3 9" xfId="862" xr:uid="{00000000-0005-0000-0000-000055030000}"/>
    <cellStyle name="20% - Accent6 3_Display" xfId="863" xr:uid="{00000000-0005-0000-0000-000056030000}"/>
    <cellStyle name="20% - Accent6 4" xfId="864" xr:uid="{00000000-0005-0000-0000-000057030000}"/>
    <cellStyle name="20% - Accent6 4 2" xfId="865" xr:uid="{00000000-0005-0000-0000-000058030000}"/>
    <cellStyle name="20% - Accent6 4_Display" xfId="866" xr:uid="{00000000-0005-0000-0000-000059030000}"/>
    <cellStyle name="20% - Accent6 5" xfId="867" xr:uid="{00000000-0005-0000-0000-00005A030000}"/>
    <cellStyle name="20% - Accent6 5 2" xfId="868" xr:uid="{00000000-0005-0000-0000-00005B030000}"/>
    <cellStyle name="20% - Accent6 5_Display" xfId="869" xr:uid="{00000000-0005-0000-0000-00005C030000}"/>
    <cellStyle name="20% - Accent6 6" xfId="870" xr:uid="{00000000-0005-0000-0000-00005D030000}"/>
    <cellStyle name="20% - Accent6 6 2" xfId="871" xr:uid="{00000000-0005-0000-0000-00005E030000}"/>
    <cellStyle name="20% - Accent6 6_Display" xfId="872" xr:uid="{00000000-0005-0000-0000-00005F030000}"/>
    <cellStyle name="20% - Accent6 7" xfId="873" xr:uid="{00000000-0005-0000-0000-000060030000}"/>
    <cellStyle name="20% - Accent6 8" xfId="874" xr:uid="{00000000-0005-0000-0000-000061030000}"/>
    <cellStyle name="20% - Accent6 9" xfId="875" xr:uid="{00000000-0005-0000-0000-000062030000}"/>
    <cellStyle name="20% - Accent6 9 2" xfId="876" xr:uid="{00000000-0005-0000-0000-000063030000}"/>
    <cellStyle name="20% - Accent6 9 2 2" xfId="877" xr:uid="{00000000-0005-0000-0000-000064030000}"/>
    <cellStyle name="20% - Accent6 9 3" xfId="878" xr:uid="{00000000-0005-0000-0000-000065030000}"/>
    <cellStyle name="20% - Accent6 9 4" xfId="879" xr:uid="{00000000-0005-0000-0000-000066030000}"/>
    <cellStyle name="20% - Accent6 9 5" xfId="880" xr:uid="{00000000-0005-0000-0000-000067030000}"/>
    <cellStyle name="20% - 强调文字颜色 1" xfId="881" xr:uid="{00000000-0005-0000-0000-000068030000}"/>
    <cellStyle name="20% - 强调文字颜色 2" xfId="882" xr:uid="{00000000-0005-0000-0000-000069030000}"/>
    <cellStyle name="20% - 强调文字颜色 3" xfId="883" xr:uid="{00000000-0005-0000-0000-00006A030000}"/>
    <cellStyle name="20% - 强调文字颜色 4" xfId="884" xr:uid="{00000000-0005-0000-0000-00006B030000}"/>
    <cellStyle name="20% - 强调文字颜色 5" xfId="885" xr:uid="{00000000-0005-0000-0000-00006C030000}"/>
    <cellStyle name="20% - 强调文字颜色 6" xfId="886" xr:uid="{00000000-0005-0000-0000-00006D030000}"/>
    <cellStyle name="20% - 輔色1" xfId="887" xr:uid="{00000000-0005-0000-0000-00006E030000}"/>
    <cellStyle name="20% - 輔色2" xfId="888" xr:uid="{00000000-0005-0000-0000-00006F030000}"/>
    <cellStyle name="20% - 輔色3" xfId="889" xr:uid="{00000000-0005-0000-0000-000070030000}"/>
    <cellStyle name="20% - 輔色4" xfId="890" xr:uid="{00000000-0005-0000-0000-000071030000}"/>
    <cellStyle name="20% - 輔色5" xfId="891" xr:uid="{00000000-0005-0000-0000-000072030000}"/>
    <cellStyle name="20% - 輔色6" xfId="892" xr:uid="{00000000-0005-0000-0000-000073030000}"/>
    <cellStyle name="3232" xfId="893" xr:uid="{00000000-0005-0000-0000-000074030000}"/>
    <cellStyle name="³f¹ô[0]_pldt" xfId="894" xr:uid="{00000000-0005-0000-0000-000075030000}"/>
    <cellStyle name="³f¹ô_pldt" xfId="895" xr:uid="{00000000-0005-0000-0000-000076030000}"/>
    <cellStyle name="40% - Accent1 10" xfId="896" xr:uid="{00000000-0005-0000-0000-000077030000}"/>
    <cellStyle name="40% - Accent1 10 2" xfId="897" xr:uid="{00000000-0005-0000-0000-000078030000}"/>
    <cellStyle name="40% - Accent1 10 3" xfId="898" xr:uid="{00000000-0005-0000-0000-000079030000}"/>
    <cellStyle name="40% - Accent1 11" xfId="899" xr:uid="{00000000-0005-0000-0000-00007A030000}"/>
    <cellStyle name="40% - Accent1 11 2" xfId="900" xr:uid="{00000000-0005-0000-0000-00007B030000}"/>
    <cellStyle name="40% - Accent1 11 3" xfId="901" xr:uid="{00000000-0005-0000-0000-00007C030000}"/>
    <cellStyle name="40% - Accent1 12" xfId="902" xr:uid="{00000000-0005-0000-0000-00007D030000}"/>
    <cellStyle name="40% - Accent1 12 2" xfId="903" xr:uid="{00000000-0005-0000-0000-00007E030000}"/>
    <cellStyle name="40% - Accent1 12 3" xfId="904" xr:uid="{00000000-0005-0000-0000-00007F030000}"/>
    <cellStyle name="40% - Accent1 13" xfId="905" xr:uid="{00000000-0005-0000-0000-000080030000}"/>
    <cellStyle name="40% - Accent1 13 2" xfId="906" xr:uid="{00000000-0005-0000-0000-000081030000}"/>
    <cellStyle name="40% - Accent1 13 3" xfId="907" xr:uid="{00000000-0005-0000-0000-000082030000}"/>
    <cellStyle name="40% - Accent1 14" xfId="908" xr:uid="{00000000-0005-0000-0000-000083030000}"/>
    <cellStyle name="40% - Accent1 14 2" xfId="909" xr:uid="{00000000-0005-0000-0000-000084030000}"/>
    <cellStyle name="40% - Accent1 14 3" xfId="910" xr:uid="{00000000-0005-0000-0000-000085030000}"/>
    <cellStyle name="40% - Accent1 15" xfId="911" xr:uid="{00000000-0005-0000-0000-000086030000}"/>
    <cellStyle name="40% - Accent1 15 2" xfId="912" xr:uid="{00000000-0005-0000-0000-000087030000}"/>
    <cellStyle name="40% - Accent1 15 3" xfId="913" xr:uid="{00000000-0005-0000-0000-000088030000}"/>
    <cellStyle name="40% - Accent1 16" xfId="914" xr:uid="{00000000-0005-0000-0000-000089030000}"/>
    <cellStyle name="40% - Accent1 17" xfId="915" xr:uid="{00000000-0005-0000-0000-00008A030000}"/>
    <cellStyle name="40% - Accent1 18" xfId="916" xr:uid="{00000000-0005-0000-0000-00008B030000}"/>
    <cellStyle name="40% - Accent1 19" xfId="917" xr:uid="{00000000-0005-0000-0000-00008C030000}"/>
    <cellStyle name="40% - Accent1 2" xfId="918" xr:uid="{00000000-0005-0000-0000-00008D030000}"/>
    <cellStyle name="40% - Accent1 2 10" xfId="919" xr:uid="{00000000-0005-0000-0000-00008E030000}"/>
    <cellStyle name="40% - Accent1 2 11" xfId="920" xr:uid="{00000000-0005-0000-0000-00008F030000}"/>
    <cellStyle name="40% - Accent1 2 12" xfId="921" xr:uid="{00000000-0005-0000-0000-000090030000}"/>
    <cellStyle name="40% - Accent1 2 13" xfId="922" xr:uid="{00000000-0005-0000-0000-000091030000}"/>
    <cellStyle name="40% - Accent1 2 14" xfId="923" xr:uid="{00000000-0005-0000-0000-000092030000}"/>
    <cellStyle name="40% - Accent1 2 15" xfId="924" xr:uid="{00000000-0005-0000-0000-000093030000}"/>
    <cellStyle name="40% - Accent1 2 2" xfId="925" xr:uid="{00000000-0005-0000-0000-000094030000}"/>
    <cellStyle name="40% - Accent1 2 3" xfId="926" xr:uid="{00000000-0005-0000-0000-000095030000}"/>
    <cellStyle name="40% - Accent1 2 4" xfId="927" xr:uid="{00000000-0005-0000-0000-000096030000}"/>
    <cellStyle name="40% - Accent1 2 5" xfId="928" xr:uid="{00000000-0005-0000-0000-000097030000}"/>
    <cellStyle name="40% - Accent1 2 6" xfId="929" xr:uid="{00000000-0005-0000-0000-000098030000}"/>
    <cellStyle name="40% - Accent1 2 7" xfId="930" xr:uid="{00000000-0005-0000-0000-000099030000}"/>
    <cellStyle name="40% - Accent1 2 8" xfId="931" xr:uid="{00000000-0005-0000-0000-00009A030000}"/>
    <cellStyle name="40% - Accent1 2 9" xfId="932" xr:uid="{00000000-0005-0000-0000-00009B030000}"/>
    <cellStyle name="40% - Accent1 2_Display" xfId="933" xr:uid="{00000000-0005-0000-0000-00009C030000}"/>
    <cellStyle name="40% - Accent1 20" xfId="4323" xr:uid="{00000000-0005-0000-0000-00009D030000}"/>
    <cellStyle name="40% - Accent1 3" xfId="934" xr:uid="{00000000-0005-0000-0000-00009E030000}"/>
    <cellStyle name="40% - Accent1 3 2" xfId="935" xr:uid="{00000000-0005-0000-0000-00009F030000}"/>
    <cellStyle name="40% - Accent1 3 3" xfId="936" xr:uid="{00000000-0005-0000-0000-0000A0030000}"/>
    <cellStyle name="40% - Accent1 3 4" xfId="937" xr:uid="{00000000-0005-0000-0000-0000A1030000}"/>
    <cellStyle name="40% - Accent1 3 5" xfId="938" xr:uid="{00000000-0005-0000-0000-0000A2030000}"/>
    <cellStyle name="40% - Accent1 3 5 2" xfId="939" xr:uid="{00000000-0005-0000-0000-0000A3030000}"/>
    <cellStyle name="40% - Accent1 3 6" xfId="940" xr:uid="{00000000-0005-0000-0000-0000A4030000}"/>
    <cellStyle name="40% - Accent1 3 7" xfId="941" xr:uid="{00000000-0005-0000-0000-0000A5030000}"/>
    <cellStyle name="40% - Accent1 3 8" xfId="942" xr:uid="{00000000-0005-0000-0000-0000A6030000}"/>
    <cellStyle name="40% - Accent1 3 9" xfId="943" xr:uid="{00000000-0005-0000-0000-0000A7030000}"/>
    <cellStyle name="40% - Accent1 3_Display" xfId="944" xr:uid="{00000000-0005-0000-0000-0000A8030000}"/>
    <cellStyle name="40% - Accent1 4" xfId="945" xr:uid="{00000000-0005-0000-0000-0000A9030000}"/>
    <cellStyle name="40% - Accent1 4 2" xfId="946" xr:uid="{00000000-0005-0000-0000-0000AA030000}"/>
    <cellStyle name="40% - Accent1 4_Display" xfId="947" xr:uid="{00000000-0005-0000-0000-0000AB030000}"/>
    <cellStyle name="40% - Accent1 5" xfId="948" xr:uid="{00000000-0005-0000-0000-0000AC030000}"/>
    <cellStyle name="40% - Accent1 5 2" xfId="949" xr:uid="{00000000-0005-0000-0000-0000AD030000}"/>
    <cellStyle name="40% - Accent1 5_Display" xfId="950" xr:uid="{00000000-0005-0000-0000-0000AE030000}"/>
    <cellStyle name="40% - Accent1 6" xfId="951" xr:uid="{00000000-0005-0000-0000-0000AF030000}"/>
    <cellStyle name="40% - Accent1 6 2" xfId="952" xr:uid="{00000000-0005-0000-0000-0000B0030000}"/>
    <cellStyle name="40% - Accent1 6_Display" xfId="953" xr:uid="{00000000-0005-0000-0000-0000B1030000}"/>
    <cellStyle name="40% - Accent1 7" xfId="954" xr:uid="{00000000-0005-0000-0000-0000B2030000}"/>
    <cellStyle name="40% - Accent1 8" xfId="955" xr:uid="{00000000-0005-0000-0000-0000B3030000}"/>
    <cellStyle name="40% - Accent1 9" xfId="956" xr:uid="{00000000-0005-0000-0000-0000B4030000}"/>
    <cellStyle name="40% - Accent1 9 2" xfId="957" xr:uid="{00000000-0005-0000-0000-0000B5030000}"/>
    <cellStyle name="40% - Accent1 9 2 2" xfId="958" xr:uid="{00000000-0005-0000-0000-0000B6030000}"/>
    <cellStyle name="40% - Accent1 9 3" xfId="959" xr:uid="{00000000-0005-0000-0000-0000B7030000}"/>
    <cellStyle name="40% - Accent1 9 4" xfId="960" xr:uid="{00000000-0005-0000-0000-0000B8030000}"/>
    <cellStyle name="40% - Accent1 9 5" xfId="961" xr:uid="{00000000-0005-0000-0000-0000B9030000}"/>
    <cellStyle name="40% - Accent2 10" xfId="962" xr:uid="{00000000-0005-0000-0000-0000BA030000}"/>
    <cellStyle name="40% - Accent2 10 2" xfId="963" xr:uid="{00000000-0005-0000-0000-0000BB030000}"/>
    <cellStyle name="40% - Accent2 10 3" xfId="964" xr:uid="{00000000-0005-0000-0000-0000BC030000}"/>
    <cellStyle name="40% - Accent2 11" xfId="965" xr:uid="{00000000-0005-0000-0000-0000BD030000}"/>
    <cellStyle name="40% - Accent2 11 2" xfId="966" xr:uid="{00000000-0005-0000-0000-0000BE030000}"/>
    <cellStyle name="40% - Accent2 11 3" xfId="967" xr:uid="{00000000-0005-0000-0000-0000BF030000}"/>
    <cellStyle name="40% - Accent2 12" xfId="968" xr:uid="{00000000-0005-0000-0000-0000C0030000}"/>
    <cellStyle name="40% - Accent2 12 2" xfId="969" xr:uid="{00000000-0005-0000-0000-0000C1030000}"/>
    <cellStyle name="40% - Accent2 12 3" xfId="970" xr:uid="{00000000-0005-0000-0000-0000C2030000}"/>
    <cellStyle name="40% - Accent2 13" xfId="971" xr:uid="{00000000-0005-0000-0000-0000C3030000}"/>
    <cellStyle name="40% - Accent2 13 2" xfId="972" xr:uid="{00000000-0005-0000-0000-0000C4030000}"/>
    <cellStyle name="40% - Accent2 13 3" xfId="973" xr:uid="{00000000-0005-0000-0000-0000C5030000}"/>
    <cellStyle name="40% - Accent2 14" xfId="974" xr:uid="{00000000-0005-0000-0000-0000C6030000}"/>
    <cellStyle name="40% - Accent2 14 2" xfId="975" xr:uid="{00000000-0005-0000-0000-0000C7030000}"/>
    <cellStyle name="40% - Accent2 14 3" xfId="976" xr:uid="{00000000-0005-0000-0000-0000C8030000}"/>
    <cellStyle name="40% - Accent2 15" xfId="977" xr:uid="{00000000-0005-0000-0000-0000C9030000}"/>
    <cellStyle name="40% - Accent2 15 2" xfId="978" xr:uid="{00000000-0005-0000-0000-0000CA030000}"/>
    <cellStyle name="40% - Accent2 15 3" xfId="979" xr:uid="{00000000-0005-0000-0000-0000CB030000}"/>
    <cellStyle name="40% - Accent2 16" xfId="980" xr:uid="{00000000-0005-0000-0000-0000CC030000}"/>
    <cellStyle name="40% - Accent2 17" xfId="981" xr:uid="{00000000-0005-0000-0000-0000CD030000}"/>
    <cellStyle name="40% - Accent2 18" xfId="982" xr:uid="{00000000-0005-0000-0000-0000CE030000}"/>
    <cellStyle name="40% - Accent2 19" xfId="983" xr:uid="{00000000-0005-0000-0000-0000CF030000}"/>
    <cellStyle name="40% - Accent2 2" xfId="984" xr:uid="{00000000-0005-0000-0000-0000D0030000}"/>
    <cellStyle name="40% - Accent2 2 10" xfId="985" xr:uid="{00000000-0005-0000-0000-0000D1030000}"/>
    <cellStyle name="40% - Accent2 2 11" xfId="986" xr:uid="{00000000-0005-0000-0000-0000D2030000}"/>
    <cellStyle name="40% - Accent2 2 12" xfId="987" xr:uid="{00000000-0005-0000-0000-0000D3030000}"/>
    <cellStyle name="40% - Accent2 2 13" xfId="988" xr:uid="{00000000-0005-0000-0000-0000D4030000}"/>
    <cellStyle name="40% - Accent2 2 14" xfId="989" xr:uid="{00000000-0005-0000-0000-0000D5030000}"/>
    <cellStyle name="40% - Accent2 2 15" xfId="990" xr:uid="{00000000-0005-0000-0000-0000D6030000}"/>
    <cellStyle name="40% - Accent2 2 2" xfId="991" xr:uid="{00000000-0005-0000-0000-0000D7030000}"/>
    <cellStyle name="40% - Accent2 2 3" xfId="992" xr:uid="{00000000-0005-0000-0000-0000D8030000}"/>
    <cellStyle name="40% - Accent2 2 4" xfId="993" xr:uid="{00000000-0005-0000-0000-0000D9030000}"/>
    <cellStyle name="40% - Accent2 2 5" xfId="994" xr:uid="{00000000-0005-0000-0000-0000DA030000}"/>
    <cellStyle name="40% - Accent2 2 6" xfId="995" xr:uid="{00000000-0005-0000-0000-0000DB030000}"/>
    <cellStyle name="40% - Accent2 2 7" xfId="996" xr:uid="{00000000-0005-0000-0000-0000DC030000}"/>
    <cellStyle name="40% - Accent2 2 8" xfId="997" xr:uid="{00000000-0005-0000-0000-0000DD030000}"/>
    <cellStyle name="40% - Accent2 2 9" xfId="998" xr:uid="{00000000-0005-0000-0000-0000DE030000}"/>
    <cellStyle name="40% - Accent2 2_Display" xfId="999" xr:uid="{00000000-0005-0000-0000-0000DF030000}"/>
    <cellStyle name="40% - Accent2 20" xfId="4324" xr:uid="{00000000-0005-0000-0000-0000E0030000}"/>
    <cellStyle name="40% - Accent2 3" xfId="1000" xr:uid="{00000000-0005-0000-0000-0000E1030000}"/>
    <cellStyle name="40% - Accent2 3 2" xfId="1001" xr:uid="{00000000-0005-0000-0000-0000E2030000}"/>
    <cellStyle name="40% - Accent2 3 3" xfId="1002" xr:uid="{00000000-0005-0000-0000-0000E3030000}"/>
    <cellStyle name="40% - Accent2 3 4" xfId="1003" xr:uid="{00000000-0005-0000-0000-0000E4030000}"/>
    <cellStyle name="40% - Accent2 3 5" xfId="1004" xr:uid="{00000000-0005-0000-0000-0000E5030000}"/>
    <cellStyle name="40% - Accent2 3 5 2" xfId="1005" xr:uid="{00000000-0005-0000-0000-0000E6030000}"/>
    <cellStyle name="40% - Accent2 3 6" xfId="1006" xr:uid="{00000000-0005-0000-0000-0000E7030000}"/>
    <cellStyle name="40% - Accent2 3 7" xfId="1007" xr:uid="{00000000-0005-0000-0000-0000E8030000}"/>
    <cellStyle name="40% - Accent2 3 8" xfId="1008" xr:uid="{00000000-0005-0000-0000-0000E9030000}"/>
    <cellStyle name="40% - Accent2 3 9" xfId="1009" xr:uid="{00000000-0005-0000-0000-0000EA030000}"/>
    <cellStyle name="40% - Accent2 3_Display" xfId="1010" xr:uid="{00000000-0005-0000-0000-0000EB030000}"/>
    <cellStyle name="40% - Accent2 4" xfId="1011" xr:uid="{00000000-0005-0000-0000-0000EC030000}"/>
    <cellStyle name="40% - Accent2 4 2" xfId="1012" xr:uid="{00000000-0005-0000-0000-0000ED030000}"/>
    <cellStyle name="40% - Accent2 4_Display" xfId="1013" xr:uid="{00000000-0005-0000-0000-0000EE030000}"/>
    <cellStyle name="40% - Accent2 5" xfId="1014" xr:uid="{00000000-0005-0000-0000-0000EF030000}"/>
    <cellStyle name="40% - Accent2 5 2" xfId="1015" xr:uid="{00000000-0005-0000-0000-0000F0030000}"/>
    <cellStyle name="40% - Accent2 5_Display" xfId="1016" xr:uid="{00000000-0005-0000-0000-0000F1030000}"/>
    <cellStyle name="40% - Accent2 6" xfId="1017" xr:uid="{00000000-0005-0000-0000-0000F2030000}"/>
    <cellStyle name="40% - Accent2 6 2" xfId="1018" xr:uid="{00000000-0005-0000-0000-0000F3030000}"/>
    <cellStyle name="40% - Accent2 6_Display" xfId="1019" xr:uid="{00000000-0005-0000-0000-0000F4030000}"/>
    <cellStyle name="40% - Accent2 7" xfId="1020" xr:uid="{00000000-0005-0000-0000-0000F5030000}"/>
    <cellStyle name="40% - Accent2 8" xfId="1021" xr:uid="{00000000-0005-0000-0000-0000F6030000}"/>
    <cellStyle name="40% - Accent2 9" xfId="1022" xr:uid="{00000000-0005-0000-0000-0000F7030000}"/>
    <cellStyle name="40% - Accent2 9 2" xfId="1023" xr:uid="{00000000-0005-0000-0000-0000F8030000}"/>
    <cellStyle name="40% - Accent2 9 2 2" xfId="1024" xr:uid="{00000000-0005-0000-0000-0000F9030000}"/>
    <cellStyle name="40% - Accent2 9 3" xfId="1025" xr:uid="{00000000-0005-0000-0000-0000FA030000}"/>
    <cellStyle name="40% - Accent2 9 4" xfId="1026" xr:uid="{00000000-0005-0000-0000-0000FB030000}"/>
    <cellStyle name="40% - Accent2 9 5" xfId="1027" xr:uid="{00000000-0005-0000-0000-0000FC030000}"/>
    <cellStyle name="40% - Accent3 10" xfId="1028" xr:uid="{00000000-0005-0000-0000-0000FD030000}"/>
    <cellStyle name="40% - Accent3 10 2" xfId="1029" xr:uid="{00000000-0005-0000-0000-0000FE030000}"/>
    <cellStyle name="40% - Accent3 10 3" xfId="1030" xr:uid="{00000000-0005-0000-0000-0000FF030000}"/>
    <cellStyle name="40% - Accent3 11" xfId="1031" xr:uid="{00000000-0005-0000-0000-000000040000}"/>
    <cellStyle name="40% - Accent3 11 2" xfId="1032" xr:uid="{00000000-0005-0000-0000-000001040000}"/>
    <cellStyle name="40% - Accent3 11 3" xfId="1033" xr:uid="{00000000-0005-0000-0000-000002040000}"/>
    <cellStyle name="40% - Accent3 12" xfId="1034" xr:uid="{00000000-0005-0000-0000-000003040000}"/>
    <cellStyle name="40% - Accent3 12 2" xfId="1035" xr:uid="{00000000-0005-0000-0000-000004040000}"/>
    <cellStyle name="40% - Accent3 12 3" xfId="1036" xr:uid="{00000000-0005-0000-0000-000005040000}"/>
    <cellStyle name="40% - Accent3 13" xfId="1037" xr:uid="{00000000-0005-0000-0000-000006040000}"/>
    <cellStyle name="40% - Accent3 13 2" xfId="1038" xr:uid="{00000000-0005-0000-0000-000007040000}"/>
    <cellStyle name="40% - Accent3 13 3" xfId="1039" xr:uid="{00000000-0005-0000-0000-000008040000}"/>
    <cellStyle name="40% - Accent3 14" xfId="1040" xr:uid="{00000000-0005-0000-0000-000009040000}"/>
    <cellStyle name="40% - Accent3 14 2" xfId="1041" xr:uid="{00000000-0005-0000-0000-00000A040000}"/>
    <cellStyle name="40% - Accent3 14 3" xfId="1042" xr:uid="{00000000-0005-0000-0000-00000B040000}"/>
    <cellStyle name="40% - Accent3 15" xfId="1043" xr:uid="{00000000-0005-0000-0000-00000C040000}"/>
    <cellStyle name="40% - Accent3 15 2" xfId="1044" xr:uid="{00000000-0005-0000-0000-00000D040000}"/>
    <cellStyle name="40% - Accent3 15 3" xfId="1045" xr:uid="{00000000-0005-0000-0000-00000E040000}"/>
    <cellStyle name="40% - Accent3 16" xfId="1046" xr:uid="{00000000-0005-0000-0000-00000F040000}"/>
    <cellStyle name="40% - Accent3 17" xfId="1047" xr:uid="{00000000-0005-0000-0000-000010040000}"/>
    <cellStyle name="40% - Accent3 18" xfId="1048" xr:uid="{00000000-0005-0000-0000-000011040000}"/>
    <cellStyle name="40% - Accent3 19" xfId="1049" xr:uid="{00000000-0005-0000-0000-000012040000}"/>
    <cellStyle name="40% - Accent3 2" xfId="1050" xr:uid="{00000000-0005-0000-0000-000013040000}"/>
    <cellStyle name="40% - Accent3 2 10" xfId="1051" xr:uid="{00000000-0005-0000-0000-000014040000}"/>
    <cellStyle name="40% - Accent3 2 11" xfId="1052" xr:uid="{00000000-0005-0000-0000-000015040000}"/>
    <cellStyle name="40% - Accent3 2 12" xfId="1053" xr:uid="{00000000-0005-0000-0000-000016040000}"/>
    <cellStyle name="40% - Accent3 2 13" xfId="1054" xr:uid="{00000000-0005-0000-0000-000017040000}"/>
    <cellStyle name="40% - Accent3 2 14" xfId="1055" xr:uid="{00000000-0005-0000-0000-000018040000}"/>
    <cellStyle name="40% - Accent3 2 15" xfId="1056" xr:uid="{00000000-0005-0000-0000-000019040000}"/>
    <cellStyle name="40% - Accent3 2 2" xfId="1057" xr:uid="{00000000-0005-0000-0000-00001A040000}"/>
    <cellStyle name="40% - Accent3 2 3" xfId="1058" xr:uid="{00000000-0005-0000-0000-00001B040000}"/>
    <cellStyle name="40% - Accent3 2 4" xfId="1059" xr:uid="{00000000-0005-0000-0000-00001C040000}"/>
    <cellStyle name="40% - Accent3 2 5" xfId="1060" xr:uid="{00000000-0005-0000-0000-00001D040000}"/>
    <cellStyle name="40% - Accent3 2 6" xfId="1061" xr:uid="{00000000-0005-0000-0000-00001E040000}"/>
    <cellStyle name="40% - Accent3 2 7" xfId="1062" xr:uid="{00000000-0005-0000-0000-00001F040000}"/>
    <cellStyle name="40% - Accent3 2 8" xfId="1063" xr:uid="{00000000-0005-0000-0000-000020040000}"/>
    <cellStyle name="40% - Accent3 2 9" xfId="1064" xr:uid="{00000000-0005-0000-0000-000021040000}"/>
    <cellStyle name="40% - Accent3 2_Display" xfId="1065" xr:uid="{00000000-0005-0000-0000-000022040000}"/>
    <cellStyle name="40% - Accent3 20" xfId="4325" xr:uid="{00000000-0005-0000-0000-000023040000}"/>
    <cellStyle name="40% - Accent3 3" xfId="1066" xr:uid="{00000000-0005-0000-0000-000024040000}"/>
    <cellStyle name="40% - Accent3 3 2" xfId="1067" xr:uid="{00000000-0005-0000-0000-000025040000}"/>
    <cellStyle name="40% - Accent3 3 3" xfId="1068" xr:uid="{00000000-0005-0000-0000-000026040000}"/>
    <cellStyle name="40% - Accent3 3 4" xfId="1069" xr:uid="{00000000-0005-0000-0000-000027040000}"/>
    <cellStyle name="40% - Accent3 3 5" xfId="1070" xr:uid="{00000000-0005-0000-0000-000028040000}"/>
    <cellStyle name="40% - Accent3 3 5 2" xfId="1071" xr:uid="{00000000-0005-0000-0000-000029040000}"/>
    <cellStyle name="40% - Accent3 3 6" xfId="1072" xr:uid="{00000000-0005-0000-0000-00002A040000}"/>
    <cellStyle name="40% - Accent3 3 7" xfId="1073" xr:uid="{00000000-0005-0000-0000-00002B040000}"/>
    <cellStyle name="40% - Accent3 3 8" xfId="1074" xr:uid="{00000000-0005-0000-0000-00002C040000}"/>
    <cellStyle name="40% - Accent3 3 9" xfId="1075" xr:uid="{00000000-0005-0000-0000-00002D040000}"/>
    <cellStyle name="40% - Accent3 3_Display" xfId="1076" xr:uid="{00000000-0005-0000-0000-00002E040000}"/>
    <cellStyle name="40% - Accent3 4" xfId="1077" xr:uid="{00000000-0005-0000-0000-00002F040000}"/>
    <cellStyle name="40% - Accent3 4 2" xfId="1078" xr:uid="{00000000-0005-0000-0000-000030040000}"/>
    <cellStyle name="40% - Accent3 4_Display" xfId="1079" xr:uid="{00000000-0005-0000-0000-000031040000}"/>
    <cellStyle name="40% - Accent3 5" xfId="1080" xr:uid="{00000000-0005-0000-0000-000032040000}"/>
    <cellStyle name="40% - Accent3 5 2" xfId="1081" xr:uid="{00000000-0005-0000-0000-000033040000}"/>
    <cellStyle name="40% - Accent3 5_Display" xfId="1082" xr:uid="{00000000-0005-0000-0000-000034040000}"/>
    <cellStyle name="40% - Accent3 6" xfId="1083" xr:uid="{00000000-0005-0000-0000-000035040000}"/>
    <cellStyle name="40% - Accent3 6 2" xfId="1084" xr:uid="{00000000-0005-0000-0000-000036040000}"/>
    <cellStyle name="40% - Accent3 6_Display" xfId="1085" xr:uid="{00000000-0005-0000-0000-000037040000}"/>
    <cellStyle name="40% - Accent3 7" xfId="1086" xr:uid="{00000000-0005-0000-0000-000038040000}"/>
    <cellStyle name="40% - Accent3 8" xfId="1087" xr:uid="{00000000-0005-0000-0000-000039040000}"/>
    <cellStyle name="40% - Accent3 9" xfId="1088" xr:uid="{00000000-0005-0000-0000-00003A040000}"/>
    <cellStyle name="40% - Accent3 9 2" xfId="1089" xr:uid="{00000000-0005-0000-0000-00003B040000}"/>
    <cellStyle name="40% - Accent3 9 2 2" xfId="1090" xr:uid="{00000000-0005-0000-0000-00003C040000}"/>
    <cellStyle name="40% - Accent3 9 3" xfId="1091" xr:uid="{00000000-0005-0000-0000-00003D040000}"/>
    <cellStyle name="40% - Accent3 9 4" xfId="1092" xr:uid="{00000000-0005-0000-0000-00003E040000}"/>
    <cellStyle name="40% - Accent3 9 5" xfId="1093" xr:uid="{00000000-0005-0000-0000-00003F040000}"/>
    <cellStyle name="40% - Accent4 10" xfId="1094" xr:uid="{00000000-0005-0000-0000-000040040000}"/>
    <cellStyle name="40% - Accent4 10 2" xfId="1095" xr:uid="{00000000-0005-0000-0000-000041040000}"/>
    <cellStyle name="40% - Accent4 10 3" xfId="1096" xr:uid="{00000000-0005-0000-0000-000042040000}"/>
    <cellStyle name="40% - Accent4 11" xfId="1097" xr:uid="{00000000-0005-0000-0000-000043040000}"/>
    <cellStyle name="40% - Accent4 11 2" xfId="1098" xr:uid="{00000000-0005-0000-0000-000044040000}"/>
    <cellStyle name="40% - Accent4 11 3" xfId="1099" xr:uid="{00000000-0005-0000-0000-000045040000}"/>
    <cellStyle name="40% - Accent4 12" xfId="1100" xr:uid="{00000000-0005-0000-0000-000046040000}"/>
    <cellStyle name="40% - Accent4 12 2" xfId="1101" xr:uid="{00000000-0005-0000-0000-000047040000}"/>
    <cellStyle name="40% - Accent4 12 3" xfId="1102" xr:uid="{00000000-0005-0000-0000-000048040000}"/>
    <cellStyle name="40% - Accent4 13" xfId="1103" xr:uid="{00000000-0005-0000-0000-000049040000}"/>
    <cellStyle name="40% - Accent4 13 2" xfId="1104" xr:uid="{00000000-0005-0000-0000-00004A040000}"/>
    <cellStyle name="40% - Accent4 13 3" xfId="1105" xr:uid="{00000000-0005-0000-0000-00004B040000}"/>
    <cellStyle name="40% - Accent4 14" xfId="1106" xr:uid="{00000000-0005-0000-0000-00004C040000}"/>
    <cellStyle name="40% - Accent4 14 2" xfId="1107" xr:uid="{00000000-0005-0000-0000-00004D040000}"/>
    <cellStyle name="40% - Accent4 14 3" xfId="1108" xr:uid="{00000000-0005-0000-0000-00004E040000}"/>
    <cellStyle name="40% - Accent4 15" xfId="1109" xr:uid="{00000000-0005-0000-0000-00004F040000}"/>
    <cellStyle name="40% - Accent4 15 2" xfId="1110" xr:uid="{00000000-0005-0000-0000-000050040000}"/>
    <cellStyle name="40% - Accent4 15 3" xfId="1111" xr:uid="{00000000-0005-0000-0000-000051040000}"/>
    <cellStyle name="40% - Accent4 16" xfId="1112" xr:uid="{00000000-0005-0000-0000-000052040000}"/>
    <cellStyle name="40% - Accent4 17" xfId="1113" xr:uid="{00000000-0005-0000-0000-000053040000}"/>
    <cellStyle name="40% - Accent4 18" xfId="1114" xr:uid="{00000000-0005-0000-0000-000054040000}"/>
    <cellStyle name="40% - Accent4 19" xfId="1115" xr:uid="{00000000-0005-0000-0000-000055040000}"/>
    <cellStyle name="40% - Accent4 2" xfId="1116" xr:uid="{00000000-0005-0000-0000-000056040000}"/>
    <cellStyle name="40% - Accent4 2 10" xfId="1117" xr:uid="{00000000-0005-0000-0000-000057040000}"/>
    <cellStyle name="40% - Accent4 2 11" xfId="1118" xr:uid="{00000000-0005-0000-0000-000058040000}"/>
    <cellStyle name="40% - Accent4 2 12" xfId="1119" xr:uid="{00000000-0005-0000-0000-000059040000}"/>
    <cellStyle name="40% - Accent4 2 13" xfId="1120" xr:uid="{00000000-0005-0000-0000-00005A040000}"/>
    <cellStyle name="40% - Accent4 2 14" xfId="1121" xr:uid="{00000000-0005-0000-0000-00005B040000}"/>
    <cellStyle name="40% - Accent4 2 15" xfId="1122" xr:uid="{00000000-0005-0000-0000-00005C040000}"/>
    <cellStyle name="40% - Accent4 2 2" xfId="1123" xr:uid="{00000000-0005-0000-0000-00005D040000}"/>
    <cellStyle name="40% - Accent4 2 3" xfId="1124" xr:uid="{00000000-0005-0000-0000-00005E040000}"/>
    <cellStyle name="40% - Accent4 2 4" xfId="1125" xr:uid="{00000000-0005-0000-0000-00005F040000}"/>
    <cellStyle name="40% - Accent4 2 5" xfId="1126" xr:uid="{00000000-0005-0000-0000-000060040000}"/>
    <cellStyle name="40% - Accent4 2 6" xfId="1127" xr:uid="{00000000-0005-0000-0000-000061040000}"/>
    <cellStyle name="40% - Accent4 2 7" xfId="1128" xr:uid="{00000000-0005-0000-0000-000062040000}"/>
    <cellStyle name="40% - Accent4 2 8" xfId="1129" xr:uid="{00000000-0005-0000-0000-000063040000}"/>
    <cellStyle name="40% - Accent4 2 9" xfId="1130" xr:uid="{00000000-0005-0000-0000-000064040000}"/>
    <cellStyle name="40% - Accent4 2_Display" xfId="1131" xr:uid="{00000000-0005-0000-0000-000065040000}"/>
    <cellStyle name="40% - Accent4 20" xfId="4326" xr:uid="{00000000-0005-0000-0000-000066040000}"/>
    <cellStyle name="40% - Accent4 3" xfId="1132" xr:uid="{00000000-0005-0000-0000-000067040000}"/>
    <cellStyle name="40% - Accent4 3 2" xfId="1133" xr:uid="{00000000-0005-0000-0000-000068040000}"/>
    <cellStyle name="40% - Accent4 3 3" xfId="1134" xr:uid="{00000000-0005-0000-0000-000069040000}"/>
    <cellStyle name="40% - Accent4 3 4" xfId="1135" xr:uid="{00000000-0005-0000-0000-00006A040000}"/>
    <cellStyle name="40% - Accent4 3 5" xfId="1136" xr:uid="{00000000-0005-0000-0000-00006B040000}"/>
    <cellStyle name="40% - Accent4 3 5 2" xfId="1137" xr:uid="{00000000-0005-0000-0000-00006C040000}"/>
    <cellStyle name="40% - Accent4 3 6" xfId="1138" xr:uid="{00000000-0005-0000-0000-00006D040000}"/>
    <cellStyle name="40% - Accent4 3 7" xfId="1139" xr:uid="{00000000-0005-0000-0000-00006E040000}"/>
    <cellStyle name="40% - Accent4 3 8" xfId="1140" xr:uid="{00000000-0005-0000-0000-00006F040000}"/>
    <cellStyle name="40% - Accent4 3 9" xfId="1141" xr:uid="{00000000-0005-0000-0000-000070040000}"/>
    <cellStyle name="40% - Accent4 3_Display" xfId="1142" xr:uid="{00000000-0005-0000-0000-000071040000}"/>
    <cellStyle name="40% - Accent4 4" xfId="1143" xr:uid="{00000000-0005-0000-0000-000072040000}"/>
    <cellStyle name="40% - Accent4 4 2" xfId="1144" xr:uid="{00000000-0005-0000-0000-000073040000}"/>
    <cellStyle name="40% - Accent4 4_Display" xfId="1145" xr:uid="{00000000-0005-0000-0000-000074040000}"/>
    <cellStyle name="40% - Accent4 5" xfId="1146" xr:uid="{00000000-0005-0000-0000-000075040000}"/>
    <cellStyle name="40% - Accent4 5 2" xfId="1147" xr:uid="{00000000-0005-0000-0000-000076040000}"/>
    <cellStyle name="40% - Accent4 5_Display" xfId="1148" xr:uid="{00000000-0005-0000-0000-000077040000}"/>
    <cellStyle name="40% - Accent4 6" xfId="1149" xr:uid="{00000000-0005-0000-0000-000078040000}"/>
    <cellStyle name="40% - Accent4 6 2" xfId="1150" xr:uid="{00000000-0005-0000-0000-000079040000}"/>
    <cellStyle name="40% - Accent4 6_Display" xfId="1151" xr:uid="{00000000-0005-0000-0000-00007A040000}"/>
    <cellStyle name="40% - Accent4 7" xfId="1152" xr:uid="{00000000-0005-0000-0000-00007B040000}"/>
    <cellStyle name="40% - Accent4 8" xfId="1153" xr:uid="{00000000-0005-0000-0000-00007C040000}"/>
    <cellStyle name="40% - Accent4 9" xfId="1154" xr:uid="{00000000-0005-0000-0000-00007D040000}"/>
    <cellStyle name="40% - Accent4 9 2" xfId="1155" xr:uid="{00000000-0005-0000-0000-00007E040000}"/>
    <cellStyle name="40% - Accent4 9 2 2" xfId="1156" xr:uid="{00000000-0005-0000-0000-00007F040000}"/>
    <cellStyle name="40% - Accent4 9 3" xfId="1157" xr:uid="{00000000-0005-0000-0000-000080040000}"/>
    <cellStyle name="40% - Accent4 9 4" xfId="1158" xr:uid="{00000000-0005-0000-0000-000081040000}"/>
    <cellStyle name="40% - Accent4 9 5" xfId="1159" xr:uid="{00000000-0005-0000-0000-000082040000}"/>
    <cellStyle name="40% - Accent5 10" xfId="1160" xr:uid="{00000000-0005-0000-0000-000083040000}"/>
    <cellStyle name="40% - Accent5 10 2" xfId="1161" xr:uid="{00000000-0005-0000-0000-000084040000}"/>
    <cellStyle name="40% - Accent5 10 3" xfId="1162" xr:uid="{00000000-0005-0000-0000-000085040000}"/>
    <cellStyle name="40% - Accent5 11" xfId="1163" xr:uid="{00000000-0005-0000-0000-000086040000}"/>
    <cellStyle name="40% - Accent5 11 2" xfId="1164" xr:uid="{00000000-0005-0000-0000-000087040000}"/>
    <cellStyle name="40% - Accent5 11 3" xfId="1165" xr:uid="{00000000-0005-0000-0000-000088040000}"/>
    <cellStyle name="40% - Accent5 12" xfId="1166" xr:uid="{00000000-0005-0000-0000-000089040000}"/>
    <cellStyle name="40% - Accent5 12 2" xfId="1167" xr:uid="{00000000-0005-0000-0000-00008A040000}"/>
    <cellStyle name="40% - Accent5 12 3" xfId="1168" xr:uid="{00000000-0005-0000-0000-00008B040000}"/>
    <cellStyle name="40% - Accent5 13" xfId="1169" xr:uid="{00000000-0005-0000-0000-00008C040000}"/>
    <cellStyle name="40% - Accent5 13 2" xfId="1170" xr:uid="{00000000-0005-0000-0000-00008D040000}"/>
    <cellStyle name="40% - Accent5 13 3" xfId="1171" xr:uid="{00000000-0005-0000-0000-00008E040000}"/>
    <cellStyle name="40% - Accent5 14" xfId="1172" xr:uid="{00000000-0005-0000-0000-00008F040000}"/>
    <cellStyle name="40% - Accent5 14 2" xfId="1173" xr:uid="{00000000-0005-0000-0000-000090040000}"/>
    <cellStyle name="40% - Accent5 14 3" xfId="1174" xr:uid="{00000000-0005-0000-0000-000091040000}"/>
    <cellStyle name="40% - Accent5 15" xfId="1175" xr:uid="{00000000-0005-0000-0000-000092040000}"/>
    <cellStyle name="40% - Accent5 15 2" xfId="1176" xr:uid="{00000000-0005-0000-0000-000093040000}"/>
    <cellStyle name="40% - Accent5 15 3" xfId="1177" xr:uid="{00000000-0005-0000-0000-000094040000}"/>
    <cellStyle name="40% - Accent5 16" xfId="1178" xr:uid="{00000000-0005-0000-0000-000095040000}"/>
    <cellStyle name="40% - Accent5 17" xfId="1179" xr:uid="{00000000-0005-0000-0000-000096040000}"/>
    <cellStyle name="40% - Accent5 18" xfId="1180" xr:uid="{00000000-0005-0000-0000-000097040000}"/>
    <cellStyle name="40% - Accent5 19" xfId="1181" xr:uid="{00000000-0005-0000-0000-000098040000}"/>
    <cellStyle name="40% - Accent5 2" xfId="1182" xr:uid="{00000000-0005-0000-0000-000099040000}"/>
    <cellStyle name="40% - Accent5 2 10" xfId="1183" xr:uid="{00000000-0005-0000-0000-00009A040000}"/>
    <cellStyle name="40% - Accent5 2 11" xfId="1184" xr:uid="{00000000-0005-0000-0000-00009B040000}"/>
    <cellStyle name="40% - Accent5 2 12" xfId="1185" xr:uid="{00000000-0005-0000-0000-00009C040000}"/>
    <cellStyle name="40% - Accent5 2 13" xfId="1186" xr:uid="{00000000-0005-0000-0000-00009D040000}"/>
    <cellStyle name="40% - Accent5 2 14" xfId="1187" xr:uid="{00000000-0005-0000-0000-00009E040000}"/>
    <cellStyle name="40% - Accent5 2 15" xfId="1188" xr:uid="{00000000-0005-0000-0000-00009F040000}"/>
    <cellStyle name="40% - Accent5 2 2" xfId="1189" xr:uid="{00000000-0005-0000-0000-0000A0040000}"/>
    <cellStyle name="40% - Accent5 2 3" xfId="1190" xr:uid="{00000000-0005-0000-0000-0000A1040000}"/>
    <cellStyle name="40% - Accent5 2 4" xfId="1191" xr:uid="{00000000-0005-0000-0000-0000A2040000}"/>
    <cellStyle name="40% - Accent5 2 5" xfId="1192" xr:uid="{00000000-0005-0000-0000-0000A3040000}"/>
    <cellStyle name="40% - Accent5 2 6" xfId="1193" xr:uid="{00000000-0005-0000-0000-0000A4040000}"/>
    <cellStyle name="40% - Accent5 2 7" xfId="1194" xr:uid="{00000000-0005-0000-0000-0000A5040000}"/>
    <cellStyle name="40% - Accent5 2 8" xfId="1195" xr:uid="{00000000-0005-0000-0000-0000A6040000}"/>
    <cellStyle name="40% - Accent5 2 9" xfId="1196" xr:uid="{00000000-0005-0000-0000-0000A7040000}"/>
    <cellStyle name="40% - Accent5 2_Display" xfId="1197" xr:uid="{00000000-0005-0000-0000-0000A8040000}"/>
    <cellStyle name="40% - Accent5 20" xfId="4327" xr:uid="{00000000-0005-0000-0000-0000A9040000}"/>
    <cellStyle name="40% - Accent5 3" xfId="1198" xr:uid="{00000000-0005-0000-0000-0000AA040000}"/>
    <cellStyle name="40% - Accent5 3 2" xfId="1199" xr:uid="{00000000-0005-0000-0000-0000AB040000}"/>
    <cellStyle name="40% - Accent5 3 3" xfId="1200" xr:uid="{00000000-0005-0000-0000-0000AC040000}"/>
    <cellStyle name="40% - Accent5 3 4" xfId="1201" xr:uid="{00000000-0005-0000-0000-0000AD040000}"/>
    <cellStyle name="40% - Accent5 3 5" xfId="1202" xr:uid="{00000000-0005-0000-0000-0000AE040000}"/>
    <cellStyle name="40% - Accent5 3 5 2" xfId="1203" xr:uid="{00000000-0005-0000-0000-0000AF040000}"/>
    <cellStyle name="40% - Accent5 3 6" xfId="1204" xr:uid="{00000000-0005-0000-0000-0000B0040000}"/>
    <cellStyle name="40% - Accent5 3 7" xfId="1205" xr:uid="{00000000-0005-0000-0000-0000B1040000}"/>
    <cellStyle name="40% - Accent5 3 8" xfId="1206" xr:uid="{00000000-0005-0000-0000-0000B2040000}"/>
    <cellStyle name="40% - Accent5 3 9" xfId="1207" xr:uid="{00000000-0005-0000-0000-0000B3040000}"/>
    <cellStyle name="40% - Accent5 3_Display" xfId="1208" xr:uid="{00000000-0005-0000-0000-0000B4040000}"/>
    <cellStyle name="40% - Accent5 4" xfId="1209" xr:uid="{00000000-0005-0000-0000-0000B5040000}"/>
    <cellStyle name="40% - Accent5 4 2" xfId="1210" xr:uid="{00000000-0005-0000-0000-0000B6040000}"/>
    <cellStyle name="40% - Accent5 4_Display" xfId="1211" xr:uid="{00000000-0005-0000-0000-0000B7040000}"/>
    <cellStyle name="40% - Accent5 5" xfId="1212" xr:uid="{00000000-0005-0000-0000-0000B8040000}"/>
    <cellStyle name="40% - Accent5 5 2" xfId="1213" xr:uid="{00000000-0005-0000-0000-0000B9040000}"/>
    <cellStyle name="40% - Accent5 5_Display" xfId="1214" xr:uid="{00000000-0005-0000-0000-0000BA040000}"/>
    <cellStyle name="40% - Accent5 6" xfId="1215" xr:uid="{00000000-0005-0000-0000-0000BB040000}"/>
    <cellStyle name="40% - Accent5 6 2" xfId="1216" xr:uid="{00000000-0005-0000-0000-0000BC040000}"/>
    <cellStyle name="40% - Accent5 6_Display" xfId="1217" xr:uid="{00000000-0005-0000-0000-0000BD040000}"/>
    <cellStyle name="40% - Accent5 7" xfId="1218" xr:uid="{00000000-0005-0000-0000-0000BE040000}"/>
    <cellStyle name="40% - Accent5 8" xfId="1219" xr:uid="{00000000-0005-0000-0000-0000BF040000}"/>
    <cellStyle name="40% - Accent5 9" xfId="1220" xr:uid="{00000000-0005-0000-0000-0000C0040000}"/>
    <cellStyle name="40% - Accent5 9 2" xfId="1221" xr:uid="{00000000-0005-0000-0000-0000C1040000}"/>
    <cellStyle name="40% - Accent5 9 2 2" xfId="1222" xr:uid="{00000000-0005-0000-0000-0000C2040000}"/>
    <cellStyle name="40% - Accent5 9 3" xfId="1223" xr:uid="{00000000-0005-0000-0000-0000C3040000}"/>
    <cellStyle name="40% - Accent5 9 4" xfId="1224" xr:uid="{00000000-0005-0000-0000-0000C4040000}"/>
    <cellStyle name="40% - Accent5 9 5" xfId="1225" xr:uid="{00000000-0005-0000-0000-0000C5040000}"/>
    <cellStyle name="40% - Accent6 10" xfId="1226" xr:uid="{00000000-0005-0000-0000-0000C6040000}"/>
    <cellStyle name="40% - Accent6 10 2" xfId="1227" xr:uid="{00000000-0005-0000-0000-0000C7040000}"/>
    <cellStyle name="40% - Accent6 10 3" xfId="1228" xr:uid="{00000000-0005-0000-0000-0000C8040000}"/>
    <cellStyle name="40% - Accent6 11" xfId="1229" xr:uid="{00000000-0005-0000-0000-0000C9040000}"/>
    <cellStyle name="40% - Accent6 11 2" xfId="1230" xr:uid="{00000000-0005-0000-0000-0000CA040000}"/>
    <cellStyle name="40% - Accent6 11 3" xfId="1231" xr:uid="{00000000-0005-0000-0000-0000CB040000}"/>
    <cellStyle name="40% - Accent6 12" xfId="1232" xr:uid="{00000000-0005-0000-0000-0000CC040000}"/>
    <cellStyle name="40% - Accent6 12 2" xfId="1233" xr:uid="{00000000-0005-0000-0000-0000CD040000}"/>
    <cellStyle name="40% - Accent6 12 3" xfId="1234" xr:uid="{00000000-0005-0000-0000-0000CE040000}"/>
    <cellStyle name="40% - Accent6 13" xfId="1235" xr:uid="{00000000-0005-0000-0000-0000CF040000}"/>
    <cellStyle name="40% - Accent6 13 2" xfId="1236" xr:uid="{00000000-0005-0000-0000-0000D0040000}"/>
    <cellStyle name="40% - Accent6 13 3" xfId="1237" xr:uid="{00000000-0005-0000-0000-0000D1040000}"/>
    <cellStyle name="40% - Accent6 14" xfId="1238" xr:uid="{00000000-0005-0000-0000-0000D2040000}"/>
    <cellStyle name="40% - Accent6 14 2" xfId="1239" xr:uid="{00000000-0005-0000-0000-0000D3040000}"/>
    <cellStyle name="40% - Accent6 14 3" xfId="1240" xr:uid="{00000000-0005-0000-0000-0000D4040000}"/>
    <cellStyle name="40% - Accent6 15" xfId="1241" xr:uid="{00000000-0005-0000-0000-0000D5040000}"/>
    <cellStyle name="40% - Accent6 15 2" xfId="1242" xr:uid="{00000000-0005-0000-0000-0000D6040000}"/>
    <cellStyle name="40% - Accent6 15 3" xfId="1243" xr:uid="{00000000-0005-0000-0000-0000D7040000}"/>
    <cellStyle name="40% - Accent6 16" xfId="1244" xr:uid="{00000000-0005-0000-0000-0000D8040000}"/>
    <cellStyle name="40% - Accent6 17" xfId="1245" xr:uid="{00000000-0005-0000-0000-0000D9040000}"/>
    <cellStyle name="40% - Accent6 18" xfId="1246" xr:uid="{00000000-0005-0000-0000-0000DA040000}"/>
    <cellStyle name="40% - Accent6 19" xfId="1247" xr:uid="{00000000-0005-0000-0000-0000DB040000}"/>
    <cellStyle name="40% - Accent6 2" xfId="1248" xr:uid="{00000000-0005-0000-0000-0000DC040000}"/>
    <cellStyle name="40% - Accent6 2 10" xfId="1249" xr:uid="{00000000-0005-0000-0000-0000DD040000}"/>
    <cellStyle name="40% - Accent6 2 11" xfId="1250" xr:uid="{00000000-0005-0000-0000-0000DE040000}"/>
    <cellStyle name="40% - Accent6 2 12" xfId="1251" xr:uid="{00000000-0005-0000-0000-0000DF040000}"/>
    <cellStyle name="40% - Accent6 2 13" xfId="1252" xr:uid="{00000000-0005-0000-0000-0000E0040000}"/>
    <cellStyle name="40% - Accent6 2 14" xfId="1253" xr:uid="{00000000-0005-0000-0000-0000E1040000}"/>
    <cellStyle name="40% - Accent6 2 15" xfId="1254" xr:uid="{00000000-0005-0000-0000-0000E2040000}"/>
    <cellStyle name="40% - Accent6 2 2" xfId="1255" xr:uid="{00000000-0005-0000-0000-0000E3040000}"/>
    <cellStyle name="40% - Accent6 2 3" xfId="1256" xr:uid="{00000000-0005-0000-0000-0000E4040000}"/>
    <cellStyle name="40% - Accent6 2 4" xfId="1257" xr:uid="{00000000-0005-0000-0000-0000E5040000}"/>
    <cellStyle name="40% - Accent6 2 5" xfId="1258" xr:uid="{00000000-0005-0000-0000-0000E6040000}"/>
    <cellStyle name="40% - Accent6 2 6" xfId="1259" xr:uid="{00000000-0005-0000-0000-0000E7040000}"/>
    <cellStyle name="40% - Accent6 2 7" xfId="1260" xr:uid="{00000000-0005-0000-0000-0000E8040000}"/>
    <cellStyle name="40% - Accent6 2 8" xfId="1261" xr:uid="{00000000-0005-0000-0000-0000E9040000}"/>
    <cellStyle name="40% - Accent6 2 9" xfId="1262" xr:uid="{00000000-0005-0000-0000-0000EA040000}"/>
    <cellStyle name="40% - Accent6 2_Display" xfId="1263" xr:uid="{00000000-0005-0000-0000-0000EB040000}"/>
    <cellStyle name="40% - Accent6 20" xfId="4328" xr:uid="{00000000-0005-0000-0000-0000EC040000}"/>
    <cellStyle name="40% - Accent6 3" xfId="1264" xr:uid="{00000000-0005-0000-0000-0000ED040000}"/>
    <cellStyle name="40% - Accent6 3 2" xfId="1265" xr:uid="{00000000-0005-0000-0000-0000EE040000}"/>
    <cellStyle name="40% - Accent6 3 3" xfId="1266" xr:uid="{00000000-0005-0000-0000-0000EF040000}"/>
    <cellStyle name="40% - Accent6 3 4" xfId="1267" xr:uid="{00000000-0005-0000-0000-0000F0040000}"/>
    <cellStyle name="40% - Accent6 3 5" xfId="1268" xr:uid="{00000000-0005-0000-0000-0000F1040000}"/>
    <cellStyle name="40% - Accent6 3 5 2" xfId="1269" xr:uid="{00000000-0005-0000-0000-0000F2040000}"/>
    <cellStyle name="40% - Accent6 3 6" xfId="1270" xr:uid="{00000000-0005-0000-0000-0000F3040000}"/>
    <cellStyle name="40% - Accent6 3 7" xfId="1271" xr:uid="{00000000-0005-0000-0000-0000F4040000}"/>
    <cellStyle name="40% - Accent6 3 8" xfId="1272" xr:uid="{00000000-0005-0000-0000-0000F5040000}"/>
    <cellStyle name="40% - Accent6 3 9" xfId="1273" xr:uid="{00000000-0005-0000-0000-0000F6040000}"/>
    <cellStyle name="40% - Accent6 3_Display" xfId="1274" xr:uid="{00000000-0005-0000-0000-0000F7040000}"/>
    <cellStyle name="40% - Accent6 4" xfId="1275" xr:uid="{00000000-0005-0000-0000-0000F8040000}"/>
    <cellStyle name="40% - Accent6 4 2" xfId="1276" xr:uid="{00000000-0005-0000-0000-0000F9040000}"/>
    <cellStyle name="40% - Accent6 4_Display" xfId="1277" xr:uid="{00000000-0005-0000-0000-0000FA040000}"/>
    <cellStyle name="40% - Accent6 5" xfId="1278" xr:uid="{00000000-0005-0000-0000-0000FB040000}"/>
    <cellStyle name="40% - Accent6 5 2" xfId="1279" xr:uid="{00000000-0005-0000-0000-0000FC040000}"/>
    <cellStyle name="40% - Accent6 5_Display" xfId="1280" xr:uid="{00000000-0005-0000-0000-0000FD040000}"/>
    <cellStyle name="40% - Accent6 6" xfId="1281" xr:uid="{00000000-0005-0000-0000-0000FE040000}"/>
    <cellStyle name="40% - Accent6 6 2" xfId="1282" xr:uid="{00000000-0005-0000-0000-0000FF040000}"/>
    <cellStyle name="40% - Accent6 6_Display" xfId="1283" xr:uid="{00000000-0005-0000-0000-000000050000}"/>
    <cellStyle name="40% - Accent6 7" xfId="1284" xr:uid="{00000000-0005-0000-0000-000001050000}"/>
    <cellStyle name="40% - Accent6 8" xfId="1285" xr:uid="{00000000-0005-0000-0000-000002050000}"/>
    <cellStyle name="40% - Accent6 9" xfId="1286" xr:uid="{00000000-0005-0000-0000-000003050000}"/>
    <cellStyle name="40% - Accent6 9 2" xfId="1287" xr:uid="{00000000-0005-0000-0000-000004050000}"/>
    <cellStyle name="40% - Accent6 9 2 2" xfId="1288" xr:uid="{00000000-0005-0000-0000-000005050000}"/>
    <cellStyle name="40% - Accent6 9 3" xfId="1289" xr:uid="{00000000-0005-0000-0000-000006050000}"/>
    <cellStyle name="40% - Accent6 9 4" xfId="1290" xr:uid="{00000000-0005-0000-0000-000007050000}"/>
    <cellStyle name="40% - Accent6 9 5" xfId="1291" xr:uid="{00000000-0005-0000-0000-000008050000}"/>
    <cellStyle name="40% - 强调文字颜色 1" xfId="1292" xr:uid="{00000000-0005-0000-0000-000009050000}"/>
    <cellStyle name="40% - 强调文字颜色 2" xfId="1293" xr:uid="{00000000-0005-0000-0000-00000A050000}"/>
    <cellStyle name="40% - 强调文字颜色 3" xfId="1294" xr:uid="{00000000-0005-0000-0000-00000B050000}"/>
    <cellStyle name="40% - 强调文字颜色 4" xfId="1295" xr:uid="{00000000-0005-0000-0000-00000C050000}"/>
    <cellStyle name="40% - 强调文字颜色 5" xfId="1296" xr:uid="{00000000-0005-0000-0000-00000D050000}"/>
    <cellStyle name="40% - 强调文字颜色 6" xfId="1297" xr:uid="{00000000-0005-0000-0000-00000E050000}"/>
    <cellStyle name="40% - 輔色1" xfId="1298" xr:uid="{00000000-0005-0000-0000-00000F050000}"/>
    <cellStyle name="40% - 輔色2" xfId="1299" xr:uid="{00000000-0005-0000-0000-000010050000}"/>
    <cellStyle name="40% - 輔色3" xfId="1300" xr:uid="{00000000-0005-0000-0000-000011050000}"/>
    <cellStyle name="40% - 輔色4" xfId="1301" xr:uid="{00000000-0005-0000-0000-000012050000}"/>
    <cellStyle name="40% - 輔色5" xfId="1302" xr:uid="{00000000-0005-0000-0000-000013050000}"/>
    <cellStyle name="40% - 輔色6" xfId="1303" xr:uid="{00000000-0005-0000-0000-000014050000}"/>
    <cellStyle name="60% - Accent1 10" xfId="1304" xr:uid="{00000000-0005-0000-0000-000015050000}"/>
    <cellStyle name="60% - Accent1 10 2" xfId="1305" xr:uid="{00000000-0005-0000-0000-000016050000}"/>
    <cellStyle name="60% - Accent1 10 3" xfId="1306" xr:uid="{00000000-0005-0000-0000-000017050000}"/>
    <cellStyle name="60% - Accent1 11" xfId="1307" xr:uid="{00000000-0005-0000-0000-000018050000}"/>
    <cellStyle name="60% - Accent1 11 2" xfId="1308" xr:uid="{00000000-0005-0000-0000-000019050000}"/>
    <cellStyle name="60% - Accent1 11 3" xfId="1309" xr:uid="{00000000-0005-0000-0000-00001A050000}"/>
    <cellStyle name="60% - Accent1 12" xfId="1310" xr:uid="{00000000-0005-0000-0000-00001B050000}"/>
    <cellStyle name="60% - Accent1 12 2" xfId="1311" xr:uid="{00000000-0005-0000-0000-00001C050000}"/>
    <cellStyle name="60% - Accent1 12 3" xfId="1312" xr:uid="{00000000-0005-0000-0000-00001D050000}"/>
    <cellStyle name="60% - Accent1 13" xfId="1313" xr:uid="{00000000-0005-0000-0000-00001E050000}"/>
    <cellStyle name="60% - Accent1 13 2" xfId="1314" xr:uid="{00000000-0005-0000-0000-00001F050000}"/>
    <cellStyle name="60% - Accent1 13 3" xfId="1315" xr:uid="{00000000-0005-0000-0000-000020050000}"/>
    <cellStyle name="60% - Accent1 14" xfId="1316" xr:uid="{00000000-0005-0000-0000-000021050000}"/>
    <cellStyle name="60% - Accent1 14 2" xfId="1317" xr:uid="{00000000-0005-0000-0000-000022050000}"/>
    <cellStyle name="60% - Accent1 14 3" xfId="1318" xr:uid="{00000000-0005-0000-0000-000023050000}"/>
    <cellStyle name="60% - Accent1 15" xfId="1319" xr:uid="{00000000-0005-0000-0000-000024050000}"/>
    <cellStyle name="60% - Accent1 15 2" xfId="1320" xr:uid="{00000000-0005-0000-0000-000025050000}"/>
    <cellStyle name="60% - Accent1 15 3" xfId="1321" xr:uid="{00000000-0005-0000-0000-000026050000}"/>
    <cellStyle name="60% - Accent1 16" xfId="1322" xr:uid="{00000000-0005-0000-0000-000027050000}"/>
    <cellStyle name="60% - Accent1 17" xfId="1323" xr:uid="{00000000-0005-0000-0000-000028050000}"/>
    <cellStyle name="60% - Accent1 18" xfId="1324" xr:uid="{00000000-0005-0000-0000-000029050000}"/>
    <cellStyle name="60% - Accent1 19" xfId="1325" xr:uid="{00000000-0005-0000-0000-00002A050000}"/>
    <cellStyle name="60% - Accent1 2" xfId="1326" xr:uid="{00000000-0005-0000-0000-00002B050000}"/>
    <cellStyle name="60% - Accent1 2 10" xfId="1327" xr:uid="{00000000-0005-0000-0000-00002C050000}"/>
    <cellStyle name="60% - Accent1 2 11" xfId="1328" xr:uid="{00000000-0005-0000-0000-00002D050000}"/>
    <cellStyle name="60% - Accent1 2 12" xfId="1329" xr:uid="{00000000-0005-0000-0000-00002E050000}"/>
    <cellStyle name="60% - Accent1 2 13" xfId="1330" xr:uid="{00000000-0005-0000-0000-00002F050000}"/>
    <cellStyle name="60% - Accent1 2 14" xfId="1331" xr:uid="{00000000-0005-0000-0000-000030050000}"/>
    <cellStyle name="60% - Accent1 2 15" xfId="1332" xr:uid="{00000000-0005-0000-0000-000031050000}"/>
    <cellStyle name="60% - Accent1 2 2" xfId="1333" xr:uid="{00000000-0005-0000-0000-000032050000}"/>
    <cellStyle name="60% - Accent1 2 3" xfId="1334" xr:uid="{00000000-0005-0000-0000-000033050000}"/>
    <cellStyle name="60% - Accent1 2 4" xfId="1335" xr:uid="{00000000-0005-0000-0000-000034050000}"/>
    <cellStyle name="60% - Accent1 2 5" xfId="1336" xr:uid="{00000000-0005-0000-0000-000035050000}"/>
    <cellStyle name="60% - Accent1 2 6" xfId="1337" xr:uid="{00000000-0005-0000-0000-000036050000}"/>
    <cellStyle name="60% - Accent1 2 7" xfId="1338" xr:uid="{00000000-0005-0000-0000-000037050000}"/>
    <cellStyle name="60% - Accent1 2 8" xfId="1339" xr:uid="{00000000-0005-0000-0000-000038050000}"/>
    <cellStyle name="60% - Accent1 2 9" xfId="1340" xr:uid="{00000000-0005-0000-0000-000039050000}"/>
    <cellStyle name="60% - Accent1 20" xfId="4329" xr:uid="{00000000-0005-0000-0000-00003A050000}"/>
    <cellStyle name="60% - Accent1 3" xfId="1341" xr:uid="{00000000-0005-0000-0000-00003B050000}"/>
    <cellStyle name="60% - Accent1 3 2" xfId="1342" xr:uid="{00000000-0005-0000-0000-00003C050000}"/>
    <cellStyle name="60% - Accent1 3 3" xfId="1343" xr:uid="{00000000-0005-0000-0000-00003D050000}"/>
    <cellStyle name="60% - Accent1 3 4" xfId="1344" xr:uid="{00000000-0005-0000-0000-00003E050000}"/>
    <cellStyle name="60% - Accent1 3 5" xfId="1345" xr:uid="{00000000-0005-0000-0000-00003F050000}"/>
    <cellStyle name="60% - Accent1 3 5 2" xfId="1346" xr:uid="{00000000-0005-0000-0000-000040050000}"/>
    <cellStyle name="60% - Accent1 3 6" xfId="1347" xr:uid="{00000000-0005-0000-0000-000041050000}"/>
    <cellStyle name="60% - Accent1 3 7" xfId="1348" xr:uid="{00000000-0005-0000-0000-000042050000}"/>
    <cellStyle name="60% - Accent1 3 8" xfId="1349" xr:uid="{00000000-0005-0000-0000-000043050000}"/>
    <cellStyle name="60% - Accent1 3 9" xfId="1350" xr:uid="{00000000-0005-0000-0000-000044050000}"/>
    <cellStyle name="60% - Accent1 4" xfId="1351" xr:uid="{00000000-0005-0000-0000-000045050000}"/>
    <cellStyle name="60% - Accent1 4 2" xfId="1352" xr:uid="{00000000-0005-0000-0000-000046050000}"/>
    <cellStyle name="60% - Accent1 5" xfId="1353" xr:uid="{00000000-0005-0000-0000-000047050000}"/>
    <cellStyle name="60% - Accent1 5 2" xfId="1354" xr:uid="{00000000-0005-0000-0000-000048050000}"/>
    <cellStyle name="60% - Accent1 6" xfId="1355" xr:uid="{00000000-0005-0000-0000-000049050000}"/>
    <cellStyle name="60% - Accent1 6 2" xfId="1356" xr:uid="{00000000-0005-0000-0000-00004A050000}"/>
    <cellStyle name="60% - Accent1 7" xfId="1357" xr:uid="{00000000-0005-0000-0000-00004B050000}"/>
    <cellStyle name="60% - Accent1 8" xfId="1358" xr:uid="{00000000-0005-0000-0000-00004C050000}"/>
    <cellStyle name="60% - Accent1 9" xfId="1359" xr:uid="{00000000-0005-0000-0000-00004D050000}"/>
    <cellStyle name="60% - Accent1 9 2" xfId="1360" xr:uid="{00000000-0005-0000-0000-00004E050000}"/>
    <cellStyle name="60% - Accent1 9 2 2" xfId="1361" xr:uid="{00000000-0005-0000-0000-00004F050000}"/>
    <cellStyle name="60% - Accent1 9 3" xfId="1362" xr:uid="{00000000-0005-0000-0000-000050050000}"/>
    <cellStyle name="60% - Accent1 9 4" xfId="1363" xr:uid="{00000000-0005-0000-0000-000051050000}"/>
    <cellStyle name="60% - Accent1 9 5" xfId="1364" xr:uid="{00000000-0005-0000-0000-000052050000}"/>
    <cellStyle name="60% - Accent2 10" xfId="1365" xr:uid="{00000000-0005-0000-0000-000053050000}"/>
    <cellStyle name="60% - Accent2 10 2" xfId="1366" xr:uid="{00000000-0005-0000-0000-000054050000}"/>
    <cellStyle name="60% - Accent2 10 3" xfId="1367" xr:uid="{00000000-0005-0000-0000-000055050000}"/>
    <cellStyle name="60% - Accent2 11" xfId="1368" xr:uid="{00000000-0005-0000-0000-000056050000}"/>
    <cellStyle name="60% - Accent2 11 2" xfId="1369" xr:uid="{00000000-0005-0000-0000-000057050000}"/>
    <cellStyle name="60% - Accent2 11 3" xfId="1370" xr:uid="{00000000-0005-0000-0000-000058050000}"/>
    <cellStyle name="60% - Accent2 12" xfId="1371" xr:uid="{00000000-0005-0000-0000-000059050000}"/>
    <cellStyle name="60% - Accent2 12 2" xfId="1372" xr:uid="{00000000-0005-0000-0000-00005A050000}"/>
    <cellStyle name="60% - Accent2 12 3" xfId="1373" xr:uid="{00000000-0005-0000-0000-00005B050000}"/>
    <cellStyle name="60% - Accent2 13" xfId="1374" xr:uid="{00000000-0005-0000-0000-00005C050000}"/>
    <cellStyle name="60% - Accent2 13 2" xfId="1375" xr:uid="{00000000-0005-0000-0000-00005D050000}"/>
    <cellStyle name="60% - Accent2 13 3" xfId="1376" xr:uid="{00000000-0005-0000-0000-00005E050000}"/>
    <cellStyle name="60% - Accent2 14" xfId="1377" xr:uid="{00000000-0005-0000-0000-00005F050000}"/>
    <cellStyle name="60% - Accent2 14 2" xfId="1378" xr:uid="{00000000-0005-0000-0000-000060050000}"/>
    <cellStyle name="60% - Accent2 14 3" xfId="1379" xr:uid="{00000000-0005-0000-0000-000061050000}"/>
    <cellStyle name="60% - Accent2 15" xfId="1380" xr:uid="{00000000-0005-0000-0000-000062050000}"/>
    <cellStyle name="60% - Accent2 15 2" xfId="1381" xr:uid="{00000000-0005-0000-0000-000063050000}"/>
    <cellStyle name="60% - Accent2 15 3" xfId="1382" xr:uid="{00000000-0005-0000-0000-000064050000}"/>
    <cellStyle name="60% - Accent2 16" xfId="1383" xr:uid="{00000000-0005-0000-0000-000065050000}"/>
    <cellStyle name="60% - Accent2 17" xfId="1384" xr:uid="{00000000-0005-0000-0000-000066050000}"/>
    <cellStyle name="60% - Accent2 18" xfId="1385" xr:uid="{00000000-0005-0000-0000-000067050000}"/>
    <cellStyle name="60% - Accent2 19" xfId="1386" xr:uid="{00000000-0005-0000-0000-000068050000}"/>
    <cellStyle name="60% - Accent2 2" xfId="1387" xr:uid="{00000000-0005-0000-0000-000069050000}"/>
    <cellStyle name="60% - Accent2 2 10" xfId="1388" xr:uid="{00000000-0005-0000-0000-00006A050000}"/>
    <cellStyle name="60% - Accent2 2 11" xfId="1389" xr:uid="{00000000-0005-0000-0000-00006B050000}"/>
    <cellStyle name="60% - Accent2 2 12" xfId="1390" xr:uid="{00000000-0005-0000-0000-00006C050000}"/>
    <cellStyle name="60% - Accent2 2 13" xfId="1391" xr:uid="{00000000-0005-0000-0000-00006D050000}"/>
    <cellStyle name="60% - Accent2 2 14" xfId="1392" xr:uid="{00000000-0005-0000-0000-00006E050000}"/>
    <cellStyle name="60% - Accent2 2 15" xfId="1393" xr:uid="{00000000-0005-0000-0000-00006F050000}"/>
    <cellStyle name="60% - Accent2 2 2" xfId="1394" xr:uid="{00000000-0005-0000-0000-000070050000}"/>
    <cellStyle name="60% - Accent2 2 3" xfId="1395" xr:uid="{00000000-0005-0000-0000-000071050000}"/>
    <cellStyle name="60% - Accent2 2 4" xfId="1396" xr:uid="{00000000-0005-0000-0000-000072050000}"/>
    <cellStyle name="60% - Accent2 2 5" xfId="1397" xr:uid="{00000000-0005-0000-0000-000073050000}"/>
    <cellStyle name="60% - Accent2 2 6" xfId="1398" xr:uid="{00000000-0005-0000-0000-000074050000}"/>
    <cellStyle name="60% - Accent2 2 7" xfId="1399" xr:uid="{00000000-0005-0000-0000-000075050000}"/>
    <cellStyle name="60% - Accent2 2 8" xfId="1400" xr:uid="{00000000-0005-0000-0000-000076050000}"/>
    <cellStyle name="60% - Accent2 2 9" xfId="1401" xr:uid="{00000000-0005-0000-0000-000077050000}"/>
    <cellStyle name="60% - Accent2 20" xfId="4330" xr:uid="{00000000-0005-0000-0000-000078050000}"/>
    <cellStyle name="60% - Accent2 3" xfId="1402" xr:uid="{00000000-0005-0000-0000-000079050000}"/>
    <cellStyle name="60% - Accent2 3 2" xfId="1403" xr:uid="{00000000-0005-0000-0000-00007A050000}"/>
    <cellStyle name="60% - Accent2 3 3" xfId="1404" xr:uid="{00000000-0005-0000-0000-00007B050000}"/>
    <cellStyle name="60% - Accent2 3 4" xfId="1405" xr:uid="{00000000-0005-0000-0000-00007C050000}"/>
    <cellStyle name="60% - Accent2 3 5" xfId="1406" xr:uid="{00000000-0005-0000-0000-00007D050000}"/>
    <cellStyle name="60% - Accent2 3 6" xfId="1407" xr:uid="{00000000-0005-0000-0000-00007E050000}"/>
    <cellStyle name="60% - Accent2 3 7" xfId="1408" xr:uid="{00000000-0005-0000-0000-00007F050000}"/>
    <cellStyle name="60% - Accent2 3 8" xfId="1409" xr:uid="{00000000-0005-0000-0000-000080050000}"/>
    <cellStyle name="60% - Accent2 4" xfId="1410" xr:uid="{00000000-0005-0000-0000-000081050000}"/>
    <cellStyle name="60% - Accent2 4 2" xfId="1411" xr:uid="{00000000-0005-0000-0000-000082050000}"/>
    <cellStyle name="60% - Accent2 5" xfId="1412" xr:uid="{00000000-0005-0000-0000-000083050000}"/>
    <cellStyle name="60% - Accent2 5 2" xfId="1413" xr:uid="{00000000-0005-0000-0000-000084050000}"/>
    <cellStyle name="60% - Accent2 6" xfId="1414" xr:uid="{00000000-0005-0000-0000-000085050000}"/>
    <cellStyle name="60% - Accent2 6 2" xfId="1415" xr:uid="{00000000-0005-0000-0000-000086050000}"/>
    <cellStyle name="60% - Accent2 7" xfId="1416" xr:uid="{00000000-0005-0000-0000-000087050000}"/>
    <cellStyle name="60% - Accent2 8" xfId="1417" xr:uid="{00000000-0005-0000-0000-000088050000}"/>
    <cellStyle name="60% - Accent2 9" xfId="1418" xr:uid="{00000000-0005-0000-0000-000089050000}"/>
    <cellStyle name="60% - Accent2 9 2" xfId="1419" xr:uid="{00000000-0005-0000-0000-00008A050000}"/>
    <cellStyle name="60% - Accent2 9 3" xfId="1420" xr:uid="{00000000-0005-0000-0000-00008B050000}"/>
    <cellStyle name="60% - Accent2 9 4" xfId="1421" xr:uid="{00000000-0005-0000-0000-00008C050000}"/>
    <cellStyle name="60% - Accent3 10" xfId="1422" xr:uid="{00000000-0005-0000-0000-00008D050000}"/>
    <cellStyle name="60% - Accent3 10 2" xfId="1423" xr:uid="{00000000-0005-0000-0000-00008E050000}"/>
    <cellStyle name="60% - Accent3 10 3" xfId="1424" xr:uid="{00000000-0005-0000-0000-00008F050000}"/>
    <cellStyle name="60% - Accent3 11" xfId="1425" xr:uid="{00000000-0005-0000-0000-000090050000}"/>
    <cellStyle name="60% - Accent3 11 2" xfId="1426" xr:uid="{00000000-0005-0000-0000-000091050000}"/>
    <cellStyle name="60% - Accent3 11 3" xfId="1427" xr:uid="{00000000-0005-0000-0000-000092050000}"/>
    <cellStyle name="60% - Accent3 12" xfId="1428" xr:uid="{00000000-0005-0000-0000-000093050000}"/>
    <cellStyle name="60% - Accent3 12 2" xfId="1429" xr:uid="{00000000-0005-0000-0000-000094050000}"/>
    <cellStyle name="60% - Accent3 12 3" xfId="1430" xr:uid="{00000000-0005-0000-0000-000095050000}"/>
    <cellStyle name="60% - Accent3 13" xfId="1431" xr:uid="{00000000-0005-0000-0000-000096050000}"/>
    <cellStyle name="60% - Accent3 13 2" xfId="1432" xr:uid="{00000000-0005-0000-0000-000097050000}"/>
    <cellStyle name="60% - Accent3 13 3" xfId="1433" xr:uid="{00000000-0005-0000-0000-000098050000}"/>
    <cellStyle name="60% - Accent3 14" xfId="1434" xr:uid="{00000000-0005-0000-0000-000099050000}"/>
    <cellStyle name="60% - Accent3 14 2" xfId="1435" xr:uid="{00000000-0005-0000-0000-00009A050000}"/>
    <cellStyle name="60% - Accent3 14 3" xfId="1436" xr:uid="{00000000-0005-0000-0000-00009B050000}"/>
    <cellStyle name="60% - Accent3 15" xfId="1437" xr:uid="{00000000-0005-0000-0000-00009C050000}"/>
    <cellStyle name="60% - Accent3 15 2" xfId="1438" xr:uid="{00000000-0005-0000-0000-00009D050000}"/>
    <cellStyle name="60% - Accent3 15 3" xfId="1439" xr:uid="{00000000-0005-0000-0000-00009E050000}"/>
    <cellStyle name="60% - Accent3 16" xfId="1440" xr:uid="{00000000-0005-0000-0000-00009F050000}"/>
    <cellStyle name="60% - Accent3 17" xfId="1441" xr:uid="{00000000-0005-0000-0000-0000A0050000}"/>
    <cellStyle name="60% - Accent3 18" xfId="1442" xr:uid="{00000000-0005-0000-0000-0000A1050000}"/>
    <cellStyle name="60% - Accent3 19" xfId="1443" xr:uid="{00000000-0005-0000-0000-0000A2050000}"/>
    <cellStyle name="60% - Accent3 2" xfId="1444" xr:uid="{00000000-0005-0000-0000-0000A3050000}"/>
    <cellStyle name="60% - Accent3 2 10" xfId="1445" xr:uid="{00000000-0005-0000-0000-0000A4050000}"/>
    <cellStyle name="60% - Accent3 2 11" xfId="1446" xr:uid="{00000000-0005-0000-0000-0000A5050000}"/>
    <cellStyle name="60% - Accent3 2 12" xfId="1447" xr:uid="{00000000-0005-0000-0000-0000A6050000}"/>
    <cellStyle name="60% - Accent3 2 13" xfId="1448" xr:uid="{00000000-0005-0000-0000-0000A7050000}"/>
    <cellStyle name="60% - Accent3 2 14" xfId="1449" xr:uid="{00000000-0005-0000-0000-0000A8050000}"/>
    <cellStyle name="60% - Accent3 2 15" xfId="1450" xr:uid="{00000000-0005-0000-0000-0000A9050000}"/>
    <cellStyle name="60% - Accent3 2 2" xfId="1451" xr:uid="{00000000-0005-0000-0000-0000AA050000}"/>
    <cellStyle name="60% - Accent3 2 3" xfId="1452" xr:uid="{00000000-0005-0000-0000-0000AB050000}"/>
    <cellStyle name="60% - Accent3 2 4" xfId="1453" xr:uid="{00000000-0005-0000-0000-0000AC050000}"/>
    <cellStyle name="60% - Accent3 2 5" xfId="1454" xr:uid="{00000000-0005-0000-0000-0000AD050000}"/>
    <cellStyle name="60% - Accent3 2 6" xfId="1455" xr:uid="{00000000-0005-0000-0000-0000AE050000}"/>
    <cellStyle name="60% - Accent3 2 7" xfId="1456" xr:uid="{00000000-0005-0000-0000-0000AF050000}"/>
    <cellStyle name="60% - Accent3 2 8" xfId="1457" xr:uid="{00000000-0005-0000-0000-0000B0050000}"/>
    <cellStyle name="60% - Accent3 2 9" xfId="1458" xr:uid="{00000000-0005-0000-0000-0000B1050000}"/>
    <cellStyle name="60% - Accent3 20" xfId="4331" xr:uid="{00000000-0005-0000-0000-0000B2050000}"/>
    <cellStyle name="60% - Accent3 3" xfId="1459" xr:uid="{00000000-0005-0000-0000-0000B3050000}"/>
    <cellStyle name="60% - Accent3 3 2" xfId="1460" xr:uid="{00000000-0005-0000-0000-0000B4050000}"/>
    <cellStyle name="60% - Accent3 3 3" xfId="1461" xr:uid="{00000000-0005-0000-0000-0000B5050000}"/>
    <cellStyle name="60% - Accent3 3 4" xfId="1462" xr:uid="{00000000-0005-0000-0000-0000B6050000}"/>
    <cellStyle name="60% - Accent3 3 5" xfId="1463" xr:uid="{00000000-0005-0000-0000-0000B7050000}"/>
    <cellStyle name="60% - Accent3 3 5 2" xfId="1464" xr:uid="{00000000-0005-0000-0000-0000B8050000}"/>
    <cellStyle name="60% - Accent3 3 6" xfId="1465" xr:uid="{00000000-0005-0000-0000-0000B9050000}"/>
    <cellStyle name="60% - Accent3 3 7" xfId="1466" xr:uid="{00000000-0005-0000-0000-0000BA050000}"/>
    <cellStyle name="60% - Accent3 3 8" xfId="1467" xr:uid="{00000000-0005-0000-0000-0000BB050000}"/>
    <cellStyle name="60% - Accent3 3 9" xfId="1468" xr:uid="{00000000-0005-0000-0000-0000BC050000}"/>
    <cellStyle name="60% - Accent3 4" xfId="1469" xr:uid="{00000000-0005-0000-0000-0000BD050000}"/>
    <cellStyle name="60% - Accent3 4 2" xfId="1470" xr:uid="{00000000-0005-0000-0000-0000BE050000}"/>
    <cellStyle name="60% - Accent3 5" xfId="1471" xr:uid="{00000000-0005-0000-0000-0000BF050000}"/>
    <cellStyle name="60% - Accent3 5 2" xfId="1472" xr:uid="{00000000-0005-0000-0000-0000C0050000}"/>
    <cellStyle name="60% - Accent3 6" xfId="1473" xr:uid="{00000000-0005-0000-0000-0000C1050000}"/>
    <cellStyle name="60% - Accent3 6 2" xfId="1474" xr:uid="{00000000-0005-0000-0000-0000C2050000}"/>
    <cellStyle name="60% - Accent3 7" xfId="1475" xr:uid="{00000000-0005-0000-0000-0000C3050000}"/>
    <cellStyle name="60% - Accent3 8" xfId="1476" xr:uid="{00000000-0005-0000-0000-0000C4050000}"/>
    <cellStyle name="60% - Accent3 9" xfId="1477" xr:uid="{00000000-0005-0000-0000-0000C5050000}"/>
    <cellStyle name="60% - Accent3 9 2" xfId="1478" xr:uid="{00000000-0005-0000-0000-0000C6050000}"/>
    <cellStyle name="60% - Accent3 9 2 2" xfId="1479" xr:uid="{00000000-0005-0000-0000-0000C7050000}"/>
    <cellStyle name="60% - Accent3 9 3" xfId="1480" xr:uid="{00000000-0005-0000-0000-0000C8050000}"/>
    <cellStyle name="60% - Accent3 9 4" xfId="1481" xr:uid="{00000000-0005-0000-0000-0000C9050000}"/>
    <cellStyle name="60% - Accent3 9 5" xfId="1482" xr:uid="{00000000-0005-0000-0000-0000CA050000}"/>
    <cellStyle name="60% - Accent4 10" xfId="1483" xr:uid="{00000000-0005-0000-0000-0000CB050000}"/>
    <cellStyle name="60% - Accent4 10 2" xfId="1484" xr:uid="{00000000-0005-0000-0000-0000CC050000}"/>
    <cellStyle name="60% - Accent4 10 3" xfId="1485" xr:uid="{00000000-0005-0000-0000-0000CD050000}"/>
    <cellStyle name="60% - Accent4 11" xfId="1486" xr:uid="{00000000-0005-0000-0000-0000CE050000}"/>
    <cellStyle name="60% - Accent4 11 2" xfId="1487" xr:uid="{00000000-0005-0000-0000-0000CF050000}"/>
    <cellStyle name="60% - Accent4 11 3" xfId="1488" xr:uid="{00000000-0005-0000-0000-0000D0050000}"/>
    <cellStyle name="60% - Accent4 12" xfId="1489" xr:uid="{00000000-0005-0000-0000-0000D1050000}"/>
    <cellStyle name="60% - Accent4 12 2" xfId="1490" xr:uid="{00000000-0005-0000-0000-0000D2050000}"/>
    <cellStyle name="60% - Accent4 12 3" xfId="1491" xr:uid="{00000000-0005-0000-0000-0000D3050000}"/>
    <cellStyle name="60% - Accent4 13" xfId="1492" xr:uid="{00000000-0005-0000-0000-0000D4050000}"/>
    <cellStyle name="60% - Accent4 13 2" xfId="1493" xr:uid="{00000000-0005-0000-0000-0000D5050000}"/>
    <cellStyle name="60% - Accent4 13 3" xfId="1494" xr:uid="{00000000-0005-0000-0000-0000D6050000}"/>
    <cellStyle name="60% - Accent4 14" xfId="1495" xr:uid="{00000000-0005-0000-0000-0000D7050000}"/>
    <cellStyle name="60% - Accent4 14 2" xfId="1496" xr:uid="{00000000-0005-0000-0000-0000D8050000}"/>
    <cellStyle name="60% - Accent4 14 3" xfId="1497" xr:uid="{00000000-0005-0000-0000-0000D9050000}"/>
    <cellStyle name="60% - Accent4 15" xfId="1498" xr:uid="{00000000-0005-0000-0000-0000DA050000}"/>
    <cellStyle name="60% - Accent4 15 2" xfId="1499" xr:uid="{00000000-0005-0000-0000-0000DB050000}"/>
    <cellStyle name="60% - Accent4 15 3" xfId="1500" xr:uid="{00000000-0005-0000-0000-0000DC050000}"/>
    <cellStyle name="60% - Accent4 16" xfId="1501" xr:uid="{00000000-0005-0000-0000-0000DD050000}"/>
    <cellStyle name="60% - Accent4 17" xfId="1502" xr:uid="{00000000-0005-0000-0000-0000DE050000}"/>
    <cellStyle name="60% - Accent4 18" xfId="1503" xr:uid="{00000000-0005-0000-0000-0000DF050000}"/>
    <cellStyle name="60% - Accent4 19" xfId="1504" xr:uid="{00000000-0005-0000-0000-0000E0050000}"/>
    <cellStyle name="60% - Accent4 2" xfId="1505" xr:uid="{00000000-0005-0000-0000-0000E1050000}"/>
    <cellStyle name="60% - Accent4 2 10" xfId="1506" xr:uid="{00000000-0005-0000-0000-0000E2050000}"/>
    <cellStyle name="60% - Accent4 2 11" xfId="1507" xr:uid="{00000000-0005-0000-0000-0000E3050000}"/>
    <cellStyle name="60% - Accent4 2 12" xfId="1508" xr:uid="{00000000-0005-0000-0000-0000E4050000}"/>
    <cellStyle name="60% - Accent4 2 13" xfId="1509" xr:uid="{00000000-0005-0000-0000-0000E5050000}"/>
    <cellStyle name="60% - Accent4 2 14" xfId="1510" xr:uid="{00000000-0005-0000-0000-0000E6050000}"/>
    <cellStyle name="60% - Accent4 2 15" xfId="1511" xr:uid="{00000000-0005-0000-0000-0000E7050000}"/>
    <cellStyle name="60% - Accent4 2 2" xfId="1512" xr:uid="{00000000-0005-0000-0000-0000E8050000}"/>
    <cellStyle name="60% - Accent4 2 3" xfId="1513" xr:uid="{00000000-0005-0000-0000-0000E9050000}"/>
    <cellStyle name="60% - Accent4 2 4" xfId="1514" xr:uid="{00000000-0005-0000-0000-0000EA050000}"/>
    <cellStyle name="60% - Accent4 2 5" xfId="1515" xr:uid="{00000000-0005-0000-0000-0000EB050000}"/>
    <cellStyle name="60% - Accent4 2 6" xfId="1516" xr:uid="{00000000-0005-0000-0000-0000EC050000}"/>
    <cellStyle name="60% - Accent4 2 7" xfId="1517" xr:uid="{00000000-0005-0000-0000-0000ED050000}"/>
    <cellStyle name="60% - Accent4 2 8" xfId="1518" xr:uid="{00000000-0005-0000-0000-0000EE050000}"/>
    <cellStyle name="60% - Accent4 2 9" xfId="1519" xr:uid="{00000000-0005-0000-0000-0000EF050000}"/>
    <cellStyle name="60% - Accent4 20" xfId="4332" xr:uid="{00000000-0005-0000-0000-0000F0050000}"/>
    <cellStyle name="60% - Accent4 3" xfId="1520" xr:uid="{00000000-0005-0000-0000-0000F1050000}"/>
    <cellStyle name="60% - Accent4 3 2" xfId="1521" xr:uid="{00000000-0005-0000-0000-0000F2050000}"/>
    <cellStyle name="60% - Accent4 3 3" xfId="1522" xr:uid="{00000000-0005-0000-0000-0000F3050000}"/>
    <cellStyle name="60% - Accent4 3 4" xfId="1523" xr:uid="{00000000-0005-0000-0000-0000F4050000}"/>
    <cellStyle name="60% - Accent4 3 5" xfId="1524" xr:uid="{00000000-0005-0000-0000-0000F5050000}"/>
    <cellStyle name="60% - Accent4 3 5 2" xfId="1525" xr:uid="{00000000-0005-0000-0000-0000F6050000}"/>
    <cellStyle name="60% - Accent4 3 6" xfId="1526" xr:uid="{00000000-0005-0000-0000-0000F7050000}"/>
    <cellStyle name="60% - Accent4 3 7" xfId="1527" xr:uid="{00000000-0005-0000-0000-0000F8050000}"/>
    <cellStyle name="60% - Accent4 3 8" xfId="1528" xr:uid="{00000000-0005-0000-0000-0000F9050000}"/>
    <cellStyle name="60% - Accent4 3 9" xfId="1529" xr:uid="{00000000-0005-0000-0000-0000FA050000}"/>
    <cellStyle name="60% - Accent4 4" xfId="1530" xr:uid="{00000000-0005-0000-0000-0000FB050000}"/>
    <cellStyle name="60% - Accent4 4 2" xfId="1531" xr:uid="{00000000-0005-0000-0000-0000FC050000}"/>
    <cellStyle name="60% - Accent4 5" xfId="1532" xr:uid="{00000000-0005-0000-0000-0000FD050000}"/>
    <cellStyle name="60% - Accent4 5 2" xfId="1533" xr:uid="{00000000-0005-0000-0000-0000FE050000}"/>
    <cellStyle name="60% - Accent4 6" xfId="1534" xr:uid="{00000000-0005-0000-0000-0000FF050000}"/>
    <cellStyle name="60% - Accent4 6 2" xfId="1535" xr:uid="{00000000-0005-0000-0000-000000060000}"/>
    <cellStyle name="60% - Accent4 7" xfId="1536" xr:uid="{00000000-0005-0000-0000-000001060000}"/>
    <cellStyle name="60% - Accent4 8" xfId="1537" xr:uid="{00000000-0005-0000-0000-000002060000}"/>
    <cellStyle name="60% - Accent4 9" xfId="1538" xr:uid="{00000000-0005-0000-0000-000003060000}"/>
    <cellStyle name="60% - Accent4 9 2" xfId="1539" xr:uid="{00000000-0005-0000-0000-000004060000}"/>
    <cellStyle name="60% - Accent4 9 2 2" xfId="1540" xr:uid="{00000000-0005-0000-0000-000005060000}"/>
    <cellStyle name="60% - Accent4 9 3" xfId="1541" xr:uid="{00000000-0005-0000-0000-000006060000}"/>
    <cellStyle name="60% - Accent4 9 4" xfId="1542" xr:uid="{00000000-0005-0000-0000-000007060000}"/>
    <cellStyle name="60% - Accent4 9 5" xfId="1543" xr:uid="{00000000-0005-0000-0000-000008060000}"/>
    <cellStyle name="60% - Accent5 10" xfId="1544" xr:uid="{00000000-0005-0000-0000-000009060000}"/>
    <cellStyle name="60% - Accent5 10 2" xfId="1545" xr:uid="{00000000-0005-0000-0000-00000A060000}"/>
    <cellStyle name="60% - Accent5 10 3" xfId="1546" xr:uid="{00000000-0005-0000-0000-00000B060000}"/>
    <cellStyle name="60% - Accent5 11" xfId="1547" xr:uid="{00000000-0005-0000-0000-00000C060000}"/>
    <cellStyle name="60% - Accent5 11 2" xfId="1548" xr:uid="{00000000-0005-0000-0000-00000D060000}"/>
    <cellStyle name="60% - Accent5 11 3" xfId="1549" xr:uid="{00000000-0005-0000-0000-00000E060000}"/>
    <cellStyle name="60% - Accent5 12" xfId="1550" xr:uid="{00000000-0005-0000-0000-00000F060000}"/>
    <cellStyle name="60% - Accent5 12 2" xfId="1551" xr:uid="{00000000-0005-0000-0000-000010060000}"/>
    <cellStyle name="60% - Accent5 12 3" xfId="1552" xr:uid="{00000000-0005-0000-0000-000011060000}"/>
    <cellStyle name="60% - Accent5 13" xfId="1553" xr:uid="{00000000-0005-0000-0000-000012060000}"/>
    <cellStyle name="60% - Accent5 13 2" xfId="1554" xr:uid="{00000000-0005-0000-0000-000013060000}"/>
    <cellStyle name="60% - Accent5 13 3" xfId="1555" xr:uid="{00000000-0005-0000-0000-000014060000}"/>
    <cellStyle name="60% - Accent5 14" xfId="1556" xr:uid="{00000000-0005-0000-0000-000015060000}"/>
    <cellStyle name="60% - Accent5 14 2" xfId="1557" xr:uid="{00000000-0005-0000-0000-000016060000}"/>
    <cellStyle name="60% - Accent5 14 3" xfId="1558" xr:uid="{00000000-0005-0000-0000-000017060000}"/>
    <cellStyle name="60% - Accent5 15" xfId="1559" xr:uid="{00000000-0005-0000-0000-000018060000}"/>
    <cellStyle name="60% - Accent5 15 2" xfId="1560" xr:uid="{00000000-0005-0000-0000-000019060000}"/>
    <cellStyle name="60% - Accent5 15 3" xfId="1561" xr:uid="{00000000-0005-0000-0000-00001A060000}"/>
    <cellStyle name="60% - Accent5 16" xfId="1562" xr:uid="{00000000-0005-0000-0000-00001B060000}"/>
    <cellStyle name="60% - Accent5 17" xfId="1563" xr:uid="{00000000-0005-0000-0000-00001C060000}"/>
    <cellStyle name="60% - Accent5 18" xfId="1564" xr:uid="{00000000-0005-0000-0000-00001D060000}"/>
    <cellStyle name="60% - Accent5 19" xfId="1565" xr:uid="{00000000-0005-0000-0000-00001E060000}"/>
    <cellStyle name="60% - Accent5 2" xfId="1566" xr:uid="{00000000-0005-0000-0000-00001F060000}"/>
    <cellStyle name="60% - Accent5 2 10" xfId="1567" xr:uid="{00000000-0005-0000-0000-000020060000}"/>
    <cellStyle name="60% - Accent5 2 11" xfId="1568" xr:uid="{00000000-0005-0000-0000-000021060000}"/>
    <cellStyle name="60% - Accent5 2 12" xfId="1569" xr:uid="{00000000-0005-0000-0000-000022060000}"/>
    <cellStyle name="60% - Accent5 2 13" xfId="1570" xr:uid="{00000000-0005-0000-0000-000023060000}"/>
    <cellStyle name="60% - Accent5 2 14" xfId="1571" xr:uid="{00000000-0005-0000-0000-000024060000}"/>
    <cellStyle name="60% - Accent5 2 15" xfId="1572" xr:uid="{00000000-0005-0000-0000-000025060000}"/>
    <cellStyle name="60% - Accent5 2 2" xfId="1573" xr:uid="{00000000-0005-0000-0000-000026060000}"/>
    <cellStyle name="60% - Accent5 2 3" xfId="1574" xr:uid="{00000000-0005-0000-0000-000027060000}"/>
    <cellStyle name="60% - Accent5 2 4" xfId="1575" xr:uid="{00000000-0005-0000-0000-000028060000}"/>
    <cellStyle name="60% - Accent5 2 5" xfId="1576" xr:uid="{00000000-0005-0000-0000-000029060000}"/>
    <cellStyle name="60% - Accent5 2 6" xfId="1577" xr:uid="{00000000-0005-0000-0000-00002A060000}"/>
    <cellStyle name="60% - Accent5 2 7" xfId="1578" xr:uid="{00000000-0005-0000-0000-00002B060000}"/>
    <cellStyle name="60% - Accent5 2 8" xfId="1579" xr:uid="{00000000-0005-0000-0000-00002C060000}"/>
    <cellStyle name="60% - Accent5 2 9" xfId="1580" xr:uid="{00000000-0005-0000-0000-00002D060000}"/>
    <cellStyle name="60% - Accent5 20" xfId="4333" xr:uid="{00000000-0005-0000-0000-00002E060000}"/>
    <cellStyle name="60% - Accent5 3" xfId="1581" xr:uid="{00000000-0005-0000-0000-00002F060000}"/>
    <cellStyle name="60% - Accent5 3 2" xfId="1582" xr:uid="{00000000-0005-0000-0000-000030060000}"/>
    <cellStyle name="60% - Accent5 3 3" xfId="1583" xr:uid="{00000000-0005-0000-0000-000031060000}"/>
    <cellStyle name="60% - Accent5 3 4" xfId="1584" xr:uid="{00000000-0005-0000-0000-000032060000}"/>
    <cellStyle name="60% - Accent5 3 5" xfId="1585" xr:uid="{00000000-0005-0000-0000-000033060000}"/>
    <cellStyle name="60% - Accent5 3 5 2" xfId="1586" xr:uid="{00000000-0005-0000-0000-000034060000}"/>
    <cellStyle name="60% - Accent5 3 6" xfId="1587" xr:uid="{00000000-0005-0000-0000-000035060000}"/>
    <cellStyle name="60% - Accent5 3 7" xfId="1588" xr:uid="{00000000-0005-0000-0000-000036060000}"/>
    <cellStyle name="60% - Accent5 3 8" xfId="1589" xr:uid="{00000000-0005-0000-0000-000037060000}"/>
    <cellStyle name="60% - Accent5 3 9" xfId="1590" xr:uid="{00000000-0005-0000-0000-000038060000}"/>
    <cellStyle name="60% - Accent5 4" xfId="1591" xr:uid="{00000000-0005-0000-0000-000039060000}"/>
    <cellStyle name="60% - Accent5 4 2" xfId="1592" xr:uid="{00000000-0005-0000-0000-00003A060000}"/>
    <cellStyle name="60% - Accent5 5" xfId="1593" xr:uid="{00000000-0005-0000-0000-00003B060000}"/>
    <cellStyle name="60% - Accent5 5 2" xfId="1594" xr:uid="{00000000-0005-0000-0000-00003C060000}"/>
    <cellStyle name="60% - Accent5 6" xfId="1595" xr:uid="{00000000-0005-0000-0000-00003D060000}"/>
    <cellStyle name="60% - Accent5 6 2" xfId="1596" xr:uid="{00000000-0005-0000-0000-00003E060000}"/>
    <cellStyle name="60% - Accent5 7" xfId="1597" xr:uid="{00000000-0005-0000-0000-00003F060000}"/>
    <cellStyle name="60% - Accent5 8" xfId="1598" xr:uid="{00000000-0005-0000-0000-000040060000}"/>
    <cellStyle name="60% - Accent5 9" xfId="1599" xr:uid="{00000000-0005-0000-0000-000041060000}"/>
    <cellStyle name="60% - Accent5 9 2" xfId="1600" xr:uid="{00000000-0005-0000-0000-000042060000}"/>
    <cellStyle name="60% - Accent5 9 2 2" xfId="1601" xr:uid="{00000000-0005-0000-0000-000043060000}"/>
    <cellStyle name="60% - Accent5 9 3" xfId="1602" xr:uid="{00000000-0005-0000-0000-000044060000}"/>
    <cellStyle name="60% - Accent5 9 4" xfId="1603" xr:uid="{00000000-0005-0000-0000-000045060000}"/>
    <cellStyle name="60% - Accent5 9 5" xfId="1604" xr:uid="{00000000-0005-0000-0000-000046060000}"/>
    <cellStyle name="60% - Accent6 10" xfId="1605" xr:uid="{00000000-0005-0000-0000-000047060000}"/>
    <cellStyle name="60% - Accent6 10 2" xfId="1606" xr:uid="{00000000-0005-0000-0000-000048060000}"/>
    <cellStyle name="60% - Accent6 10 3" xfId="1607" xr:uid="{00000000-0005-0000-0000-000049060000}"/>
    <cellStyle name="60% - Accent6 11" xfId="1608" xr:uid="{00000000-0005-0000-0000-00004A060000}"/>
    <cellStyle name="60% - Accent6 11 2" xfId="1609" xr:uid="{00000000-0005-0000-0000-00004B060000}"/>
    <cellStyle name="60% - Accent6 11 3" xfId="1610" xr:uid="{00000000-0005-0000-0000-00004C060000}"/>
    <cellStyle name="60% - Accent6 12" xfId="1611" xr:uid="{00000000-0005-0000-0000-00004D060000}"/>
    <cellStyle name="60% - Accent6 12 2" xfId="1612" xr:uid="{00000000-0005-0000-0000-00004E060000}"/>
    <cellStyle name="60% - Accent6 12 3" xfId="1613" xr:uid="{00000000-0005-0000-0000-00004F060000}"/>
    <cellStyle name="60% - Accent6 13" xfId="1614" xr:uid="{00000000-0005-0000-0000-000050060000}"/>
    <cellStyle name="60% - Accent6 13 2" xfId="1615" xr:uid="{00000000-0005-0000-0000-000051060000}"/>
    <cellStyle name="60% - Accent6 13 3" xfId="1616" xr:uid="{00000000-0005-0000-0000-000052060000}"/>
    <cellStyle name="60% - Accent6 14" xfId="1617" xr:uid="{00000000-0005-0000-0000-000053060000}"/>
    <cellStyle name="60% - Accent6 14 2" xfId="1618" xr:uid="{00000000-0005-0000-0000-000054060000}"/>
    <cellStyle name="60% - Accent6 14 3" xfId="1619" xr:uid="{00000000-0005-0000-0000-000055060000}"/>
    <cellStyle name="60% - Accent6 15" xfId="1620" xr:uid="{00000000-0005-0000-0000-000056060000}"/>
    <cellStyle name="60% - Accent6 15 2" xfId="1621" xr:uid="{00000000-0005-0000-0000-000057060000}"/>
    <cellStyle name="60% - Accent6 15 3" xfId="1622" xr:uid="{00000000-0005-0000-0000-000058060000}"/>
    <cellStyle name="60% - Accent6 16" xfId="1623" xr:uid="{00000000-0005-0000-0000-000059060000}"/>
    <cellStyle name="60% - Accent6 17" xfId="1624" xr:uid="{00000000-0005-0000-0000-00005A060000}"/>
    <cellStyle name="60% - Accent6 18" xfId="1625" xr:uid="{00000000-0005-0000-0000-00005B060000}"/>
    <cellStyle name="60% - Accent6 19" xfId="1626" xr:uid="{00000000-0005-0000-0000-00005C060000}"/>
    <cellStyle name="60% - Accent6 2" xfId="1627" xr:uid="{00000000-0005-0000-0000-00005D060000}"/>
    <cellStyle name="60% - Accent6 2 10" xfId="1628" xr:uid="{00000000-0005-0000-0000-00005E060000}"/>
    <cellStyle name="60% - Accent6 2 11" xfId="1629" xr:uid="{00000000-0005-0000-0000-00005F060000}"/>
    <cellStyle name="60% - Accent6 2 12" xfId="1630" xr:uid="{00000000-0005-0000-0000-000060060000}"/>
    <cellStyle name="60% - Accent6 2 13" xfId="1631" xr:uid="{00000000-0005-0000-0000-000061060000}"/>
    <cellStyle name="60% - Accent6 2 14" xfId="1632" xr:uid="{00000000-0005-0000-0000-000062060000}"/>
    <cellStyle name="60% - Accent6 2 15" xfId="1633" xr:uid="{00000000-0005-0000-0000-000063060000}"/>
    <cellStyle name="60% - Accent6 2 2" xfId="1634" xr:uid="{00000000-0005-0000-0000-000064060000}"/>
    <cellStyle name="60% - Accent6 2 3" xfId="1635" xr:uid="{00000000-0005-0000-0000-000065060000}"/>
    <cellStyle name="60% - Accent6 2 4" xfId="1636" xr:uid="{00000000-0005-0000-0000-000066060000}"/>
    <cellStyle name="60% - Accent6 2 5" xfId="1637" xr:uid="{00000000-0005-0000-0000-000067060000}"/>
    <cellStyle name="60% - Accent6 2 6" xfId="1638" xr:uid="{00000000-0005-0000-0000-000068060000}"/>
    <cellStyle name="60% - Accent6 2 7" xfId="1639" xr:uid="{00000000-0005-0000-0000-000069060000}"/>
    <cellStyle name="60% - Accent6 2 8" xfId="1640" xr:uid="{00000000-0005-0000-0000-00006A060000}"/>
    <cellStyle name="60% - Accent6 2 9" xfId="1641" xr:uid="{00000000-0005-0000-0000-00006B060000}"/>
    <cellStyle name="60% - Accent6 20" xfId="4334" xr:uid="{00000000-0005-0000-0000-00006C060000}"/>
    <cellStyle name="60% - Accent6 3" xfId="1642" xr:uid="{00000000-0005-0000-0000-00006D060000}"/>
    <cellStyle name="60% - Accent6 3 2" xfId="1643" xr:uid="{00000000-0005-0000-0000-00006E060000}"/>
    <cellStyle name="60% - Accent6 3 3" xfId="1644" xr:uid="{00000000-0005-0000-0000-00006F060000}"/>
    <cellStyle name="60% - Accent6 3 4" xfId="1645" xr:uid="{00000000-0005-0000-0000-000070060000}"/>
    <cellStyle name="60% - Accent6 3 5" xfId="1646" xr:uid="{00000000-0005-0000-0000-000071060000}"/>
    <cellStyle name="60% - Accent6 3 5 2" xfId="1647" xr:uid="{00000000-0005-0000-0000-000072060000}"/>
    <cellStyle name="60% - Accent6 3 6" xfId="1648" xr:uid="{00000000-0005-0000-0000-000073060000}"/>
    <cellStyle name="60% - Accent6 3 7" xfId="1649" xr:uid="{00000000-0005-0000-0000-000074060000}"/>
    <cellStyle name="60% - Accent6 3 8" xfId="1650" xr:uid="{00000000-0005-0000-0000-000075060000}"/>
    <cellStyle name="60% - Accent6 3 9" xfId="1651" xr:uid="{00000000-0005-0000-0000-000076060000}"/>
    <cellStyle name="60% - Accent6 4" xfId="1652" xr:uid="{00000000-0005-0000-0000-000077060000}"/>
    <cellStyle name="60% - Accent6 4 2" xfId="1653" xr:uid="{00000000-0005-0000-0000-000078060000}"/>
    <cellStyle name="60% - Accent6 5" xfId="1654" xr:uid="{00000000-0005-0000-0000-000079060000}"/>
    <cellStyle name="60% - Accent6 5 2" xfId="1655" xr:uid="{00000000-0005-0000-0000-00007A060000}"/>
    <cellStyle name="60% - Accent6 6" xfId="1656" xr:uid="{00000000-0005-0000-0000-00007B060000}"/>
    <cellStyle name="60% - Accent6 6 2" xfId="1657" xr:uid="{00000000-0005-0000-0000-00007C060000}"/>
    <cellStyle name="60% - Accent6 7" xfId="1658" xr:uid="{00000000-0005-0000-0000-00007D060000}"/>
    <cellStyle name="60% - Accent6 8" xfId="1659" xr:uid="{00000000-0005-0000-0000-00007E060000}"/>
    <cellStyle name="60% - Accent6 9" xfId="1660" xr:uid="{00000000-0005-0000-0000-00007F060000}"/>
    <cellStyle name="60% - Accent6 9 2" xfId="1661" xr:uid="{00000000-0005-0000-0000-000080060000}"/>
    <cellStyle name="60% - Accent6 9 2 2" xfId="1662" xr:uid="{00000000-0005-0000-0000-000081060000}"/>
    <cellStyle name="60% - Accent6 9 3" xfId="1663" xr:uid="{00000000-0005-0000-0000-000082060000}"/>
    <cellStyle name="60% - Accent6 9 4" xfId="1664" xr:uid="{00000000-0005-0000-0000-000083060000}"/>
    <cellStyle name="60% - Accent6 9 5" xfId="1665" xr:uid="{00000000-0005-0000-0000-000084060000}"/>
    <cellStyle name="60% - 强调文字颜色 1" xfId="1666" xr:uid="{00000000-0005-0000-0000-000085060000}"/>
    <cellStyle name="60% - 强调文字颜色 2" xfId="1667" xr:uid="{00000000-0005-0000-0000-000086060000}"/>
    <cellStyle name="60% - 强调文字颜色 3" xfId="1668" xr:uid="{00000000-0005-0000-0000-000087060000}"/>
    <cellStyle name="60% - 强调文字颜色 4" xfId="1669" xr:uid="{00000000-0005-0000-0000-000088060000}"/>
    <cellStyle name="60% - 强调文字颜色 5" xfId="1670" xr:uid="{00000000-0005-0000-0000-000089060000}"/>
    <cellStyle name="60% - 强调文字颜色 6" xfId="1671" xr:uid="{00000000-0005-0000-0000-00008A060000}"/>
    <cellStyle name="60% - 輔色1" xfId="1672" xr:uid="{00000000-0005-0000-0000-00008B060000}"/>
    <cellStyle name="60% - 輔色2" xfId="1673" xr:uid="{00000000-0005-0000-0000-00008C060000}"/>
    <cellStyle name="60% - 輔色3" xfId="1674" xr:uid="{00000000-0005-0000-0000-00008D060000}"/>
    <cellStyle name="60% - 輔色4" xfId="1675" xr:uid="{00000000-0005-0000-0000-00008E060000}"/>
    <cellStyle name="60% - 輔色5" xfId="1676" xr:uid="{00000000-0005-0000-0000-00008F060000}"/>
    <cellStyle name="60% - 輔色6" xfId="1677" xr:uid="{00000000-0005-0000-0000-000090060000}"/>
    <cellStyle name="Accent1 10" xfId="1678" xr:uid="{00000000-0005-0000-0000-000091060000}"/>
    <cellStyle name="Accent1 10 2" xfId="1679" xr:uid="{00000000-0005-0000-0000-000092060000}"/>
    <cellStyle name="Accent1 10 3" xfId="1680" xr:uid="{00000000-0005-0000-0000-000093060000}"/>
    <cellStyle name="Accent1 11" xfId="1681" xr:uid="{00000000-0005-0000-0000-000094060000}"/>
    <cellStyle name="Accent1 11 2" xfId="1682" xr:uid="{00000000-0005-0000-0000-000095060000}"/>
    <cellStyle name="Accent1 11 3" xfId="1683" xr:uid="{00000000-0005-0000-0000-000096060000}"/>
    <cellStyle name="Accent1 12" xfId="1684" xr:uid="{00000000-0005-0000-0000-000097060000}"/>
    <cellStyle name="Accent1 12 2" xfId="1685" xr:uid="{00000000-0005-0000-0000-000098060000}"/>
    <cellStyle name="Accent1 12 3" xfId="1686" xr:uid="{00000000-0005-0000-0000-000099060000}"/>
    <cellStyle name="Accent1 13" xfId="1687" xr:uid="{00000000-0005-0000-0000-00009A060000}"/>
    <cellStyle name="Accent1 13 2" xfId="1688" xr:uid="{00000000-0005-0000-0000-00009B060000}"/>
    <cellStyle name="Accent1 13 3" xfId="1689" xr:uid="{00000000-0005-0000-0000-00009C060000}"/>
    <cellStyle name="Accent1 14" xfId="1690" xr:uid="{00000000-0005-0000-0000-00009D060000}"/>
    <cellStyle name="Accent1 14 2" xfId="1691" xr:uid="{00000000-0005-0000-0000-00009E060000}"/>
    <cellStyle name="Accent1 14 3" xfId="1692" xr:uid="{00000000-0005-0000-0000-00009F060000}"/>
    <cellStyle name="Accent1 15" xfId="1693" xr:uid="{00000000-0005-0000-0000-0000A0060000}"/>
    <cellStyle name="Accent1 15 2" xfId="1694" xr:uid="{00000000-0005-0000-0000-0000A1060000}"/>
    <cellStyle name="Accent1 15 3" xfId="1695" xr:uid="{00000000-0005-0000-0000-0000A2060000}"/>
    <cellStyle name="Accent1 16" xfId="1696" xr:uid="{00000000-0005-0000-0000-0000A3060000}"/>
    <cellStyle name="Accent1 17" xfId="1697" xr:uid="{00000000-0005-0000-0000-0000A4060000}"/>
    <cellStyle name="Accent1 18" xfId="1698" xr:uid="{00000000-0005-0000-0000-0000A5060000}"/>
    <cellStyle name="Accent1 19" xfId="1699" xr:uid="{00000000-0005-0000-0000-0000A6060000}"/>
    <cellStyle name="Accent1 2" xfId="1700" xr:uid="{00000000-0005-0000-0000-0000A7060000}"/>
    <cellStyle name="Accent1 2 10" xfId="1701" xr:uid="{00000000-0005-0000-0000-0000A8060000}"/>
    <cellStyle name="Accent1 2 11" xfId="1702" xr:uid="{00000000-0005-0000-0000-0000A9060000}"/>
    <cellStyle name="Accent1 2 12" xfId="1703" xr:uid="{00000000-0005-0000-0000-0000AA060000}"/>
    <cellStyle name="Accent1 2 13" xfId="1704" xr:uid="{00000000-0005-0000-0000-0000AB060000}"/>
    <cellStyle name="Accent1 2 14" xfId="1705" xr:uid="{00000000-0005-0000-0000-0000AC060000}"/>
    <cellStyle name="Accent1 2 15" xfId="1706" xr:uid="{00000000-0005-0000-0000-0000AD060000}"/>
    <cellStyle name="Accent1 2 2" xfId="1707" xr:uid="{00000000-0005-0000-0000-0000AE060000}"/>
    <cellStyle name="Accent1 2 3" xfId="1708" xr:uid="{00000000-0005-0000-0000-0000AF060000}"/>
    <cellStyle name="Accent1 2 4" xfId="1709" xr:uid="{00000000-0005-0000-0000-0000B0060000}"/>
    <cellStyle name="Accent1 2 5" xfId="1710" xr:uid="{00000000-0005-0000-0000-0000B1060000}"/>
    <cellStyle name="Accent1 2 6" xfId="1711" xr:uid="{00000000-0005-0000-0000-0000B2060000}"/>
    <cellStyle name="Accent1 2 7" xfId="1712" xr:uid="{00000000-0005-0000-0000-0000B3060000}"/>
    <cellStyle name="Accent1 2 8" xfId="1713" xr:uid="{00000000-0005-0000-0000-0000B4060000}"/>
    <cellStyle name="Accent1 2 9" xfId="1714" xr:uid="{00000000-0005-0000-0000-0000B5060000}"/>
    <cellStyle name="Accent1 20" xfId="4335" xr:uid="{00000000-0005-0000-0000-0000B6060000}"/>
    <cellStyle name="Accent1 3" xfId="1715" xr:uid="{00000000-0005-0000-0000-0000B7060000}"/>
    <cellStyle name="Accent1 3 2" xfId="1716" xr:uid="{00000000-0005-0000-0000-0000B8060000}"/>
    <cellStyle name="Accent1 3 3" xfId="1717" xr:uid="{00000000-0005-0000-0000-0000B9060000}"/>
    <cellStyle name="Accent1 3 4" xfId="1718" xr:uid="{00000000-0005-0000-0000-0000BA060000}"/>
    <cellStyle name="Accent1 3 5" xfId="1719" xr:uid="{00000000-0005-0000-0000-0000BB060000}"/>
    <cellStyle name="Accent1 3 5 2" xfId="1720" xr:uid="{00000000-0005-0000-0000-0000BC060000}"/>
    <cellStyle name="Accent1 3 6" xfId="1721" xr:uid="{00000000-0005-0000-0000-0000BD060000}"/>
    <cellStyle name="Accent1 3 7" xfId="1722" xr:uid="{00000000-0005-0000-0000-0000BE060000}"/>
    <cellStyle name="Accent1 3 8" xfId="1723" xr:uid="{00000000-0005-0000-0000-0000BF060000}"/>
    <cellStyle name="Accent1 3 9" xfId="1724" xr:uid="{00000000-0005-0000-0000-0000C0060000}"/>
    <cellStyle name="Accent1 4" xfId="1725" xr:uid="{00000000-0005-0000-0000-0000C1060000}"/>
    <cellStyle name="Accent1 4 2" xfId="1726" xr:uid="{00000000-0005-0000-0000-0000C2060000}"/>
    <cellStyle name="Accent1 5" xfId="1727" xr:uid="{00000000-0005-0000-0000-0000C3060000}"/>
    <cellStyle name="Accent1 5 2" xfId="1728" xr:uid="{00000000-0005-0000-0000-0000C4060000}"/>
    <cellStyle name="Accent1 6" xfId="1729" xr:uid="{00000000-0005-0000-0000-0000C5060000}"/>
    <cellStyle name="Accent1 6 2" xfId="1730" xr:uid="{00000000-0005-0000-0000-0000C6060000}"/>
    <cellStyle name="Accent1 7" xfId="1731" xr:uid="{00000000-0005-0000-0000-0000C7060000}"/>
    <cellStyle name="Accent1 8" xfId="1732" xr:uid="{00000000-0005-0000-0000-0000C8060000}"/>
    <cellStyle name="Accent1 9" xfId="1733" xr:uid="{00000000-0005-0000-0000-0000C9060000}"/>
    <cellStyle name="Accent1 9 2" xfId="1734" xr:uid="{00000000-0005-0000-0000-0000CA060000}"/>
    <cellStyle name="Accent1 9 2 2" xfId="1735" xr:uid="{00000000-0005-0000-0000-0000CB060000}"/>
    <cellStyle name="Accent1 9 3" xfId="1736" xr:uid="{00000000-0005-0000-0000-0000CC060000}"/>
    <cellStyle name="Accent1 9 4" xfId="1737" xr:uid="{00000000-0005-0000-0000-0000CD060000}"/>
    <cellStyle name="Accent1 9 5" xfId="1738" xr:uid="{00000000-0005-0000-0000-0000CE060000}"/>
    <cellStyle name="Accent2 10" xfId="1739" xr:uid="{00000000-0005-0000-0000-0000CF060000}"/>
    <cellStyle name="Accent2 10 2" xfId="1740" xr:uid="{00000000-0005-0000-0000-0000D0060000}"/>
    <cellStyle name="Accent2 10 3" xfId="1741" xr:uid="{00000000-0005-0000-0000-0000D1060000}"/>
    <cellStyle name="Accent2 11" xfId="1742" xr:uid="{00000000-0005-0000-0000-0000D2060000}"/>
    <cellStyle name="Accent2 11 2" xfId="1743" xr:uid="{00000000-0005-0000-0000-0000D3060000}"/>
    <cellStyle name="Accent2 11 3" xfId="1744" xr:uid="{00000000-0005-0000-0000-0000D4060000}"/>
    <cellStyle name="Accent2 12" xfId="1745" xr:uid="{00000000-0005-0000-0000-0000D5060000}"/>
    <cellStyle name="Accent2 12 2" xfId="1746" xr:uid="{00000000-0005-0000-0000-0000D6060000}"/>
    <cellStyle name="Accent2 12 3" xfId="1747" xr:uid="{00000000-0005-0000-0000-0000D7060000}"/>
    <cellStyle name="Accent2 13" xfId="1748" xr:uid="{00000000-0005-0000-0000-0000D8060000}"/>
    <cellStyle name="Accent2 13 2" xfId="1749" xr:uid="{00000000-0005-0000-0000-0000D9060000}"/>
    <cellStyle name="Accent2 13 3" xfId="1750" xr:uid="{00000000-0005-0000-0000-0000DA060000}"/>
    <cellStyle name="Accent2 14" xfId="1751" xr:uid="{00000000-0005-0000-0000-0000DB060000}"/>
    <cellStyle name="Accent2 14 2" xfId="1752" xr:uid="{00000000-0005-0000-0000-0000DC060000}"/>
    <cellStyle name="Accent2 14 3" xfId="1753" xr:uid="{00000000-0005-0000-0000-0000DD060000}"/>
    <cellStyle name="Accent2 15" xfId="1754" xr:uid="{00000000-0005-0000-0000-0000DE060000}"/>
    <cellStyle name="Accent2 15 2" xfId="1755" xr:uid="{00000000-0005-0000-0000-0000DF060000}"/>
    <cellStyle name="Accent2 15 3" xfId="1756" xr:uid="{00000000-0005-0000-0000-0000E0060000}"/>
    <cellStyle name="Accent2 16" xfId="1757" xr:uid="{00000000-0005-0000-0000-0000E1060000}"/>
    <cellStyle name="Accent2 17" xfId="1758" xr:uid="{00000000-0005-0000-0000-0000E2060000}"/>
    <cellStyle name="Accent2 18" xfId="1759" xr:uid="{00000000-0005-0000-0000-0000E3060000}"/>
    <cellStyle name="Accent2 19" xfId="1760" xr:uid="{00000000-0005-0000-0000-0000E4060000}"/>
    <cellStyle name="Accent2 2" xfId="1761" xr:uid="{00000000-0005-0000-0000-0000E5060000}"/>
    <cellStyle name="Accent2 2 10" xfId="1762" xr:uid="{00000000-0005-0000-0000-0000E6060000}"/>
    <cellStyle name="Accent2 2 11" xfId="1763" xr:uid="{00000000-0005-0000-0000-0000E7060000}"/>
    <cellStyle name="Accent2 2 12" xfId="1764" xr:uid="{00000000-0005-0000-0000-0000E8060000}"/>
    <cellStyle name="Accent2 2 13" xfId="1765" xr:uid="{00000000-0005-0000-0000-0000E9060000}"/>
    <cellStyle name="Accent2 2 14" xfId="1766" xr:uid="{00000000-0005-0000-0000-0000EA060000}"/>
    <cellStyle name="Accent2 2 15" xfId="1767" xr:uid="{00000000-0005-0000-0000-0000EB060000}"/>
    <cellStyle name="Accent2 2 2" xfId="1768" xr:uid="{00000000-0005-0000-0000-0000EC060000}"/>
    <cellStyle name="Accent2 2 3" xfId="1769" xr:uid="{00000000-0005-0000-0000-0000ED060000}"/>
    <cellStyle name="Accent2 2 4" xfId="1770" xr:uid="{00000000-0005-0000-0000-0000EE060000}"/>
    <cellStyle name="Accent2 2 5" xfId="1771" xr:uid="{00000000-0005-0000-0000-0000EF060000}"/>
    <cellStyle name="Accent2 2 6" xfId="1772" xr:uid="{00000000-0005-0000-0000-0000F0060000}"/>
    <cellStyle name="Accent2 2 7" xfId="1773" xr:uid="{00000000-0005-0000-0000-0000F1060000}"/>
    <cellStyle name="Accent2 2 8" xfId="1774" xr:uid="{00000000-0005-0000-0000-0000F2060000}"/>
    <cellStyle name="Accent2 2 9" xfId="1775" xr:uid="{00000000-0005-0000-0000-0000F3060000}"/>
    <cellStyle name="Accent2 20" xfId="4336" xr:uid="{00000000-0005-0000-0000-0000F4060000}"/>
    <cellStyle name="Accent2 3" xfId="1776" xr:uid="{00000000-0005-0000-0000-0000F5060000}"/>
    <cellStyle name="Accent2 3 2" xfId="1777" xr:uid="{00000000-0005-0000-0000-0000F6060000}"/>
    <cellStyle name="Accent2 3 3" xfId="1778" xr:uid="{00000000-0005-0000-0000-0000F7060000}"/>
    <cellStyle name="Accent2 3 4" xfId="1779" xr:uid="{00000000-0005-0000-0000-0000F8060000}"/>
    <cellStyle name="Accent2 3 5" xfId="1780" xr:uid="{00000000-0005-0000-0000-0000F9060000}"/>
    <cellStyle name="Accent2 3 5 2" xfId="1781" xr:uid="{00000000-0005-0000-0000-0000FA060000}"/>
    <cellStyle name="Accent2 3 6" xfId="1782" xr:uid="{00000000-0005-0000-0000-0000FB060000}"/>
    <cellStyle name="Accent2 3 7" xfId="1783" xr:uid="{00000000-0005-0000-0000-0000FC060000}"/>
    <cellStyle name="Accent2 3 8" xfId="1784" xr:uid="{00000000-0005-0000-0000-0000FD060000}"/>
    <cellStyle name="Accent2 3 9" xfId="1785" xr:uid="{00000000-0005-0000-0000-0000FE060000}"/>
    <cellStyle name="Accent2 4" xfId="1786" xr:uid="{00000000-0005-0000-0000-0000FF060000}"/>
    <cellStyle name="Accent2 4 2" xfId="1787" xr:uid="{00000000-0005-0000-0000-000000070000}"/>
    <cellStyle name="Accent2 5" xfId="1788" xr:uid="{00000000-0005-0000-0000-000001070000}"/>
    <cellStyle name="Accent2 5 2" xfId="1789" xr:uid="{00000000-0005-0000-0000-000002070000}"/>
    <cellStyle name="Accent2 6" xfId="1790" xr:uid="{00000000-0005-0000-0000-000003070000}"/>
    <cellStyle name="Accent2 6 2" xfId="1791" xr:uid="{00000000-0005-0000-0000-000004070000}"/>
    <cellStyle name="Accent2 7" xfId="1792" xr:uid="{00000000-0005-0000-0000-000005070000}"/>
    <cellStyle name="Accent2 8" xfId="1793" xr:uid="{00000000-0005-0000-0000-000006070000}"/>
    <cellStyle name="Accent2 9" xfId="1794" xr:uid="{00000000-0005-0000-0000-000007070000}"/>
    <cellStyle name="Accent2 9 2" xfId="1795" xr:uid="{00000000-0005-0000-0000-000008070000}"/>
    <cellStyle name="Accent2 9 2 2" xfId="1796" xr:uid="{00000000-0005-0000-0000-000009070000}"/>
    <cellStyle name="Accent2 9 3" xfId="1797" xr:uid="{00000000-0005-0000-0000-00000A070000}"/>
    <cellStyle name="Accent2 9 4" xfId="1798" xr:uid="{00000000-0005-0000-0000-00000B070000}"/>
    <cellStyle name="Accent2 9 5" xfId="1799" xr:uid="{00000000-0005-0000-0000-00000C070000}"/>
    <cellStyle name="Accent3 10" xfId="1800" xr:uid="{00000000-0005-0000-0000-00000D070000}"/>
    <cellStyle name="Accent3 10 2" xfId="1801" xr:uid="{00000000-0005-0000-0000-00000E070000}"/>
    <cellStyle name="Accent3 10 3" xfId="1802" xr:uid="{00000000-0005-0000-0000-00000F070000}"/>
    <cellStyle name="Accent3 11" xfId="1803" xr:uid="{00000000-0005-0000-0000-000010070000}"/>
    <cellStyle name="Accent3 11 2" xfId="1804" xr:uid="{00000000-0005-0000-0000-000011070000}"/>
    <cellStyle name="Accent3 11 3" xfId="1805" xr:uid="{00000000-0005-0000-0000-000012070000}"/>
    <cellStyle name="Accent3 12" xfId="1806" xr:uid="{00000000-0005-0000-0000-000013070000}"/>
    <cellStyle name="Accent3 12 2" xfId="1807" xr:uid="{00000000-0005-0000-0000-000014070000}"/>
    <cellStyle name="Accent3 12 3" xfId="1808" xr:uid="{00000000-0005-0000-0000-000015070000}"/>
    <cellStyle name="Accent3 13" xfId="1809" xr:uid="{00000000-0005-0000-0000-000016070000}"/>
    <cellStyle name="Accent3 13 2" xfId="1810" xr:uid="{00000000-0005-0000-0000-000017070000}"/>
    <cellStyle name="Accent3 13 3" xfId="1811" xr:uid="{00000000-0005-0000-0000-000018070000}"/>
    <cellStyle name="Accent3 14" xfId="1812" xr:uid="{00000000-0005-0000-0000-000019070000}"/>
    <cellStyle name="Accent3 14 2" xfId="1813" xr:uid="{00000000-0005-0000-0000-00001A070000}"/>
    <cellStyle name="Accent3 14 3" xfId="1814" xr:uid="{00000000-0005-0000-0000-00001B070000}"/>
    <cellStyle name="Accent3 15" xfId="1815" xr:uid="{00000000-0005-0000-0000-00001C070000}"/>
    <cellStyle name="Accent3 15 2" xfId="1816" xr:uid="{00000000-0005-0000-0000-00001D070000}"/>
    <cellStyle name="Accent3 15 3" xfId="1817" xr:uid="{00000000-0005-0000-0000-00001E070000}"/>
    <cellStyle name="Accent3 16" xfId="1818" xr:uid="{00000000-0005-0000-0000-00001F070000}"/>
    <cellStyle name="Accent3 17" xfId="1819" xr:uid="{00000000-0005-0000-0000-000020070000}"/>
    <cellStyle name="Accent3 18" xfId="1820" xr:uid="{00000000-0005-0000-0000-000021070000}"/>
    <cellStyle name="Accent3 19" xfId="1821" xr:uid="{00000000-0005-0000-0000-000022070000}"/>
    <cellStyle name="Accent3 2" xfId="1822" xr:uid="{00000000-0005-0000-0000-000023070000}"/>
    <cellStyle name="Accent3 2 10" xfId="1823" xr:uid="{00000000-0005-0000-0000-000024070000}"/>
    <cellStyle name="Accent3 2 11" xfId="1824" xr:uid="{00000000-0005-0000-0000-000025070000}"/>
    <cellStyle name="Accent3 2 12" xfId="1825" xr:uid="{00000000-0005-0000-0000-000026070000}"/>
    <cellStyle name="Accent3 2 13" xfId="1826" xr:uid="{00000000-0005-0000-0000-000027070000}"/>
    <cellStyle name="Accent3 2 14" xfId="1827" xr:uid="{00000000-0005-0000-0000-000028070000}"/>
    <cellStyle name="Accent3 2 15" xfId="1828" xr:uid="{00000000-0005-0000-0000-000029070000}"/>
    <cellStyle name="Accent3 2 2" xfId="1829" xr:uid="{00000000-0005-0000-0000-00002A070000}"/>
    <cellStyle name="Accent3 2 3" xfId="1830" xr:uid="{00000000-0005-0000-0000-00002B070000}"/>
    <cellStyle name="Accent3 2 4" xfId="1831" xr:uid="{00000000-0005-0000-0000-00002C070000}"/>
    <cellStyle name="Accent3 2 5" xfId="1832" xr:uid="{00000000-0005-0000-0000-00002D070000}"/>
    <cellStyle name="Accent3 2 6" xfId="1833" xr:uid="{00000000-0005-0000-0000-00002E070000}"/>
    <cellStyle name="Accent3 2 7" xfId="1834" xr:uid="{00000000-0005-0000-0000-00002F070000}"/>
    <cellStyle name="Accent3 2 8" xfId="1835" xr:uid="{00000000-0005-0000-0000-000030070000}"/>
    <cellStyle name="Accent3 2 9" xfId="1836" xr:uid="{00000000-0005-0000-0000-000031070000}"/>
    <cellStyle name="Accent3 20" xfId="4337" xr:uid="{00000000-0005-0000-0000-000032070000}"/>
    <cellStyle name="Accent3 3" xfId="1837" xr:uid="{00000000-0005-0000-0000-000033070000}"/>
    <cellStyle name="Accent3 3 2" xfId="1838" xr:uid="{00000000-0005-0000-0000-000034070000}"/>
    <cellStyle name="Accent3 3 3" xfId="1839" xr:uid="{00000000-0005-0000-0000-000035070000}"/>
    <cellStyle name="Accent3 3 4" xfId="1840" xr:uid="{00000000-0005-0000-0000-000036070000}"/>
    <cellStyle name="Accent3 3 5" xfId="1841" xr:uid="{00000000-0005-0000-0000-000037070000}"/>
    <cellStyle name="Accent3 3 5 2" xfId="1842" xr:uid="{00000000-0005-0000-0000-000038070000}"/>
    <cellStyle name="Accent3 3 6" xfId="1843" xr:uid="{00000000-0005-0000-0000-000039070000}"/>
    <cellStyle name="Accent3 3 7" xfId="1844" xr:uid="{00000000-0005-0000-0000-00003A070000}"/>
    <cellStyle name="Accent3 3 8" xfId="1845" xr:uid="{00000000-0005-0000-0000-00003B070000}"/>
    <cellStyle name="Accent3 3 9" xfId="1846" xr:uid="{00000000-0005-0000-0000-00003C070000}"/>
    <cellStyle name="Accent3 4" xfId="1847" xr:uid="{00000000-0005-0000-0000-00003D070000}"/>
    <cellStyle name="Accent3 4 2" xfId="1848" xr:uid="{00000000-0005-0000-0000-00003E070000}"/>
    <cellStyle name="Accent3 5" xfId="1849" xr:uid="{00000000-0005-0000-0000-00003F070000}"/>
    <cellStyle name="Accent3 5 2" xfId="1850" xr:uid="{00000000-0005-0000-0000-000040070000}"/>
    <cellStyle name="Accent3 6" xfId="1851" xr:uid="{00000000-0005-0000-0000-000041070000}"/>
    <cellStyle name="Accent3 6 2" xfId="1852" xr:uid="{00000000-0005-0000-0000-000042070000}"/>
    <cellStyle name="Accent3 7" xfId="1853" xr:uid="{00000000-0005-0000-0000-000043070000}"/>
    <cellStyle name="Accent3 8" xfId="1854" xr:uid="{00000000-0005-0000-0000-000044070000}"/>
    <cellStyle name="Accent3 9" xfId="1855" xr:uid="{00000000-0005-0000-0000-000045070000}"/>
    <cellStyle name="Accent3 9 2" xfId="1856" xr:uid="{00000000-0005-0000-0000-000046070000}"/>
    <cellStyle name="Accent3 9 2 2" xfId="1857" xr:uid="{00000000-0005-0000-0000-000047070000}"/>
    <cellStyle name="Accent3 9 3" xfId="1858" xr:uid="{00000000-0005-0000-0000-000048070000}"/>
    <cellStyle name="Accent3 9 4" xfId="1859" xr:uid="{00000000-0005-0000-0000-000049070000}"/>
    <cellStyle name="Accent3 9 5" xfId="1860" xr:uid="{00000000-0005-0000-0000-00004A070000}"/>
    <cellStyle name="Accent4 10" xfId="1861" xr:uid="{00000000-0005-0000-0000-00004B070000}"/>
    <cellStyle name="Accent4 10 2" xfId="1862" xr:uid="{00000000-0005-0000-0000-00004C070000}"/>
    <cellStyle name="Accent4 10 3" xfId="1863" xr:uid="{00000000-0005-0000-0000-00004D070000}"/>
    <cellStyle name="Accent4 11" xfId="1864" xr:uid="{00000000-0005-0000-0000-00004E070000}"/>
    <cellStyle name="Accent4 11 2" xfId="1865" xr:uid="{00000000-0005-0000-0000-00004F070000}"/>
    <cellStyle name="Accent4 11 3" xfId="1866" xr:uid="{00000000-0005-0000-0000-000050070000}"/>
    <cellStyle name="Accent4 12" xfId="1867" xr:uid="{00000000-0005-0000-0000-000051070000}"/>
    <cellStyle name="Accent4 12 2" xfId="1868" xr:uid="{00000000-0005-0000-0000-000052070000}"/>
    <cellStyle name="Accent4 12 3" xfId="1869" xr:uid="{00000000-0005-0000-0000-000053070000}"/>
    <cellStyle name="Accent4 13" xfId="1870" xr:uid="{00000000-0005-0000-0000-000054070000}"/>
    <cellStyle name="Accent4 13 2" xfId="1871" xr:uid="{00000000-0005-0000-0000-000055070000}"/>
    <cellStyle name="Accent4 13 3" xfId="1872" xr:uid="{00000000-0005-0000-0000-000056070000}"/>
    <cellStyle name="Accent4 14" xfId="1873" xr:uid="{00000000-0005-0000-0000-000057070000}"/>
    <cellStyle name="Accent4 14 2" xfId="1874" xr:uid="{00000000-0005-0000-0000-000058070000}"/>
    <cellStyle name="Accent4 14 3" xfId="1875" xr:uid="{00000000-0005-0000-0000-000059070000}"/>
    <cellStyle name="Accent4 15" xfId="1876" xr:uid="{00000000-0005-0000-0000-00005A070000}"/>
    <cellStyle name="Accent4 15 2" xfId="1877" xr:uid="{00000000-0005-0000-0000-00005B070000}"/>
    <cellStyle name="Accent4 15 3" xfId="1878" xr:uid="{00000000-0005-0000-0000-00005C070000}"/>
    <cellStyle name="Accent4 16" xfId="1879" xr:uid="{00000000-0005-0000-0000-00005D070000}"/>
    <cellStyle name="Accent4 17" xfId="1880" xr:uid="{00000000-0005-0000-0000-00005E070000}"/>
    <cellStyle name="Accent4 18" xfId="1881" xr:uid="{00000000-0005-0000-0000-00005F070000}"/>
    <cellStyle name="Accent4 19" xfId="1882" xr:uid="{00000000-0005-0000-0000-000060070000}"/>
    <cellStyle name="Accent4 2" xfId="1883" xr:uid="{00000000-0005-0000-0000-000061070000}"/>
    <cellStyle name="Accent4 2 10" xfId="1884" xr:uid="{00000000-0005-0000-0000-000062070000}"/>
    <cellStyle name="Accent4 2 11" xfId="1885" xr:uid="{00000000-0005-0000-0000-000063070000}"/>
    <cellStyle name="Accent4 2 12" xfId="1886" xr:uid="{00000000-0005-0000-0000-000064070000}"/>
    <cellStyle name="Accent4 2 13" xfId="1887" xr:uid="{00000000-0005-0000-0000-000065070000}"/>
    <cellStyle name="Accent4 2 14" xfId="1888" xr:uid="{00000000-0005-0000-0000-000066070000}"/>
    <cellStyle name="Accent4 2 15" xfId="1889" xr:uid="{00000000-0005-0000-0000-000067070000}"/>
    <cellStyle name="Accent4 2 2" xfId="1890" xr:uid="{00000000-0005-0000-0000-000068070000}"/>
    <cellStyle name="Accent4 2 3" xfId="1891" xr:uid="{00000000-0005-0000-0000-000069070000}"/>
    <cellStyle name="Accent4 2 4" xfId="1892" xr:uid="{00000000-0005-0000-0000-00006A070000}"/>
    <cellStyle name="Accent4 2 5" xfId="1893" xr:uid="{00000000-0005-0000-0000-00006B070000}"/>
    <cellStyle name="Accent4 2 6" xfId="1894" xr:uid="{00000000-0005-0000-0000-00006C070000}"/>
    <cellStyle name="Accent4 2 7" xfId="1895" xr:uid="{00000000-0005-0000-0000-00006D070000}"/>
    <cellStyle name="Accent4 2 8" xfId="1896" xr:uid="{00000000-0005-0000-0000-00006E070000}"/>
    <cellStyle name="Accent4 2 9" xfId="1897" xr:uid="{00000000-0005-0000-0000-00006F070000}"/>
    <cellStyle name="Accent4 20" xfId="4338" xr:uid="{00000000-0005-0000-0000-000070070000}"/>
    <cellStyle name="Accent4 3" xfId="1898" xr:uid="{00000000-0005-0000-0000-000071070000}"/>
    <cellStyle name="Accent4 3 2" xfId="1899" xr:uid="{00000000-0005-0000-0000-000072070000}"/>
    <cellStyle name="Accent4 3 3" xfId="1900" xr:uid="{00000000-0005-0000-0000-000073070000}"/>
    <cellStyle name="Accent4 3 4" xfId="1901" xr:uid="{00000000-0005-0000-0000-000074070000}"/>
    <cellStyle name="Accent4 3 5" xfId="1902" xr:uid="{00000000-0005-0000-0000-000075070000}"/>
    <cellStyle name="Accent4 3 5 2" xfId="1903" xr:uid="{00000000-0005-0000-0000-000076070000}"/>
    <cellStyle name="Accent4 3 6" xfId="1904" xr:uid="{00000000-0005-0000-0000-000077070000}"/>
    <cellStyle name="Accent4 3 7" xfId="1905" xr:uid="{00000000-0005-0000-0000-000078070000}"/>
    <cellStyle name="Accent4 3 8" xfId="1906" xr:uid="{00000000-0005-0000-0000-000079070000}"/>
    <cellStyle name="Accent4 3 9" xfId="1907" xr:uid="{00000000-0005-0000-0000-00007A070000}"/>
    <cellStyle name="Accent4 4" xfId="1908" xr:uid="{00000000-0005-0000-0000-00007B070000}"/>
    <cellStyle name="Accent4 4 2" xfId="1909" xr:uid="{00000000-0005-0000-0000-00007C070000}"/>
    <cellStyle name="Accent4 5" xfId="1910" xr:uid="{00000000-0005-0000-0000-00007D070000}"/>
    <cellStyle name="Accent4 5 2" xfId="1911" xr:uid="{00000000-0005-0000-0000-00007E070000}"/>
    <cellStyle name="Accent4 6" xfId="1912" xr:uid="{00000000-0005-0000-0000-00007F070000}"/>
    <cellStyle name="Accent4 6 2" xfId="1913" xr:uid="{00000000-0005-0000-0000-000080070000}"/>
    <cellStyle name="Accent4 7" xfId="1914" xr:uid="{00000000-0005-0000-0000-000081070000}"/>
    <cellStyle name="Accent4 8" xfId="1915" xr:uid="{00000000-0005-0000-0000-000082070000}"/>
    <cellStyle name="Accent4 9" xfId="1916" xr:uid="{00000000-0005-0000-0000-000083070000}"/>
    <cellStyle name="Accent4 9 2" xfId="1917" xr:uid="{00000000-0005-0000-0000-000084070000}"/>
    <cellStyle name="Accent4 9 2 2" xfId="1918" xr:uid="{00000000-0005-0000-0000-000085070000}"/>
    <cellStyle name="Accent4 9 3" xfId="1919" xr:uid="{00000000-0005-0000-0000-000086070000}"/>
    <cellStyle name="Accent4 9 4" xfId="1920" xr:uid="{00000000-0005-0000-0000-000087070000}"/>
    <cellStyle name="Accent4 9 5" xfId="1921" xr:uid="{00000000-0005-0000-0000-000088070000}"/>
    <cellStyle name="Accent5 10" xfId="1922" xr:uid="{00000000-0005-0000-0000-000089070000}"/>
    <cellStyle name="Accent5 10 2" xfId="1923" xr:uid="{00000000-0005-0000-0000-00008A070000}"/>
    <cellStyle name="Accent5 10 3" xfId="1924" xr:uid="{00000000-0005-0000-0000-00008B070000}"/>
    <cellStyle name="Accent5 11" xfId="1925" xr:uid="{00000000-0005-0000-0000-00008C070000}"/>
    <cellStyle name="Accent5 11 2" xfId="1926" xr:uid="{00000000-0005-0000-0000-00008D070000}"/>
    <cellStyle name="Accent5 11 3" xfId="1927" xr:uid="{00000000-0005-0000-0000-00008E070000}"/>
    <cellStyle name="Accent5 12" xfId="1928" xr:uid="{00000000-0005-0000-0000-00008F070000}"/>
    <cellStyle name="Accent5 12 2" xfId="1929" xr:uid="{00000000-0005-0000-0000-000090070000}"/>
    <cellStyle name="Accent5 12 3" xfId="1930" xr:uid="{00000000-0005-0000-0000-000091070000}"/>
    <cellStyle name="Accent5 13" xfId="1931" xr:uid="{00000000-0005-0000-0000-000092070000}"/>
    <cellStyle name="Accent5 13 2" xfId="1932" xr:uid="{00000000-0005-0000-0000-000093070000}"/>
    <cellStyle name="Accent5 13 3" xfId="1933" xr:uid="{00000000-0005-0000-0000-000094070000}"/>
    <cellStyle name="Accent5 14" xfId="1934" xr:uid="{00000000-0005-0000-0000-000095070000}"/>
    <cellStyle name="Accent5 14 2" xfId="1935" xr:uid="{00000000-0005-0000-0000-000096070000}"/>
    <cellStyle name="Accent5 14 3" xfId="1936" xr:uid="{00000000-0005-0000-0000-000097070000}"/>
    <cellStyle name="Accent5 15" xfId="1937" xr:uid="{00000000-0005-0000-0000-000098070000}"/>
    <cellStyle name="Accent5 15 2" xfId="1938" xr:uid="{00000000-0005-0000-0000-000099070000}"/>
    <cellStyle name="Accent5 15 3" xfId="1939" xr:uid="{00000000-0005-0000-0000-00009A070000}"/>
    <cellStyle name="Accent5 16" xfId="1940" xr:uid="{00000000-0005-0000-0000-00009B070000}"/>
    <cellStyle name="Accent5 17" xfId="1941" xr:uid="{00000000-0005-0000-0000-00009C070000}"/>
    <cellStyle name="Accent5 18" xfId="1942" xr:uid="{00000000-0005-0000-0000-00009D070000}"/>
    <cellStyle name="Accent5 19" xfId="1943" xr:uid="{00000000-0005-0000-0000-00009E070000}"/>
    <cellStyle name="Accent5 2" xfId="1944" xr:uid="{00000000-0005-0000-0000-00009F070000}"/>
    <cellStyle name="Accent5 2 10" xfId="1945" xr:uid="{00000000-0005-0000-0000-0000A0070000}"/>
    <cellStyle name="Accent5 2 11" xfId="1946" xr:uid="{00000000-0005-0000-0000-0000A1070000}"/>
    <cellStyle name="Accent5 2 12" xfId="1947" xr:uid="{00000000-0005-0000-0000-0000A2070000}"/>
    <cellStyle name="Accent5 2 13" xfId="1948" xr:uid="{00000000-0005-0000-0000-0000A3070000}"/>
    <cellStyle name="Accent5 2 14" xfId="1949" xr:uid="{00000000-0005-0000-0000-0000A4070000}"/>
    <cellStyle name="Accent5 2 15" xfId="1950" xr:uid="{00000000-0005-0000-0000-0000A5070000}"/>
    <cellStyle name="Accent5 2 2" xfId="1951" xr:uid="{00000000-0005-0000-0000-0000A6070000}"/>
    <cellStyle name="Accent5 2 3" xfId="1952" xr:uid="{00000000-0005-0000-0000-0000A7070000}"/>
    <cellStyle name="Accent5 2 4" xfId="1953" xr:uid="{00000000-0005-0000-0000-0000A8070000}"/>
    <cellStyle name="Accent5 2 5" xfId="1954" xr:uid="{00000000-0005-0000-0000-0000A9070000}"/>
    <cellStyle name="Accent5 2 6" xfId="1955" xr:uid="{00000000-0005-0000-0000-0000AA070000}"/>
    <cellStyle name="Accent5 2 7" xfId="1956" xr:uid="{00000000-0005-0000-0000-0000AB070000}"/>
    <cellStyle name="Accent5 2 8" xfId="1957" xr:uid="{00000000-0005-0000-0000-0000AC070000}"/>
    <cellStyle name="Accent5 2 9" xfId="1958" xr:uid="{00000000-0005-0000-0000-0000AD070000}"/>
    <cellStyle name="Accent5 20" xfId="4339" xr:uid="{00000000-0005-0000-0000-0000AE070000}"/>
    <cellStyle name="Accent5 3" xfId="1959" xr:uid="{00000000-0005-0000-0000-0000AF070000}"/>
    <cellStyle name="Accent5 3 2" xfId="1960" xr:uid="{00000000-0005-0000-0000-0000B0070000}"/>
    <cellStyle name="Accent5 3 3" xfId="1961" xr:uid="{00000000-0005-0000-0000-0000B1070000}"/>
    <cellStyle name="Accent5 3 4" xfId="1962" xr:uid="{00000000-0005-0000-0000-0000B2070000}"/>
    <cellStyle name="Accent5 3 5" xfId="1963" xr:uid="{00000000-0005-0000-0000-0000B3070000}"/>
    <cellStyle name="Accent5 3 6" xfId="1964" xr:uid="{00000000-0005-0000-0000-0000B4070000}"/>
    <cellStyle name="Accent5 3 7" xfId="1965" xr:uid="{00000000-0005-0000-0000-0000B5070000}"/>
    <cellStyle name="Accent5 3 8" xfId="1966" xr:uid="{00000000-0005-0000-0000-0000B6070000}"/>
    <cellStyle name="Accent5 4" xfId="1967" xr:uid="{00000000-0005-0000-0000-0000B7070000}"/>
    <cellStyle name="Accent5 4 2" xfId="1968" xr:uid="{00000000-0005-0000-0000-0000B8070000}"/>
    <cellStyle name="Accent5 5" xfId="1969" xr:uid="{00000000-0005-0000-0000-0000B9070000}"/>
    <cellStyle name="Accent5 5 2" xfId="1970" xr:uid="{00000000-0005-0000-0000-0000BA070000}"/>
    <cellStyle name="Accent5 6" xfId="1971" xr:uid="{00000000-0005-0000-0000-0000BB070000}"/>
    <cellStyle name="Accent5 6 2" xfId="1972" xr:uid="{00000000-0005-0000-0000-0000BC070000}"/>
    <cellStyle name="Accent5 7" xfId="1973" xr:uid="{00000000-0005-0000-0000-0000BD070000}"/>
    <cellStyle name="Accent5 8" xfId="1974" xr:uid="{00000000-0005-0000-0000-0000BE070000}"/>
    <cellStyle name="Accent5 9" xfId="1975" xr:uid="{00000000-0005-0000-0000-0000BF070000}"/>
    <cellStyle name="Accent5 9 2" xfId="1976" xr:uid="{00000000-0005-0000-0000-0000C0070000}"/>
    <cellStyle name="Accent5 9 3" xfId="1977" xr:uid="{00000000-0005-0000-0000-0000C1070000}"/>
    <cellStyle name="Accent5 9 4" xfId="1978" xr:uid="{00000000-0005-0000-0000-0000C2070000}"/>
    <cellStyle name="Accent6 10" xfId="1979" xr:uid="{00000000-0005-0000-0000-0000C3070000}"/>
    <cellStyle name="Accent6 10 2" xfId="1980" xr:uid="{00000000-0005-0000-0000-0000C4070000}"/>
    <cellStyle name="Accent6 10 3" xfId="1981" xr:uid="{00000000-0005-0000-0000-0000C5070000}"/>
    <cellStyle name="Accent6 11" xfId="1982" xr:uid="{00000000-0005-0000-0000-0000C6070000}"/>
    <cellStyle name="Accent6 11 2" xfId="1983" xr:uid="{00000000-0005-0000-0000-0000C7070000}"/>
    <cellStyle name="Accent6 11 3" xfId="1984" xr:uid="{00000000-0005-0000-0000-0000C8070000}"/>
    <cellStyle name="Accent6 12" xfId="1985" xr:uid="{00000000-0005-0000-0000-0000C9070000}"/>
    <cellStyle name="Accent6 12 2" xfId="1986" xr:uid="{00000000-0005-0000-0000-0000CA070000}"/>
    <cellStyle name="Accent6 12 3" xfId="1987" xr:uid="{00000000-0005-0000-0000-0000CB070000}"/>
    <cellStyle name="Accent6 13" xfId="1988" xr:uid="{00000000-0005-0000-0000-0000CC070000}"/>
    <cellStyle name="Accent6 13 2" xfId="1989" xr:uid="{00000000-0005-0000-0000-0000CD070000}"/>
    <cellStyle name="Accent6 13 3" xfId="1990" xr:uid="{00000000-0005-0000-0000-0000CE070000}"/>
    <cellStyle name="Accent6 14" xfId="1991" xr:uid="{00000000-0005-0000-0000-0000CF070000}"/>
    <cellStyle name="Accent6 14 2" xfId="1992" xr:uid="{00000000-0005-0000-0000-0000D0070000}"/>
    <cellStyle name="Accent6 14 3" xfId="1993" xr:uid="{00000000-0005-0000-0000-0000D1070000}"/>
    <cellStyle name="Accent6 15" xfId="1994" xr:uid="{00000000-0005-0000-0000-0000D2070000}"/>
    <cellStyle name="Accent6 15 2" xfId="1995" xr:uid="{00000000-0005-0000-0000-0000D3070000}"/>
    <cellStyle name="Accent6 15 3" xfId="1996" xr:uid="{00000000-0005-0000-0000-0000D4070000}"/>
    <cellStyle name="Accent6 16" xfId="1997" xr:uid="{00000000-0005-0000-0000-0000D5070000}"/>
    <cellStyle name="Accent6 17" xfId="1998" xr:uid="{00000000-0005-0000-0000-0000D6070000}"/>
    <cellStyle name="Accent6 18" xfId="1999" xr:uid="{00000000-0005-0000-0000-0000D7070000}"/>
    <cellStyle name="Accent6 19" xfId="2000" xr:uid="{00000000-0005-0000-0000-0000D8070000}"/>
    <cellStyle name="Accent6 2" xfId="2001" xr:uid="{00000000-0005-0000-0000-0000D9070000}"/>
    <cellStyle name="Accent6 2 10" xfId="2002" xr:uid="{00000000-0005-0000-0000-0000DA070000}"/>
    <cellStyle name="Accent6 2 11" xfId="2003" xr:uid="{00000000-0005-0000-0000-0000DB070000}"/>
    <cellStyle name="Accent6 2 12" xfId="2004" xr:uid="{00000000-0005-0000-0000-0000DC070000}"/>
    <cellStyle name="Accent6 2 13" xfId="2005" xr:uid="{00000000-0005-0000-0000-0000DD070000}"/>
    <cellStyle name="Accent6 2 14" xfId="2006" xr:uid="{00000000-0005-0000-0000-0000DE070000}"/>
    <cellStyle name="Accent6 2 15" xfId="2007" xr:uid="{00000000-0005-0000-0000-0000DF070000}"/>
    <cellStyle name="Accent6 2 2" xfId="2008" xr:uid="{00000000-0005-0000-0000-0000E0070000}"/>
    <cellStyle name="Accent6 2 3" xfId="2009" xr:uid="{00000000-0005-0000-0000-0000E1070000}"/>
    <cellStyle name="Accent6 2 4" xfId="2010" xr:uid="{00000000-0005-0000-0000-0000E2070000}"/>
    <cellStyle name="Accent6 2 5" xfId="2011" xr:uid="{00000000-0005-0000-0000-0000E3070000}"/>
    <cellStyle name="Accent6 2 6" xfId="2012" xr:uid="{00000000-0005-0000-0000-0000E4070000}"/>
    <cellStyle name="Accent6 2 7" xfId="2013" xr:uid="{00000000-0005-0000-0000-0000E5070000}"/>
    <cellStyle name="Accent6 2 8" xfId="2014" xr:uid="{00000000-0005-0000-0000-0000E6070000}"/>
    <cellStyle name="Accent6 2 9" xfId="2015" xr:uid="{00000000-0005-0000-0000-0000E7070000}"/>
    <cellStyle name="Accent6 20" xfId="4340" xr:uid="{00000000-0005-0000-0000-0000E8070000}"/>
    <cellStyle name="Accent6 3" xfId="2016" xr:uid="{00000000-0005-0000-0000-0000E9070000}"/>
    <cellStyle name="Accent6 3 2" xfId="2017" xr:uid="{00000000-0005-0000-0000-0000EA070000}"/>
    <cellStyle name="Accent6 3 3" xfId="2018" xr:uid="{00000000-0005-0000-0000-0000EB070000}"/>
    <cellStyle name="Accent6 3 4" xfId="2019" xr:uid="{00000000-0005-0000-0000-0000EC070000}"/>
    <cellStyle name="Accent6 3 5" xfId="2020" xr:uid="{00000000-0005-0000-0000-0000ED070000}"/>
    <cellStyle name="Accent6 3 5 2" xfId="2021" xr:uid="{00000000-0005-0000-0000-0000EE070000}"/>
    <cellStyle name="Accent6 3 6" xfId="2022" xr:uid="{00000000-0005-0000-0000-0000EF070000}"/>
    <cellStyle name="Accent6 3 7" xfId="2023" xr:uid="{00000000-0005-0000-0000-0000F0070000}"/>
    <cellStyle name="Accent6 3 8" xfId="2024" xr:uid="{00000000-0005-0000-0000-0000F1070000}"/>
    <cellStyle name="Accent6 3 9" xfId="2025" xr:uid="{00000000-0005-0000-0000-0000F2070000}"/>
    <cellStyle name="Accent6 4" xfId="2026" xr:uid="{00000000-0005-0000-0000-0000F3070000}"/>
    <cellStyle name="Accent6 4 2" xfId="2027" xr:uid="{00000000-0005-0000-0000-0000F4070000}"/>
    <cellStyle name="Accent6 5" xfId="2028" xr:uid="{00000000-0005-0000-0000-0000F5070000}"/>
    <cellStyle name="Accent6 5 2" xfId="2029" xr:uid="{00000000-0005-0000-0000-0000F6070000}"/>
    <cellStyle name="Accent6 6" xfId="2030" xr:uid="{00000000-0005-0000-0000-0000F7070000}"/>
    <cellStyle name="Accent6 6 2" xfId="2031" xr:uid="{00000000-0005-0000-0000-0000F8070000}"/>
    <cellStyle name="Accent6 7" xfId="2032" xr:uid="{00000000-0005-0000-0000-0000F9070000}"/>
    <cellStyle name="Accent6 8" xfId="2033" xr:uid="{00000000-0005-0000-0000-0000FA070000}"/>
    <cellStyle name="Accent6 9" xfId="2034" xr:uid="{00000000-0005-0000-0000-0000FB070000}"/>
    <cellStyle name="Accent6 9 2" xfId="2035" xr:uid="{00000000-0005-0000-0000-0000FC070000}"/>
    <cellStyle name="Accent6 9 2 2" xfId="2036" xr:uid="{00000000-0005-0000-0000-0000FD070000}"/>
    <cellStyle name="Accent6 9 3" xfId="2037" xr:uid="{00000000-0005-0000-0000-0000FE070000}"/>
    <cellStyle name="Accent6 9 4" xfId="2038" xr:uid="{00000000-0005-0000-0000-0000FF070000}"/>
    <cellStyle name="Accent6 9 5" xfId="2039" xr:uid="{00000000-0005-0000-0000-000000080000}"/>
    <cellStyle name="Accounting" xfId="2040" xr:uid="{00000000-0005-0000-0000-000001080000}"/>
    <cellStyle name="Actual Date" xfId="2041" xr:uid="{00000000-0005-0000-0000-000002080000}"/>
    <cellStyle name="amount" xfId="2042" xr:uid="{00000000-0005-0000-0000-000003080000}"/>
    <cellStyle name="amount 10" xfId="2043" xr:uid="{00000000-0005-0000-0000-000004080000}"/>
    <cellStyle name="amount 11" xfId="2044" xr:uid="{00000000-0005-0000-0000-000005080000}"/>
    <cellStyle name="amount 12" xfId="2045" xr:uid="{00000000-0005-0000-0000-000006080000}"/>
    <cellStyle name="amount 2" xfId="2046" xr:uid="{00000000-0005-0000-0000-000007080000}"/>
    <cellStyle name="amount 3" xfId="2047" xr:uid="{00000000-0005-0000-0000-000008080000}"/>
    <cellStyle name="amount 4" xfId="2048" xr:uid="{00000000-0005-0000-0000-000009080000}"/>
    <cellStyle name="amount 5" xfId="2049" xr:uid="{00000000-0005-0000-0000-00000A080000}"/>
    <cellStyle name="amount 6" xfId="2050" xr:uid="{00000000-0005-0000-0000-00000B080000}"/>
    <cellStyle name="amount 7" xfId="2051" xr:uid="{00000000-0005-0000-0000-00000C080000}"/>
    <cellStyle name="amount 8" xfId="2052" xr:uid="{00000000-0005-0000-0000-00000D080000}"/>
    <cellStyle name="amount 9" xfId="2053" xr:uid="{00000000-0005-0000-0000-00000E080000}"/>
    <cellStyle name="args.style" xfId="2054" xr:uid="{00000000-0005-0000-0000-00000F080000}"/>
    <cellStyle name="args.style 2" xfId="2055" xr:uid="{00000000-0005-0000-0000-000010080000}"/>
    <cellStyle name="Arial 10" xfId="2056" xr:uid="{00000000-0005-0000-0000-000011080000}"/>
    <cellStyle name="Arial 12" xfId="2057" xr:uid="{00000000-0005-0000-0000-000012080000}"/>
    <cellStyle name="AxeHor" xfId="2058" xr:uid="{00000000-0005-0000-0000-000013080000}"/>
    <cellStyle name="azert - Style1" xfId="2059" xr:uid="{00000000-0005-0000-0000-000014080000}"/>
    <cellStyle name="Bad 10" xfId="2060" xr:uid="{00000000-0005-0000-0000-000015080000}"/>
    <cellStyle name="Bad 10 2" xfId="2061" xr:uid="{00000000-0005-0000-0000-000016080000}"/>
    <cellStyle name="Bad 10 3" xfId="2062" xr:uid="{00000000-0005-0000-0000-000017080000}"/>
    <cellStyle name="Bad 11" xfId="2063" xr:uid="{00000000-0005-0000-0000-000018080000}"/>
    <cellStyle name="Bad 11 2" xfId="2064" xr:uid="{00000000-0005-0000-0000-000019080000}"/>
    <cellStyle name="Bad 11 3" xfId="2065" xr:uid="{00000000-0005-0000-0000-00001A080000}"/>
    <cellStyle name="Bad 12" xfId="2066" xr:uid="{00000000-0005-0000-0000-00001B080000}"/>
    <cellStyle name="Bad 12 2" xfId="2067" xr:uid="{00000000-0005-0000-0000-00001C080000}"/>
    <cellStyle name="Bad 12 3" xfId="2068" xr:uid="{00000000-0005-0000-0000-00001D080000}"/>
    <cellStyle name="Bad 13" xfId="2069" xr:uid="{00000000-0005-0000-0000-00001E080000}"/>
    <cellStyle name="Bad 13 2" xfId="2070" xr:uid="{00000000-0005-0000-0000-00001F080000}"/>
    <cellStyle name="Bad 13 3" xfId="2071" xr:uid="{00000000-0005-0000-0000-000020080000}"/>
    <cellStyle name="Bad 14" xfId="2072" xr:uid="{00000000-0005-0000-0000-000021080000}"/>
    <cellStyle name="Bad 14 2" xfId="2073" xr:uid="{00000000-0005-0000-0000-000022080000}"/>
    <cellStyle name="Bad 14 3" xfId="2074" xr:uid="{00000000-0005-0000-0000-000023080000}"/>
    <cellStyle name="Bad 15" xfId="2075" xr:uid="{00000000-0005-0000-0000-000024080000}"/>
    <cellStyle name="Bad 15 2" xfId="2076" xr:uid="{00000000-0005-0000-0000-000025080000}"/>
    <cellStyle name="Bad 15 3" xfId="2077" xr:uid="{00000000-0005-0000-0000-000026080000}"/>
    <cellStyle name="Bad 16" xfId="2078" xr:uid="{00000000-0005-0000-0000-000027080000}"/>
    <cellStyle name="Bad 17" xfId="2079" xr:uid="{00000000-0005-0000-0000-000028080000}"/>
    <cellStyle name="Bad 18" xfId="2080" xr:uid="{00000000-0005-0000-0000-000029080000}"/>
    <cellStyle name="Bad 19" xfId="2081" xr:uid="{00000000-0005-0000-0000-00002A080000}"/>
    <cellStyle name="Bad 2" xfId="2082" xr:uid="{00000000-0005-0000-0000-00002B080000}"/>
    <cellStyle name="Bad 2 10" xfId="2083" xr:uid="{00000000-0005-0000-0000-00002C080000}"/>
    <cellStyle name="Bad 2 11" xfId="2084" xr:uid="{00000000-0005-0000-0000-00002D080000}"/>
    <cellStyle name="Bad 2 12" xfId="2085" xr:uid="{00000000-0005-0000-0000-00002E080000}"/>
    <cellStyle name="Bad 2 13" xfId="2086" xr:uid="{00000000-0005-0000-0000-00002F080000}"/>
    <cellStyle name="Bad 2 14" xfId="2087" xr:uid="{00000000-0005-0000-0000-000030080000}"/>
    <cellStyle name="Bad 2 15" xfId="2088" xr:uid="{00000000-0005-0000-0000-000031080000}"/>
    <cellStyle name="Bad 2 2" xfId="2089" xr:uid="{00000000-0005-0000-0000-000032080000}"/>
    <cellStyle name="Bad 2 3" xfId="2090" xr:uid="{00000000-0005-0000-0000-000033080000}"/>
    <cellStyle name="Bad 2 4" xfId="2091" xr:uid="{00000000-0005-0000-0000-000034080000}"/>
    <cellStyle name="Bad 2 5" xfId="2092" xr:uid="{00000000-0005-0000-0000-000035080000}"/>
    <cellStyle name="Bad 2 6" xfId="2093" xr:uid="{00000000-0005-0000-0000-000036080000}"/>
    <cellStyle name="Bad 2 7" xfId="2094" xr:uid="{00000000-0005-0000-0000-000037080000}"/>
    <cellStyle name="Bad 2 8" xfId="2095" xr:uid="{00000000-0005-0000-0000-000038080000}"/>
    <cellStyle name="Bad 2 9" xfId="2096" xr:uid="{00000000-0005-0000-0000-000039080000}"/>
    <cellStyle name="Bad 20" xfId="4341" xr:uid="{00000000-0005-0000-0000-00003A080000}"/>
    <cellStyle name="Bad 3" xfId="2097" xr:uid="{00000000-0005-0000-0000-00003B080000}"/>
    <cellStyle name="Bad 3 2" xfId="2098" xr:uid="{00000000-0005-0000-0000-00003C080000}"/>
    <cellStyle name="Bad 3 3" xfId="2099" xr:uid="{00000000-0005-0000-0000-00003D080000}"/>
    <cellStyle name="Bad 3 4" xfId="2100" xr:uid="{00000000-0005-0000-0000-00003E080000}"/>
    <cellStyle name="Bad 3 5" xfId="2101" xr:uid="{00000000-0005-0000-0000-00003F080000}"/>
    <cellStyle name="Bad 3 5 2" xfId="2102" xr:uid="{00000000-0005-0000-0000-000040080000}"/>
    <cellStyle name="Bad 3 6" xfId="2103" xr:uid="{00000000-0005-0000-0000-000041080000}"/>
    <cellStyle name="Bad 3 7" xfId="2104" xr:uid="{00000000-0005-0000-0000-000042080000}"/>
    <cellStyle name="Bad 3 8" xfId="2105" xr:uid="{00000000-0005-0000-0000-000043080000}"/>
    <cellStyle name="Bad 3 9" xfId="2106" xr:uid="{00000000-0005-0000-0000-000044080000}"/>
    <cellStyle name="Bad 4" xfId="2107" xr:uid="{00000000-0005-0000-0000-000045080000}"/>
    <cellStyle name="Bad 4 2" xfId="2108" xr:uid="{00000000-0005-0000-0000-000046080000}"/>
    <cellStyle name="Bad 5" xfId="2109" xr:uid="{00000000-0005-0000-0000-000047080000}"/>
    <cellStyle name="Bad 5 2" xfId="2110" xr:uid="{00000000-0005-0000-0000-000048080000}"/>
    <cellStyle name="Bad 6" xfId="2111" xr:uid="{00000000-0005-0000-0000-000049080000}"/>
    <cellStyle name="Bad 6 2" xfId="2112" xr:uid="{00000000-0005-0000-0000-00004A080000}"/>
    <cellStyle name="Bad 7" xfId="2113" xr:uid="{00000000-0005-0000-0000-00004B080000}"/>
    <cellStyle name="Bad 8" xfId="2114" xr:uid="{00000000-0005-0000-0000-00004C080000}"/>
    <cellStyle name="Bad 9" xfId="2115" xr:uid="{00000000-0005-0000-0000-00004D080000}"/>
    <cellStyle name="Bad 9 2" xfId="2116" xr:uid="{00000000-0005-0000-0000-00004E080000}"/>
    <cellStyle name="Bad 9 2 2" xfId="2117" xr:uid="{00000000-0005-0000-0000-00004F080000}"/>
    <cellStyle name="Bad 9 3" xfId="2118" xr:uid="{00000000-0005-0000-0000-000050080000}"/>
    <cellStyle name="Bad 9 4" xfId="2119" xr:uid="{00000000-0005-0000-0000-000051080000}"/>
    <cellStyle name="Bad 9 5" xfId="2120" xr:uid="{00000000-0005-0000-0000-000052080000}"/>
    <cellStyle name="bartitre" xfId="2121" xr:uid="{00000000-0005-0000-0000-000053080000}"/>
    <cellStyle name="bartotal" xfId="2122" xr:uid="{00000000-0005-0000-0000-000054080000}"/>
    <cellStyle name="Big head" xfId="2123" xr:uid="{00000000-0005-0000-0000-000055080000}"/>
    <cellStyle name="blp_column_header" xfId="1" xr:uid="{00000000-0005-0000-0000-000000000000}"/>
    <cellStyle name="blue shading" xfId="2124" xr:uid="{00000000-0005-0000-0000-000056080000}"/>
    <cellStyle name="Blue Title" xfId="2125" xr:uid="{00000000-0005-0000-0000-000057080000}"/>
    <cellStyle name="Bob" xfId="2126" xr:uid="{00000000-0005-0000-0000-000058080000}"/>
    <cellStyle name="Bob 1" xfId="2127" xr:uid="{00000000-0005-0000-0000-000059080000}"/>
    <cellStyle name="Bob 3" xfId="2128" xr:uid="{00000000-0005-0000-0000-00005A080000}"/>
    <cellStyle name="bob_boite - choix table" xfId="2129" xr:uid="{00000000-0005-0000-0000-00005B080000}"/>
    <cellStyle name="Bob2" xfId="2130" xr:uid="{00000000-0005-0000-0000-00005C080000}"/>
    <cellStyle name="Body text" xfId="2131" xr:uid="{00000000-0005-0000-0000-00005D080000}"/>
    <cellStyle name="Body text 10" xfId="2132" xr:uid="{00000000-0005-0000-0000-00005E080000}"/>
    <cellStyle name="Body text 11" xfId="2133" xr:uid="{00000000-0005-0000-0000-00005F080000}"/>
    <cellStyle name="Body text 12" xfId="2134" xr:uid="{00000000-0005-0000-0000-000060080000}"/>
    <cellStyle name="Body text 2" xfId="2135" xr:uid="{00000000-0005-0000-0000-000061080000}"/>
    <cellStyle name="Body text 3" xfId="2136" xr:uid="{00000000-0005-0000-0000-000062080000}"/>
    <cellStyle name="Body text 4" xfId="2137" xr:uid="{00000000-0005-0000-0000-000063080000}"/>
    <cellStyle name="Body text 5" xfId="2138" xr:uid="{00000000-0005-0000-0000-000064080000}"/>
    <cellStyle name="Body text 6" xfId="2139" xr:uid="{00000000-0005-0000-0000-000065080000}"/>
    <cellStyle name="Body text 7" xfId="2140" xr:uid="{00000000-0005-0000-0000-000066080000}"/>
    <cellStyle name="Body text 8" xfId="2141" xr:uid="{00000000-0005-0000-0000-000067080000}"/>
    <cellStyle name="Body text 9" xfId="2142" xr:uid="{00000000-0005-0000-0000-000068080000}"/>
    <cellStyle name="Border" xfId="2143" xr:uid="{00000000-0005-0000-0000-000069080000}"/>
    <cellStyle name="Border Heavy" xfId="2144" xr:uid="{00000000-0005-0000-0000-00006A080000}"/>
    <cellStyle name="Border Thin" xfId="2145" xr:uid="{00000000-0005-0000-0000-00006B080000}"/>
    <cellStyle name="British Pound" xfId="2146" xr:uid="{00000000-0005-0000-0000-00006C080000}"/>
    <cellStyle name="Calc Currency (0)" xfId="2147" xr:uid="{00000000-0005-0000-0000-00006D080000}"/>
    <cellStyle name="Calc Currency (0) 2" xfId="2148" xr:uid="{00000000-0005-0000-0000-00006E080000}"/>
    <cellStyle name="Calc Currency (2)" xfId="2149" xr:uid="{00000000-0005-0000-0000-00006F080000}"/>
    <cellStyle name="Calc Currency (2) 2" xfId="2150" xr:uid="{00000000-0005-0000-0000-000070080000}"/>
    <cellStyle name="Calc Percent (0)" xfId="2151" xr:uid="{00000000-0005-0000-0000-000071080000}"/>
    <cellStyle name="Calc Percent (0) 2" xfId="2152" xr:uid="{00000000-0005-0000-0000-000072080000}"/>
    <cellStyle name="Calc Percent (1)" xfId="2153" xr:uid="{00000000-0005-0000-0000-000073080000}"/>
    <cellStyle name="Calc Percent (1) 2" xfId="2154" xr:uid="{00000000-0005-0000-0000-000074080000}"/>
    <cellStyle name="Calc Percent (2)" xfId="2155" xr:uid="{00000000-0005-0000-0000-000075080000}"/>
    <cellStyle name="Calc Percent (2) 2" xfId="2156" xr:uid="{00000000-0005-0000-0000-000076080000}"/>
    <cellStyle name="Calc Units (0)" xfId="2157" xr:uid="{00000000-0005-0000-0000-000077080000}"/>
    <cellStyle name="Calc Units (0) 2" xfId="2158" xr:uid="{00000000-0005-0000-0000-000078080000}"/>
    <cellStyle name="Calc Units (1)" xfId="2159" xr:uid="{00000000-0005-0000-0000-000079080000}"/>
    <cellStyle name="Calc Units (1) 2" xfId="2160" xr:uid="{00000000-0005-0000-0000-00007A080000}"/>
    <cellStyle name="Calc Units (2)" xfId="2161" xr:uid="{00000000-0005-0000-0000-00007B080000}"/>
    <cellStyle name="Calc Units (2) 2" xfId="2162" xr:uid="{00000000-0005-0000-0000-00007C080000}"/>
    <cellStyle name="Calcul" xfId="2163" xr:uid="{00000000-0005-0000-0000-00007D080000}"/>
    <cellStyle name="Calculation 10" xfId="2164" xr:uid="{00000000-0005-0000-0000-00007E080000}"/>
    <cellStyle name="Calculation 10 2" xfId="2165" xr:uid="{00000000-0005-0000-0000-00007F080000}"/>
    <cellStyle name="Calculation 10 3" xfId="2166" xr:uid="{00000000-0005-0000-0000-000080080000}"/>
    <cellStyle name="Calculation 11" xfId="2167" xr:uid="{00000000-0005-0000-0000-000081080000}"/>
    <cellStyle name="Calculation 11 2" xfId="2168" xr:uid="{00000000-0005-0000-0000-000082080000}"/>
    <cellStyle name="Calculation 11 3" xfId="2169" xr:uid="{00000000-0005-0000-0000-000083080000}"/>
    <cellStyle name="Calculation 12" xfId="2170" xr:uid="{00000000-0005-0000-0000-000084080000}"/>
    <cellStyle name="Calculation 12 2" xfId="2171" xr:uid="{00000000-0005-0000-0000-000085080000}"/>
    <cellStyle name="Calculation 12 3" xfId="2172" xr:uid="{00000000-0005-0000-0000-000086080000}"/>
    <cellStyle name="Calculation 13" xfId="2173" xr:uid="{00000000-0005-0000-0000-000087080000}"/>
    <cellStyle name="Calculation 13 2" xfId="2174" xr:uid="{00000000-0005-0000-0000-000088080000}"/>
    <cellStyle name="Calculation 13 3" xfId="2175" xr:uid="{00000000-0005-0000-0000-000089080000}"/>
    <cellStyle name="Calculation 14" xfId="2176" xr:uid="{00000000-0005-0000-0000-00008A080000}"/>
    <cellStyle name="Calculation 14 2" xfId="2177" xr:uid="{00000000-0005-0000-0000-00008B080000}"/>
    <cellStyle name="Calculation 14 3" xfId="2178" xr:uid="{00000000-0005-0000-0000-00008C080000}"/>
    <cellStyle name="Calculation 15" xfId="2179" xr:uid="{00000000-0005-0000-0000-00008D080000}"/>
    <cellStyle name="Calculation 15 2" xfId="2180" xr:uid="{00000000-0005-0000-0000-00008E080000}"/>
    <cellStyle name="Calculation 15 3" xfId="2181" xr:uid="{00000000-0005-0000-0000-00008F080000}"/>
    <cellStyle name="Calculation 16" xfId="2182" xr:uid="{00000000-0005-0000-0000-000090080000}"/>
    <cellStyle name="Calculation 17" xfId="2183" xr:uid="{00000000-0005-0000-0000-000091080000}"/>
    <cellStyle name="Calculation 18" xfId="2184" xr:uid="{00000000-0005-0000-0000-000092080000}"/>
    <cellStyle name="Calculation 19" xfId="2185" xr:uid="{00000000-0005-0000-0000-000093080000}"/>
    <cellStyle name="Calculation 2" xfId="2186" xr:uid="{00000000-0005-0000-0000-000094080000}"/>
    <cellStyle name="Calculation 2 10" xfId="2187" xr:uid="{00000000-0005-0000-0000-000095080000}"/>
    <cellStyle name="Calculation 2 11" xfId="2188" xr:uid="{00000000-0005-0000-0000-000096080000}"/>
    <cellStyle name="Calculation 2 12" xfId="2189" xr:uid="{00000000-0005-0000-0000-000097080000}"/>
    <cellStyle name="Calculation 2 13" xfId="2190" xr:uid="{00000000-0005-0000-0000-000098080000}"/>
    <cellStyle name="Calculation 2 14" xfId="2191" xr:uid="{00000000-0005-0000-0000-000099080000}"/>
    <cellStyle name="Calculation 2 15" xfId="2192" xr:uid="{00000000-0005-0000-0000-00009A080000}"/>
    <cellStyle name="Calculation 2 2" xfId="2193" xr:uid="{00000000-0005-0000-0000-00009B080000}"/>
    <cellStyle name="Calculation 2 3" xfId="2194" xr:uid="{00000000-0005-0000-0000-00009C080000}"/>
    <cellStyle name="Calculation 2 4" xfId="2195" xr:uid="{00000000-0005-0000-0000-00009D080000}"/>
    <cellStyle name="Calculation 2 5" xfId="2196" xr:uid="{00000000-0005-0000-0000-00009E080000}"/>
    <cellStyle name="Calculation 2 6" xfId="2197" xr:uid="{00000000-0005-0000-0000-00009F080000}"/>
    <cellStyle name="Calculation 2 7" xfId="2198" xr:uid="{00000000-0005-0000-0000-0000A0080000}"/>
    <cellStyle name="Calculation 2 8" xfId="2199" xr:uid="{00000000-0005-0000-0000-0000A1080000}"/>
    <cellStyle name="Calculation 2 9" xfId="2200" xr:uid="{00000000-0005-0000-0000-0000A2080000}"/>
    <cellStyle name="Calculation 20" xfId="4342" xr:uid="{00000000-0005-0000-0000-0000A3080000}"/>
    <cellStyle name="Calculation 3" xfId="2201" xr:uid="{00000000-0005-0000-0000-0000A4080000}"/>
    <cellStyle name="Calculation 3 2" xfId="2202" xr:uid="{00000000-0005-0000-0000-0000A5080000}"/>
    <cellStyle name="Calculation 3 3" xfId="2203" xr:uid="{00000000-0005-0000-0000-0000A6080000}"/>
    <cellStyle name="Calculation 3 4" xfId="2204" xr:uid="{00000000-0005-0000-0000-0000A7080000}"/>
    <cellStyle name="Calculation 3 5" xfId="2205" xr:uid="{00000000-0005-0000-0000-0000A8080000}"/>
    <cellStyle name="Calculation 3 5 2" xfId="2206" xr:uid="{00000000-0005-0000-0000-0000A9080000}"/>
    <cellStyle name="Calculation 3 6" xfId="2207" xr:uid="{00000000-0005-0000-0000-0000AA080000}"/>
    <cellStyle name="Calculation 3 7" xfId="2208" xr:uid="{00000000-0005-0000-0000-0000AB080000}"/>
    <cellStyle name="Calculation 3 8" xfId="2209" xr:uid="{00000000-0005-0000-0000-0000AC080000}"/>
    <cellStyle name="Calculation 3 9" xfId="2210" xr:uid="{00000000-0005-0000-0000-0000AD080000}"/>
    <cellStyle name="Calculation 4" xfId="2211" xr:uid="{00000000-0005-0000-0000-0000AE080000}"/>
    <cellStyle name="Calculation 4 2" xfId="2212" xr:uid="{00000000-0005-0000-0000-0000AF080000}"/>
    <cellStyle name="Calculation 5" xfId="2213" xr:uid="{00000000-0005-0000-0000-0000B0080000}"/>
    <cellStyle name="Calculation 5 2" xfId="2214" xr:uid="{00000000-0005-0000-0000-0000B1080000}"/>
    <cellStyle name="Calculation 6" xfId="2215" xr:uid="{00000000-0005-0000-0000-0000B2080000}"/>
    <cellStyle name="Calculation 6 2" xfId="2216" xr:uid="{00000000-0005-0000-0000-0000B3080000}"/>
    <cellStyle name="Calculation 7" xfId="2217" xr:uid="{00000000-0005-0000-0000-0000B4080000}"/>
    <cellStyle name="Calculation 8" xfId="2218" xr:uid="{00000000-0005-0000-0000-0000B5080000}"/>
    <cellStyle name="Calculation 9" xfId="2219" xr:uid="{00000000-0005-0000-0000-0000B6080000}"/>
    <cellStyle name="Calculation 9 2" xfId="2220" xr:uid="{00000000-0005-0000-0000-0000B7080000}"/>
    <cellStyle name="Calculation 9 2 2" xfId="2221" xr:uid="{00000000-0005-0000-0000-0000B8080000}"/>
    <cellStyle name="Calculation 9 3" xfId="2222" xr:uid="{00000000-0005-0000-0000-0000B9080000}"/>
    <cellStyle name="Calculation 9 4" xfId="2223" xr:uid="{00000000-0005-0000-0000-0000BA080000}"/>
    <cellStyle name="Calculation 9 5" xfId="2224" xr:uid="{00000000-0005-0000-0000-0000BB080000}"/>
    <cellStyle name="can" xfId="2225" xr:uid="{00000000-0005-0000-0000-0000BC080000}"/>
    <cellStyle name="Case" xfId="2226" xr:uid="{00000000-0005-0000-0000-0000BD080000}"/>
    <cellStyle name="category" xfId="2227" xr:uid="{00000000-0005-0000-0000-0000BE080000}"/>
    <cellStyle name="Centered Heading" xfId="2228" xr:uid="{00000000-0005-0000-0000-0000BF080000}"/>
    <cellStyle name="Centered Heading Notes" xfId="2229" xr:uid="{00000000-0005-0000-0000-0000C0080000}"/>
    <cellStyle name="Centré" xfId="2230" xr:uid="{00000000-0005-0000-0000-0000C1080000}"/>
    <cellStyle name="Change" xfId="2231" xr:uid="{00000000-0005-0000-0000-0000C2080000}"/>
    <cellStyle name="ChartingText" xfId="2232" xr:uid="{00000000-0005-0000-0000-0000C3080000}"/>
    <cellStyle name="Check Cell 10" xfId="2233" xr:uid="{00000000-0005-0000-0000-0000C4080000}"/>
    <cellStyle name="Check Cell 10 2" xfId="2234" xr:uid="{00000000-0005-0000-0000-0000C5080000}"/>
    <cellStyle name="Check Cell 10 3" xfId="2235" xr:uid="{00000000-0005-0000-0000-0000C6080000}"/>
    <cellStyle name="Check Cell 11" xfId="2236" xr:uid="{00000000-0005-0000-0000-0000C7080000}"/>
    <cellStyle name="Check Cell 11 2" xfId="2237" xr:uid="{00000000-0005-0000-0000-0000C8080000}"/>
    <cellStyle name="Check Cell 11 3" xfId="2238" xr:uid="{00000000-0005-0000-0000-0000C9080000}"/>
    <cellStyle name="Check Cell 12" xfId="2239" xr:uid="{00000000-0005-0000-0000-0000CA080000}"/>
    <cellStyle name="Check Cell 12 2" xfId="2240" xr:uid="{00000000-0005-0000-0000-0000CB080000}"/>
    <cellStyle name="Check Cell 12 3" xfId="2241" xr:uid="{00000000-0005-0000-0000-0000CC080000}"/>
    <cellStyle name="Check Cell 13" xfId="2242" xr:uid="{00000000-0005-0000-0000-0000CD080000}"/>
    <cellStyle name="Check Cell 13 2" xfId="2243" xr:uid="{00000000-0005-0000-0000-0000CE080000}"/>
    <cellStyle name="Check Cell 13 3" xfId="2244" xr:uid="{00000000-0005-0000-0000-0000CF080000}"/>
    <cellStyle name="Check Cell 14" xfId="2245" xr:uid="{00000000-0005-0000-0000-0000D0080000}"/>
    <cellStyle name="Check Cell 14 2" xfId="2246" xr:uid="{00000000-0005-0000-0000-0000D1080000}"/>
    <cellStyle name="Check Cell 14 3" xfId="2247" xr:uid="{00000000-0005-0000-0000-0000D2080000}"/>
    <cellStyle name="Check Cell 15" xfId="2248" xr:uid="{00000000-0005-0000-0000-0000D3080000}"/>
    <cellStyle name="Check Cell 15 2" xfId="2249" xr:uid="{00000000-0005-0000-0000-0000D4080000}"/>
    <cellStyle name="Check Cell 15 3" xfId="2250" xr:uid="{00000000-0005-0000-0000-0000D5080000}"/>
    <cellStyle name="Check Cell 16" xfId="2251" xr:uid="{00000000-0005-0000-0000-0000D6080000}"/>
    <cellStyle name="Check Cell 17" xfId="2252" xr:uid="{00000000-0005-0000-0000-0000D7080000}"/>
    <cellStyle name="Check Cell 18" xfId="2253" xr:uid="{00000000-0005-0000-0000-0000D8080000}"/>
    <cellStyle name="Check Cell 19" xfId="2254" xr:uid="{00000000-0005-0000-0000-0000D9080000}"/>
    <cellStyle name="Check Cell 2" xfId="2255" xr:uid="{00000000-0005-0000-0000-0000DA080000}"/>
    <cellStyle name="Check Cell 2 10" xfId="2256" xr:uid="{00000000-0005-0000-0000-0000DB080000}"/>
    <cellStyle name="Check Cell 2 11" xfId="2257" xr:uid="{00000000-0005-0000-0000-0000DC080000}"/>
    <cellStyle name="Check Cell 2 12" xfId="2258" xr:uid="{00000000-0005-0000-0000-0000DD080000}"/>
    <cellStyle name="Check Cell 2 13" xfId="2259" xr:uid="{00000000-0005-0000-0000-0000DE080000}"/>
    <cellStyle name="Check Cell 2 14" xfId="2260" xr:uid="{00000000-0005-0000-0000-0000DF080000}"/>
    <cellStyle name="Check Cell 2 15" xfId="2261" xr:uid="{00000000-0005-0000-0000-0000E0080000}"/>
    <cellStyle name="Check Cell 2 2" xfId="2262" xr:uid="{00000000-0005-0000-0000-0000E1080000}"/>
    <cellStyle name="Check Cell 2 3" xfId="2263" xr:uid="{00000000-0005-0000-0000-0000E2080000}"/>
    <cellStyle name="Check Cell 2 4" xfId="2264" xr:uid="{00000000-0005-0000-0000-0000E3080000}"/>
    <cellStyle name="Check Cell 2 5" xfId="2265" xr:uid="{00000000-0005-0000-0000-0000E4080000}"/>
    <cellStyle name="Check Cell 2 6" xfId="2266" xr:uid="{00000000-0005-0000-0000-0000E5080000}"/>
    <cellStyle name="Check Cell 2 7" xfId="2267" xr:uid="{00000000-0005-0000-0000-0000E6080000}"/>
    <cellStyle name="Check Cell 2 8" xfId="2268" xr:uid="{00000000-0005-0000-0000-0000E7080000}"/>
    <cellStyle name="Check Cell 2 9" xfId="2269" xr:uid="{00000000-0005-0000-0000-0000E8080000}"/>
    <cellStyle name="Check Cell 20" xfId="4343" xr:uid="{00000000-0005-0000-0000-0000E9080000}"/>
    <cellStyle name="Check Cell 3" xfId="2270" xr:uid="{00000000-0005-0000-0000-0000EA080000}"/>
    <cellStyle name="Check Cell 3 2" xfId="2271" xr:uid="{00000000-0005-0000-0000-0000EB080000}"/>
    <cellStyle name="Check Cell 3 3" xfId="2272" xr:uid="{00000000-0005-0000-0000-0000EC080000}"/>
    <cellStyle name="Check Cell 3 4" xfId="2273" xr:uid="{00000000-0005-0000-0000-0000ED080000}"/>
    <cellStyle name="Check Cell 3 5" xfId="2274" xr:uid="{00000000-0005-0000-0000-0000EE080000}"/>
    <cellStyle name="Check Cell 3 6" xfId="2275" xr:uid="{00000000-0005-0000-0000-0000EF080000}"/>
    <cellStyle name="Check Cell 3 7" xfId="2276" xr:uid="{00000000-0005-0000-0000-0000F0080000}"/>
    <cellStyle name="Check Cell 3 8" xfId="2277" xr:uid="{00000000-0005-0000-0000-0000F1080000}"/>
    <cellStyle name="Check Cell 4" xfId="2278" xr:uid="{00000000-0005-0000-0000-0000F2080000}"/>
    <cellStyle name="Check Cell 4 2" xfId="2279" xr:uid="{00000000-0005-0000-0000-0000F3080000}"/>
    <cellStyle name="Check Cell 5" xfId="2280" xr:uid="{00000000-0005-0000-0000-0000F4080000}"/>
    <cellStyle name="Check Cell 5 2" xfId="2281" xr:uid="{00000000-0005-0000-0000-0000F5080000}"/>
    <cellStyle name="Check Cell 6" xfId="2282" xr:uid="{00000000-0005-0000-0000-0000F6080000}"/>
    <cellStyle name="Check Cell 6 2" xfId="2283" xr:uid="{00000000-0005-0000-0000-0000F7080000}"/>
    <cellStyle name="Check Cell 7" xfId="2284" xr:uid="{00000000-0005-0000-0000-0000F8080000}"/>
    <cellStyle name="Check Cell 8" xfId="2285" xr:uid="{00000000-0005-0000-0000-0000F9080000}"/>
    <cellStyle name="Check Cell 9" xfId="2286" xr:uid="{00000000-0005-0000-0000-0000FA080000}"/>
    <cellStyle name="Check Cell 9 2" xfId="2287" xr:uid="{00000000-0005-0000-0000-0000FB080000}"/>
    <cellStyle name="Check Cell 9 3" xfId="2288" xr:uid="{00000000-0005-0000-0000-0000FC080000}"/>
    <cellStyle name="Check Cell 9 4" xfId="2289" xr:uid="{00000000-0005-0000-0000-0000FD080000}"/>
    <cellStyle name="ColLevel_0" xfId="2290" xr:uid="{00000000-0005-0000-0000-0000FE080000}"/>
    <cellStyle name="ColumnAttributeAbovePrompt" xfId="2291" xr:uid="{00000000-0005-0000-0000-0000FF080000}"/>
    <cellStyle name="ColumnAttributePrompt" xfId="2292" xr:uid="{00000000-0005-0000-0000-000000090000}"/>
    <cellStyle name="ColumnAttributeValue" xfId="2293" xr:uid="{00000000-0005-0000-0000-000001090000}"/>
    <cellStyle name="ColumnHeaderNormal" xfId="2294" xr:uid="{00000000-0005-0000-0000-000002090000}"/>
    <cellStyle name="ColumnHeadingPrompt" xfId="2295" xr:uid="{00000000-0005-0000-0000-000003090000}"/>
    <cellStyle name="ColumnHeadingValue" xfId="2296" xr:uid="{00000000-0005-0000-0000-000004090000}"/>
    <cellStyle name="Comma  - Style1" xfId="2297" xr:uid="{00000000-0005-0000-0000-000006090000}"/>
    <cellStyle name="Comma  - Style2" xfId="2298" xr:uid="{00000000-0005-0000-0000-000007090000}"/>
    <cellStyle name="Comma  - Style3" xfId="2299" xr:uid="{00000000-0005-0000-0000-000008090000}"/>
    <cellStyle name="Comma  - Style4" xfId="2300" xr:uid="{00000000-0005-0000-0000-000009090000}"/>
    <cellStyle name="Comma  - Style5" xfId="2301" xr:uid="{00000000-0005-0000-0000-00000A090000}"/>
    <cellStyle name="Comma  - Style6" xfId="2302" xr:uid="{00000000-0005-0000-0000-00000B090000}"/>
    <cellStyle name="Comma  - Style7" xfId="2303" xr:uid="{00000000-0005-0000-0000-00000C090000}"/>
    <cellStyle name="Comma  - Style8" xfId="2304" xr:uid="{00000000-0005-0000-0000-00000D090000}"/>
    <cellStyle name="Comma [00]" xfId="2305" xr:uid="{00000000-0005-0000-0000-00000E090000}"/>
    <cellStyle name="Comma [00] 2" xfId="2306" xr:uid="{00000000-0005-0000-0000-00000F090000}"/>
    <cellStyle name="Comma [1]" xfId="2307" xr:uid="{00000000-0005-0000-0000-000010090000}"/>
    <cellStyle name="Comma 0" xfId="2308" xr:uid="{00000000-0005-0000-0000-000011090000}"/>
    <cellStyle name="Comma 0*" xfId="2309" xr:uid="{00000000-0005-0000-0000-000012090000}"/>
    <cellStyle name="Comma 0_- BP CONSO 2002-2012" xfId="2310" xr:uid="{00000000-0005-0000-0000-000013090000}"/>
    <cellStyle name="Comma 10" xfId="2311" xr:uid="{00000000-0005-0000-0000-000014090000}"/>
    <cellStyle name="Comma 11" xfId="2312" xr:uid="{00000000-0005-0000-0000-000015090000}"/>
    <cellStyle name="Comma 12" xfId="2313" xr:uid="{00000000-0005-0000-0000-000016090000}"/>
    <cellStyle name="Comma 13" xfId="2314" xr:uid="{00000000-0005-0000-0000-000017090000}"/>
    <cellStyle name="Comma 14" xfId="2315" xr:uid="{00000000-0005-0000-0000-000018090000}"/>
    <cellStyle name="Comma 15" xfId="2316" xr:uid="{00000000-0005-0000-0000-000019090000}"/>
    <cellStyle name="Comma 16" xfId="2317" xr:uid="{00000000-0005-0000-0000-00001A090000}"/>
    <cellStyle name="Comma 17" xfId="2318" xr:uid="{00000000-0005-0000-0000-00001B090000}"/>
    <cellStyle name="Comma 18" xfId="2319" xr:uid="{00000000-0005-0000-0000-00001C090000}"/>
    <cellStyle name="Comma 19" xfId="2320" xr:uid="{00000000-0005-0000-0000-00001D090000}"/>
    <cellStyle name="Comma 2" xfId="2" xr:uid="{00000000-0005-0000-0000-000001000000}"/>
    <cellStyle name="Comma 2 10" xfId="2321" xr:uid="{00000000-0005-0000-0000-00001F090000}"/>
    <cellStyle name="Comma 2 10 2" xfId="2322" xr:uid="{00000000-0005-0000-0000-000020090000}"/>
    <cellStyle name="Comma 2 11" xfId="2323" xr:uid="{00000000-0005-0000-0000-000021090000}"/>
    <cellStyle name="Comma 2 11 2" xfId="2324" xr:uid="{00000000-0005-0000-0000-000022090000}"/>
    <cellStyle name="Comma 2 12" xfId="2325" xr:uid="{00000000-0005-0000-0000-000023090000}"/>
    <cellStyle name="Comma 2 12 2" xfId="2326" xr:uid="{00000000-0005-0000-0000-000024090000}"/>
    <cellStyle name="Comma 2 13" xfId="2327" xr:uid="{00000000-0005-0000-0000-000025090000}"/>
    <cellStyle name="Comma 2 13 2" xfId="2328" xr:uid="{00000000-0005-0000-0000-000026090000}"/>
    <cellStyle name="Comma 2 14" xfId="2329" xr:uid="{00000000-0005-0000-0000-000027090000}"/>
    <cellStyle name="Comma 2 14 2" xfId="2330" xr:uid="{00000000-0005-0000-0000-000028090000}"/>
    <cellStyle name="Comma 2 15" xfId="2331" xr:uid="{00000000-0005-0000-0000-000029090000}"/>
    <cellStyle name="Comma 2 16" xfId="2332" xr:uid="{00000000-0005-0000-0000-00002A090000}"/>
    <cellStyle name="Comma 2 17" xfId="10" xr:uid="{00000000-0005-0000-0000-00001E090000}"/>
    <cellStyle name="Comma 2 2" xfId="2333" xr:uid="{00000000-0005-0000-0000-00002B090000}"/>
    <cellStyle name="Comma 2 2 2" xfId="2334" xr:uid="{00000000-0005-0000-0000-00002C090000}"/>
    <cellStyle name="Comma 2 2 2 2" xfId="2335" xr:uid="{00000000-0005-0000-0000-00002D090000}"/>
    <cellStyle name="Comma 2 2 2 2 2" xfId="2336" xr:uid="{00000000-0005-0000-0000-00002E090000}"/>
    <cellStyle name="Comma 2 2 2 3" xfId="2337" xr:uid="{00000000-0005-0000-0000-00002F090000}"/>
    <cellStyle name="Comma 2 2 3" xfId="2338" xr:uid="{00000000-0005-0000-0000-000030090000}"/>
    <cellStyle name="Comma 2 2 4" xfId="2339" xr:uid="{00000000-0005-0000-0000-000031090000}"/>
    <cellStyle name="Comma 2 3" xfId="2340" xr:uid="{00000000-0005-0000-0000-000032090000}"/>
    <cellStyle name="Comma 2 3 2" xfId="2341" xr:uid="{00000000-0005-0000-0000-000033090000}"/>
    <cellStyle name="Comma 2 3 2 2" xfId="2342" xr:uid="{00000000-0005-0000-0000-000034090000}"/>
    <cellStyle name="Comma 2 3 3" xfId="2343" xr:uid="{00000000-0005-0000-0000-000035090000}"/>
    <cellStyle name="Comma 2 3 4" xfId="2344" xr:uid="{00000000-0005-0000-0000-000036090000}"/>
    <cellStyle name="Comma 2 3 5" xfId="2345" xr:uid="{00000000-0005-0000-0000-000037090000}"/>
    <cellStyle name="Comma 2 3 6" xfId="2346" xr:uid="{00000000-0005-0000-0000-000038090000}"/>
    <cellStyle name="Comma 2 3 7" xfId="2347" xr:uid="{00000000-0005-0000-0000-000039090000}"/>
    <cellStyle name="Comma 2 4" xfId="2348" xr:uid="{00000000-0005-0000-0000-00003A090000}"/>
    <cellStyle name="Comma 2 4 2" xfId="2349" xr:uid="{00000000-0005-0000-0000-00003B090000}"/>
    <cellStyle name="Comma 2 4 3" xfId="2350" xr:uid="{00000000-0005-0000-0000-00003C090000}"/>
    <cellStyle name="Comma 2 5" xfId="2351" xr:uid="{00000000-0005-0000-0000-00003D090000}"/>
    <cellStyle name="Comma 2 5 2" xfId="2352" xr:uid="{00000000-0005-0000-0000-00003E090000}"/>
    <cellStyle name="Comma 2 5 2 2" xfId="2353" xr:uid="{00000000-0005-0000-0000-00003F090000}"/>
    <cellStyle name="Comma 2 5 3" xfId="2354" xr:uid="{00000000-0005-0000-0000-000040090000}"/>
    <cellStyle name="Comma 2 5 4" xfId="2355" xr:uid="{00000000-0005-0000-0000-000041090000}"/>
    <cellStyle name="Comma 2 5 5" xfId="2356" xr:uid="{00000000-0005-0000-0000-000042090000}"/>
    <cellStyle name="Comma 2 6" xfId="2357" xr:uid="{00000000-0005-0000-0000-000043090000}"/>
    <cellStyle name="Comma 2 6 2" xfId="2358" xr:uid="{00000000-0005-0000-0000-000044090000}"/>
    <cellStyle name="Comma 2 7" xfId="2359" xr:uid="{00000000-0005-0000-0000-000045090000}"/>
    <cellStyle name="Comma 2 7 2" xfId="2360" xr:uid="{00000000-0005-0000-0000-000046090000}"/>
    <cellStyle name="Comma 2 8" xfId="2361" xr:uid="{00000000-0005-0000-0000-000047090000}"/>
    <cellStyle name="Comma 2 8 2" xfId="2362" xr:uid="{00000000-0005-0000-0000-000048090000}"/>
    <cellStyle name="Comma 2 9" xfId="2363" xr:uid="{00000000-0005-0000-0000-000049090000}"/>
    <cellStyle name="Comma 2 9 2" xfId="2364" xr:uid="{00000000-0005-0000-0000-00004A090000}"/>
    <cellStyle name="Comma 2_Cashflow Q1 CY09" xfId="2365" xr:uid="{00000000-0005-0000-0000-00004B090000}"/>
    <cellStyle name="Comma 20" xfId="2366" xr:uid="{00000000-0005-0000-0000-00004C090000}"/>
    <cellStyle name="Comma 21" xfId="2367" xr:uid="{00000000-0005-0000-0000-00004D090000}"/>
    <cellStyle name="Comma 22" xfId="2368" xr:uid="{00000000-0005-0000-0000-00004E090000}"/>
    <cellStyle name="Comma 23" xfId="2369" xr:uid="{00000000-0005-0000-0000-00004F090000}"/>
    <cellStyle name="Comma 24" xfId="2370" xr:uid="{00000000-0005-0000-0000-000050090000}"/>
    <cellStyle name="Comma 25" xfId="2371" xr:uid="{00000000-0005-0000-0000-000051090000}"/>
    <cellStyle name="Comma 26" xfId="2372" xr:uid="{00000000-0005-0000-0000-000052090000}"/>
    <cellStyle name="Comma 27" xfId="2373" xr:uid="{00000000-0005-0000-0000-000053090000}"/>
    <cellStyle name="Comma 28" xfId="2374" xr:uid="{00000000-0005-0000-0000-000054090000}"/>
    <cellStyle name="Comma 29" xfId="2375" xr:uid="{00000000-0005-0000-0000-000055090000}"/>
    <cellStyle name="Comma 3" xfId="2376" xr:uid="{00000000-0005-0000-0000-000056090000}"/>
    <cellStyle name="Comma 3 2" xfId="2377" xr:uid="{00000000-0005-0000-0000-000057090000}"/>
    <cellStyle name="Comma 3 2 2" xfId="2378" xr:uid="{00000000-0005-0000-0000-000058090000}"/>
    <cellStyle name="Comma 3 2 2 2" xfId="2379" xr:uid="{00000000-0005-0000-0000-000059090000}"/>
    <cellStyle name="Comma 3 2 2 3" xfId="2380" xr:uid="{00000000-0005-0000-0000-00005A090000}"/>
    <cellStyle name="Comma 3 2 3" xfId="2381" xr:uid="{00000000-0005-0000-0000-00005B090000}"/>
    <cellStyle name="Comma 3 2 4" xfId="2382" xr:uid="{00000000-0005-0000-0000-00005C090000}"/>
    <cellStyle name="Comma 3 3" xfId="2383" xr:uid="{00000000-0005-0000-0000-00005D090000}"/>
    <cellStyle name="Comma 3 4" xfId="2384" xr:uid="{00000000-0005-0000-0000-00005E090000}"/>
    <cellStyle name="Comma 3 4 2" xfId="2385" xr:uid="{00000000-0005-0000-0000-00005F090000}"/>
    <cellStyle name="Comma 3 4 3" xfId="2386" xr:uid="{00000000-0005-0000-0000-000060090000}"/>
    <cellStyle name="Comma 3 5" xfId="2387" xr:uid="{00000000-0005-0000-0000-000061090000}"/>
    <cellStyle name="Comma 30" xfId="2388" xr:uid="{00000000-0005-0000-0000-000062090000}"/>
    <cellStyle name="Comma 31" xfId="2389" xr:uid="{00000000-0005-0000-0000-000063090000}"/>
    <cellStyle name="Comma 32" xfId="2390" xr:uid="{00000000-0005-0000-0000-000064090000}"/>
    <cellStyle name="Comma 33" xfId="2391" xr:uid="{00000000-0005-0000-0000-000065090000}"/>
    <cellStyle name="Comma 34" xfId="2392" xr:uid="{00000000-0005-0000-0000-000066090000}"/>
    <cellStyle name="Comma 35" xfId="2393" xr:uid="{00000000-0005-0000-0000-000067090000}"/>
    <cellStyle name="Comma 36" xfId="2394" xr:uid="{00000000-0005-0000-0000-000068090000}"/>
    <cellStyle name="Comma 37" xfId="2395" xr:uid="{00000000-0005-0000-0000-000069090000}"/>
    <cellStyle name="Comma 38" xfId="2396" xr:uid="{00000000-0005-0000-0000-00006A090000}"/>
    <cellStyle name="Comma 39" xfId="2397" xr:uid="{00000000-0005-0000-0000-00006B090000}"/>
    <cellStyle name="Comma 4" xfId="2398" xr:uid="{00000000-0005-0000-0000-00006C090000}"/>
    <cellStyle name="Comma 4 2" xfId="2399" xr:uid="{00000000-0005-0000-0000-00006D090000}"/>
    <cellStyle name="Comma 4 2 2" xfId="2400" xr:uid="{00000000-0005-0000-0000-00006E090000}"/>
    <cellStyle name="Comma 4 3" xfId="2401" xr:uid="{00000000-0005-0000-0000-00006F090000}"/>
    <cellStyle name="Comma 40" xfId="2402" xr:uid="{00000000-0005-0000-0000-000070090000}"/>
    <cellStyle name="Comma 41" xfId="2403" xr:uid="{00000000-0005-0000-0000-000071090000}"/>
    <cellStyle name="Comma 42" xfId="2404" xr:uid="{00000000-0005-0000-0000-000072090000}"/>
    <cellStyle name="Comma 43" xfId="2405" xr:uid="{00000000-0005-0000-0000-000073090000}"/>
    <cellStyle name="Comma 44" xfId="4315" xr:uid="{00000000-0005-0000-0000-000074090000}"/>
    <cellStyle name="Comma 44 2" xfId="4360" xr:uid="{00000000-0005-0000-0000-000075090000}"/>
    <cellStyle name="Comma 45" xfId="6" xr:uid="{00000000-0005-0000-0000-000039090000}"/>
    <cellStyle name="Comma 5" xfId="2406" xr:uid="{00000000-0005-0000-0000-000076090000}"/>
    <cellStyle name="Comma 5 2" xfId="2407" xr:uid="{00000000-0005-0000-0000-000077090000}"/>
    <cellStyle name="Comma 5 2 2" xfId="2408" xr:uid="{00000000-0005-0000-0000-000078090000}"/>
    <cellStyle name="Comma 5 2 2 2" xfId="2409" xr:uid="{00000000-0005-0000-0000-000079090000}"/>
    <cellStyle name="Comma 5 2 2 3" xfId="2410" xr:uid="{00000000-0005-0000-0000-00007A090000}"/>
    <cellStyle name="Comma 5 2 3" xfId="2411" xr:uid="{00000000-0005-0000-0000-00007B090000}"/>
    <cellStyle name="Comma 5 2 4" xfId="2412" xr:uid="{00000000-0005-0000-0000-00007C090000}"/>
    <cellStyle name="Comma 5 3" xfId="2413" xr:uid="{00000000-0005-0000-0000-00007D090000}"/>
    <cellStyle name="Comma 6" xfId="2414" xr:uid="{00000000-0005-0000-0000-00007E090000}"/>
    <cellStyle name="Comma 6 2" xfId="2415" xr:uid="{00000000-0005-0000-0000-00007F090000}"/>
    <cellStyle name="Comma 6 3" xfId="2416" xr:uid="{00000000-0005-0000-0000-000080090000}"/>
    <cellStyle name="Comma 7" xfId="2417" xr:uid="{00000000-0005-0000-0000-000081090000}"/>
    <cellStyle name="Comma 8" xfId="2418" xr:uid="{00000000-0005-0000-0000-000082090000}"/>
    <cellStyle name="Comma 9" xfId="2419" xr:uid="{00000000-0005-0000-0000-000083090000}"/>
    <cellStyle name="comma zerodec" xfId="2420" xr:uid="{00000000-0005-0000-0000-000084090000}"/>
    <cellStyle name="Comma0" xfId="2421" xr:uid="{00000000-0005-0000-0000-000085090000}"/>
    <cellStyle name="Comma0 2" xfId="2422" xr:uid="{00000000-0005-0000-0000-000086090000}"/>
    <cellStyle name="Copied" xfId="2423" xr:uid="{00000000-0005-0000-0000-000087090000}"/>
    <cellStyle name="Copied 2" xfId="2424" xr:uid="{00000000-0005-0000-0000-000088090000}"/>
    <cellStyle name="Copy Decimal 0" xfId="2425" xr:uid="{00000000-0005-0000-0000-000089090000}"/>
    <cellStyle name="Copy Decimal 0 10" xfId="2426" xr:uid="{00000000-0005-0000-0000-00008A090000}"/>
    <cellStyle name="Copy Decimal 0 11" xfId="2427" xr:uid="{00000000-0005-0000-0000-00008B090000}"/>
    <cellStyle name="Copy Decimal 0 12" xfId="2428" xr:uid="{00000000-0005-0000-0000-00008C090000}"/>
    <cellStyle name="Copy Decimal 0 2" xfId="2429" xr:uid="{00000000-0005-0000-0000-00008D090000}"/>
    <cellStyle name="Copy Decimal 0 3" xfId="2430" xr:uid="{00000000-0005-0000-0000-00008E090000}"/>
    <cellStyle name="Copy Decimal 0 4" xfId="2431" xr:uid="{00000000-0005-0000-0000-00008F090000}"/>
    <cellStyle name="Copy Decimal 0 5" xfId="2432" xr:uid="{00000000-0005-0000-0000-000090090000}"/>
    <cellStyle name="Copy Decimal 0 6" xfId="2433" xr:uid="{00000000-0005-0000-0000-000091090000}"/>
    <cellStyle name="Copy Decimal 0 7" xfId="2434" xr:uid="{00000000-0005-0000-0000-000092090000}"/>
    <cellStyle name="Copy Decimal 0 8" xfId="2435" xr:uid="{00000000-0005-0000-0000-000093090000}"/>
    <cellStyle name="Copy Decimal 0 9" xfId="2436" xr:uid="{00000000-0005-0000-0000-000094090000}"/>
    <cellStyle name="Copy Decimal 0,00" xfId="2437" xr:uid="{00000000-0005-0000-0000-000095090000}"/>
    <cellStyle name="Copy Decimal 0,00 10" xfId="2438" xr:uid="{00000000-0005-0000-0000-000096090000}"/>
    <cellStyle name="Copy Decimal 0,00 11" xfId="2439" xr:uid="{00000000-0005-0000-0000-000097090000}"/>
    <cellStyle name="Copy Decimal 0,00 12" xfId="2440" xr:uid="{00000000-0005-0000-0000-000098090000}"/>
    <cellStyle name="Copy Decimal 0,00 2" xfId="2441" xr:uid="{00000000-0005-0000-0000-000099090000}"/>
    <cellStyle name="Copy Decimal 0,00 3" xfId="2442" xr:uid="{00000000-0005-0000-0000-00009A090000}"/>
    <cellStyle name="Copy Decimal 0,00 4" xfId="2443" xr:uid="{00000000-0005-0000-0000-00009B090000}"/>
    <cellStyle name="Copy Decimal 0,00 5" xfId="2444" xr:uid="{00000000-0005-0000-0000-00009C090000}"/>
    <cellStyle name="Copy Decimal 0,00 6" xfId="2445" xr:uid="{00000000-0005-0000-0000-00009D090000}"/>
    <cellStyle name="Copy Decimal 0,00 7" xfId="2446" xr:uid="{00000000-0005-0000-0000-00009E090000}"/>
    <cellStyle name="Copy Decimal 0,00 8" xfId="2447" xr:uid="{00000000-0005-0000-0000-00009F090000}"/>
    <cellStyle name="Copy Decimal 0,00 9" xfId="2448" xr:uid="{00000000-0005-0000-0000-0000A0090000}"/>
    <cellStyle name="Copy Decimal 0_Durchrechnung MEU" xfId="2449" xr:uid="{00000000-0005-0000-0000-0000A1090000}"/>
    <cellStyle name="Copy Percent 0" xfId="2450" xr:uid="{00000000-0005-0000-0000-0000A2090000}"/>
    <cellStyle name="Copy Percent 0 10" xfId="2451" xr:uid="{00000000-0005-0000-0000-0000A3090000}"/>
    <cellStyle name="Copy Percent 0 11" xfId="2452" xr:uid="{00000000-0005-0000-0000-0000A4090000}"/>
    <cellStyle name="Copy Percent 0 12" xfId="2453" xr:uid="{00000000-0005-0000-0000-0000A5090000}"/>
    <cellStyle name="Copy Percent 0 2" xfId="2454" xr:uid="{00000000-0005-0000-0000-0000A6090000}"/>
    <cellStyle name="Copy Percent 0 3" xfId="2455" xr:uid="{00000000-0005-0000-0000-0000A7090000}"/>
    <cellStyle name="Copy Percent 0 4" xfId="2456" xr:uid="{00000000-0005-0000-0000-0000A8090000}"/>
    <cellStyle name="Copy Percent 0 5" xfId="2457" xr:uid="{00000000-0005-0000-0000-0000A9090000}"/>
    <cellStyle name="Copy Percent 0 6" xfId="2458" xr:uid="{00000000-0005-0000-0000-0000AA090000}"/>
    <cellStyle name="Copy Percent 0 7" xfId="2459" xr:uid="{00000000-0005-0000-0000-0000AB090000}"/>
    <cellStyle name="Copy Percent 0 8" xfId="2460" xr:uid="{00000000-0005-0000-0000-0000AC090000}"/>
    <cellStyle name="Copy Percent 0 9" xfId="2461" xr:uid="{00000000-0005-0000-0000-0000AD090000}"/>
    <cellStyle name="Copy Percent 0,00" xfId="2462" xr:uid="{00000000-0005-0000-0000-0000AE090000}"/>
    <cellStyle name="Copy Percent 0,00 10" xfId="2463" xr:uid="{00000000-0005-0000-0000-0000AF090000}"/>
    <cellStyle name="Copy Percent 0,00 11" xfId="2464" xr:uid="{00000000-0005-0000-0000-0000B0090000}"/>
    <cellStyle name="Copy Percent 0,00 12" xfId="2465" xr:uid="{00000000-0005-0000-0000-0000B1090000}"/>
    <cellStyle name="Copy Percent 0,00 2" xfId="2466" xr:uid="{00000000-0005-0000-0000-0000B2090000}"/>
    <cellStyle name="Copy Percent 0,00 3" xfId="2467" xr:uid="{00000000-0005-0000-0000-0000B3090000}"/>
    <cellStyle name="Copy Percent 0,00 4" xfId="2468" xr:uid="{00000000-0005-0000-0000-0000B4090000}"/>
    <cellStyle name="Copy Percent 0,00 5" xfId="2469" xr:uid="{00000000-0005-0000-0000-0000B5090000}"/>
    <cellStyle name="Copy Percent 0,00 6" xfId="2470" xr:uid="{00000000-0005-0000-0000-0000B6090000}"/>
    <cellStyle name="Copy Percent 0,00 7" xfId="2471" xr:uid="{00000000-0005-0000-0000-0000B7090000}"/>
    <cellStyle name="Copy Percent 0,00 8" xfId="2472" xr:uid="{00000000-0005-0000-0000-0000B8090000}"/>
    <cellStyle name="Copy Percent 0,00 9" xfId="2473" xr:uid="{00000000-0005-0000-0000-0000B9090000}"/>
    <cellStyle name="Copy Percent 0_Form CC 1 2 4 June 05" xfId="2474" xr:uid="{00000000-0005-0000-0000-0000BA090000}"/>
    <cellStyle name="COST1" xfId="2475" xr:uid="{00000000-0005-0000-0000-0000BB090000}"/>
    <cellStyle name="Cur" xfId="2476" xr:uid="{00000000-0005-0000-0000-0000BC090000}"/>
    <cellStyle name="Currency [00]" xfId="2477" xr:uid="{00000000-0005-0000-0000-0000BE090000}"/>
    <cellStyle name="Currency [00] 2" xfId="2478" xr:uid="{00000000-0005-0000-0000-0000BF090000}"/>
    <cellStyle name="Currency [1]" xfId="2479" xr:uid="{00000000-0005-0000-0000-0000C0090000}"/>
    <cellStyle name="Currency [2]" xfId="2480" xr:uid="{00000000-0005-0000-0000-0000C1090000}"/>
    <cellStyle name="Currency 0" xfId="2481" xr:uid="{00000000-0005-0000-0000-0000C2090000}"/>
    <cellStyle name="Currency 10" xfId="2482" xr:uid="{00000000-0005-0000-0000-0000C3090000}"/>
    <cellStyle name="Currency 11" xfId="2483" xr:uid="{00000000-0005-0000-0000-0000C4090000}"/>
    <cellStyle name="Currency 12" xfId="2484" xr:uid="{00000000-0005-0000-0000-0000C5090000}"/>
    <cellStyle name="Currency 13" xfId="2485" xr:uid="{00000000-0005-0000-0000-0000C6090000}"/>
    <cellStyle name="Currency 14" xfId="2486" xr:uid="{00000000-0005-0000-0000-0000C7090000}"/>
    <cellStyle name="Currency 15" xfId="2487" xr:uid="{00000000-0005-0000-0000-0000C8090000}"/>
    <cellStyle name="Currency 16" xfId="2488" xr:uid="{00000000-0005-0000-0000-0000C9090000}"/>
    <cellStyle name="Currency 17" xfId="2489" xr:uid="{00000000-0005-0000-0000-0000CA090000}"/>
    <cellStyle name="Currency 18" xfId="2490" xr:uid="{00000000-0005-0000-0000-0000CB090000}"/>
    <cellStyle name="Currency 19" xfId="4314" xr:uid="{00000000-0005-0000-0000-0000CC090000}"/>
    <cellStyle name="Currency 19 2" xfId="4359" xr:uid="{00000000-0005-0000-0000-0000CD090000}"/>
    <cellStyle name="Currency 2" xfId="9" xr:uid="{00000000-0005-0000-0000-0000CE090000}"/>
    <cellStyle name="Currency 2 10" xfId="2491" xr:uid="{00000000-0005-0000-0000-0000CF090000}"/>
    <cellStyle name="Currency 2 11" xfId="2492" xr:uid="{00000000-0005-0000-0000-0000D0090000}"/>
    <cellStyle name="Currency 2 12" xfId="2493" xr:uid="{00000000-0005-0000-0000-0000D1090000}"/>
    <cellStyle name="Currency 2 13" xfId="2494" xr:uid="{00000000-0005-0000-0000-0000D2090000}"/>
    <cellStyle name="Currency 2 14" xfId="2495" xr:uid="{00000000-0005-0000-0000-0000D3090000}"/>
    <cellStyle name="Currency 2 15" xfId="2496" xr:uid="{00000000-0005-0000-0000-0000D4090000}"/>
    <cellStyle name="Currency 2 2" xfId="2497" xr:uid="{00000000-0005-0000-0000-0000D5090000}"/>
    <cellStyle name="Currency 2 3" xfId="2498" xr:uid="{00000000-0005-0000-0000-0000D6090000}"/>
    <cellStyle name="Currency 2 4" xfId="2499" xr:uid="{00000000-0005-0000-0000-0000D7090000}"/>
    <cellStyle name="Currency 2 5" xfId="2500" xr:uid="{00000000-0005-0000-0000-0000D8090000}"/>
    <cellStyle name="Currency 2 6" xfId="2501" xr:uid="{00000000-0005-0000-0000-0000D9090000}"/>
    <cellStyle name="Currency 2 7" xfId="2502" xr:uid="{00000000-0005-0000-0000-0000DA090000}"/>
    <cellStyle name="Currency 2 8" xfId="2503" xr:uid="{00000000-0005-0000-0000-0000DB090000}"/>
    <cellStyle name="Currency 2 9" xfId="2504" xr:uid="{00000000-0005-0000-0000-0000DC090000}"/>
    <cellStyle name="Currency 20" xfId="7" xr:uid="{00000000-0005-0000-0000-0000F1090000}"/>
    <cellStyle name="Currency 3" xfId="2505" xr:uid="{00000000-0005-0000-0000-0000DD090000}"/>
    <cellStyle name="Currency 4" xfId="2506" xr:uid="{00000000-0005-0000-0000-0000DE090000}"/>
    <cellStyle name="Currency 4 2" xfId="2507" xr:uid="{00000000-0005-0000-0000-0000DF090000}"/>
    <cellStyle name="Currency 4 3" xfId="2508" xr:uid="{00000000-0005-0000-0000-0000E0090000}"/>
    <cellStyle name="Currency 4 4" xfId="2509" xr:uid="{00000000-0005-0000-0000-0000E1090000}"/>
    <cellStyle name="Currency 5" xfId="2510" xr:uid="{00000000-0005-0000-0000-0000E2090000}"/>
    <cellStyle name="Currency 6" xfId="2511" xr:uid="{00000000-0005-0000-0000-0000E3090000}"/>
    <cellStyle name="Currency 7" xfId="2512" xr:uid="{00000000-0005-0000-0000-0000E4090000}"/>
    <cellStyle name="Currency 8" xfId="2513" xr:uid="{00000000-0005-0000-0000-0000E5090000}"/>
    <cellStyle name="Currency 9" xfId="2514" xr:uid="{00000000-0005-0000-0000-0000E6090000}"/>
    <cellStyle name="Currency0" xfId="2515" xr:uid="{00000000-0005-0000-0000-0000E7090000}"/>
    <cellStyle name="Currency0 2" xfId="2516" xr:uid="{00000000-0005-0000-0000-0000E8090000}"/>
    <cellStyle name="Currency1" xfId="2517" xr:uid="{00000000-0005-0000-0000-0000E9090000}"/>
    <cellStyle name="Currency-Denomination" xfId="2518" xr:uid="{00000000-0005-0000-0000-0000EA090000}"/>
    <cellStyle name="current day" xfId="2519" xr:uid="{00000000-0005-0000-0000-0000EB090000}"/>
    <cellStyle name="Cyndie" xfId="2520" xr:uid="{00000000-0005-0000-0000-0000EC090000}"/>
    <cellStyle name="DAILY_TITLE" xfId="2521" xr:uid="{00000000-0005-0000-0000-0000ED090000}"/>
    <cellStyle name="Data" xfId="2522" xr:uid="{00000000-0005-0000-0000-0000EE090000}"/>
    <cellStyle name="Date" xfId="2523" xr:uid="{00000000-0005-0000-0000-0000EF090000}"/>
    <cellStyle name="Date [mm-d-yyyy]" xfId="2524" xr:uid="{00000000-0005-0000-0000-0000F0090000}"/>
    <cellStyle name="Date [mmm-d-yyyy]" xfId="2525" xr:uid="{00000000-0005-0000-0000-0000F1090000}"/>
    <cellStyle name="Date [mmm-yyyy]" xfId="2526" xr:uid="{00000000-0005-0000-0000-0000F2090000}"/>
    <cellStyle name="Date 2" xfId="2527" xr:uid="{00000000-0005-0000-0000-0000F3090000}"/>
    <cellStyle name="Date Aligned" xfId="2528" xr:uid="{00000000-0005-0000-0000-0000F4090000}"/>
    <cellStyle name="Date dd-mmm" xfId="2529" xr:uid="{00000000-0005-0000-0000-0000F5090000}"/>
    <cellStyle name="Date dd-mmm-yy" xfId="2530" xr:uid="{00000000-0005-0000-0000-0000F6090000}"/>
    <cellStyle name="Date mmm-yy" xfId="2531" xr:uid="{00000000-0005-0000-0000-0000F7090000}"/>
    <cellStyle name="Date Short" xfId="2532" xr:uid="{00000000-0005-0000-0000-0000F8090000}"/>
    <cellStyle name="Date_- BP CONSO 2002-2012" xfId="2533" xr:uid="{00000000-0005-0000-0000-0000F9090000}"/>
    <cellStyle name="Date2" xfId="2534" xr:uid="{00000000-0005-0000-0000-0000FA090000}"/>
    <cellStyle name="Dati" xfId="2535" xr:uid="{00000000-0005-0000-0000-0000FB090000}"/>
    <cellStyle name="Dati Dec" xfId="2536" xr:uid="{00000000-0005-0000-0000-0000FC090000}"/>
    <cellStyle name="DAVE" xfId="2537" xr:uid="{00000000-0005-0000-0000-0000FD090000}"/>
    <cellStyle name="Décalé" xfId="2538" xr:uid="{00000000-0005-0000-0000-0000FE090000}"/>
    <cellStyle name="Decimal 0,0" xfId="2539" xr:uid="{00000000-0005-0000-0000-0000FF090000}"/>
    <cellStyle name="Decimal 0,00" xfId="2540" xr:uid="{00000000-0005-0000-0000-0000000A0000}"/>
    <cellStyle name="Decimal 0,0000" xfId="2541" xr:uid="{00000000-0005-0000-0000-0000010A0000}"/>
    <cellStyle name="Decimal_0dp" xfId="2542" xr:uid="{00000000-0005-0000-0000-0000020A0000}"/>
    <cellStyle name="default" xfId="2543" xr:uid="{00000000-0005-0000-0000-0000030A0000}"/>
    <cellStyle name="DELTA" xfId="2544" xr:uid="{00000000-0005-0000-0000-0000040A0000}"/>
    <cellStyle name="Deviant" xfId="2545" xr:uid="{00000000-0005-0000-0000-0000050A0000}"/>
    <cellStyle name="Dezimal [+line]" xfId="2546" xr:uid="{00000000-0005-0000-0000-0000060A0000}"/>
    <cellStyle name="Dezimal [0]_Acquisition stats" xfId="2547" xr:uid="{00000000-0005-0000-0000-0000070A0000}"/>
    <cellStyle name="Dezimal_Acquisition stats" xfId="2548" xr:uid="{00000000-0005-0000-0000-0000080A0000}"/>
    <cellStyle name="DimDown" xfId="2549" xr:uid="{00000000-0005-0000-0000-0000090A0000}"/>
    <cellStyle name="DimDownBold" xfId="2550" xr:uid="{00000000-0005-0000-0000-00000A0A0000}"/>
    <cellStyle name="DimDownTitle" xfId="2551" xr:uid="{00000000-0005-0000-0000-00000B0A0000}"/>
    <cellStyle name="Dollar" xfId="2552" xr:uid="{00000000-0005-0000-0000-00000C0A0000}"/>
    <cellStyle name="Dollar (zero dec)" xfId="2553" xr:uid="{00000000-0005-0000-0000-00000D0A0000}"/>
    <cellStyle name="DollarAmount" xfId="2554" xr:uid="{00000000-0005-0000-0000-00000E0A0000}"/>
    <cellStyle name="DollarAmountBorder" xfId="2555" xr:uid="{00000000-0005-0000-0000-00000F0A0000}"/>
    <cellStyle name="DollarAmountBorderMed" xfId="2556" xr:uid="{00000000-0005-0000-0000-0000100A0000}"/>
    <cellStyle name="DollarAmountBtmBorderMed" xfId="2557" xr:uid="{00000000-0005-0000-0000-0000110A0000}"/>
    <cellStyle name="DollarAmtTopBorder" xfId="2558" xr:uid="{00000000-0005-0000-0000-0000120A0000}"/>
    <cellStyle name="Dotted" xfId="2559" xr:uid="{00000000-0005-0000-0000-0000130A0000}"/>
    <cellStyle name="Dotted Line" xfId="2560" xr:uid="{00000000-0005-0000-0000-0000140A0000}"/>
    <cellStyle name="Double" xfId="2561" xr:uid="{00000000-0005-0000-0000-0000150A0000}"/>
    <cellStyle name="Double Accounting" xfId="2562" xr:uid="{00000000-0005-0000-0000-0000160A0000}"/>
    <cellStyle name="DropDown" xfId="2563" xr:uid="{00000000-0005-0000-0000-0000170A0000}"/>
    <cellStyle name="Eingabe" xfId="2564" xr:uid="{00000000-0005-0000-0000-0000180A0000}"/>
    <cellStyle name="Eingabe 10" xfId="2565" xr:uid="{00000000-0005-0000-0000-0000190A0000}"/>
    <cellStyle name="Eingabe 11" xfId="2566" xr:uid="{00000000-0005-0000-0000-00001A0A0000}"/>
    <cellStyle name="Eingabe 12" xfId="2567" xr:uid="{00000000-0005-0000-0000-00001B0A0000}"/>
    <cellStyle name="Eingabe 2" xfId="2568" xr:uid="{00000000-0005-0000-0000-00001C0A0000}"/>
    <cellStyle name="Eingabe 3" xfId="2569" xr:uid="{00000000-0005-0000-0000-00001D0A0000}"/>
    <cellStyle name="Eingabe 4" xfId="2570" xr:uid="{00000000-0005-0000-0000-00001E0A0000}"/>
    <cellStyle name="Eingabe 5" xfId="2571" xr:uid="{00000000-0005-0000-0000-00001F0A0000}"/>
    <cellStyle name="Eingabe 6" xfId="2572" xr:uid="{00000000-0005-0000-0000-0000200A0000}"/>
    <cellStyle name="Eingabe 7" xfId="2573" xr:uid="{00000000-0005-0000-0000-0000210A0000}"/>
    <cellStyle name="Eingabe 8" xfId="2574" xr:uid="{00000000-0005-0000-0000-0000220A0000}"/>
    <cellStyle name="Eingabe 9" xfId="2575" xr:uid="{00000000-0005-0000-0000-0000230A0000}"/>
    <cellStyle name="Enter Currency (0)" xfId="2576" xr:uid="{00000000-0005-0000-0000-0000240A0000}"/>
    <cellStyle name="Enter Currency (0) 2" xfId="2577" xr:uid="{00000000-0005-0000-0000-0000250A0000}"/>
    <cellStyle name="Enter Currency (2)" xfId="2578" xr:uid="{00000000-0005-0000-0000-0000260A0000}"/>
    <cellStyle name="Enter Currency (2) 2" xfId="2579" xr:uid="{00000000-0005-0000-0000-0000270A0000}"/>
    <cellStyle name="Enter Units (0)" xfId="2580" xr:uid="{00000000-0005-0000-0000-0000280A0000}"/>
    <cellStyle name="Enter Units (0) 2" xfId="2581" xr:uid="{00000000-0005-0000-0000-0000290A0000}"/>
    <cellStyle name="Enter Units (1)" xfId="2582" xr:uid="{00000000-0005-0000-0000-00002A0A0000}"/>
    <cellStyle name="Enter Units (1) 2" xfId="2583" xr:uid="{00000000-0005-0000-0000-00002B0A0000}"/>
    <cellStyle name="Enter Units (2)" xfId="2584" xr:uid="{00000000-0005-0000-0000-00002C0A0000}"/>
    <cellStyle name="Enter Units (2) 2" xfId="2585" xr:uid="{00000000-0005-0000-0000-00002D0A0000}"/>
    <cellStyle name="Entered" xfId="2586" xr:uid="{00000000-0005-0000-0000-00002E0A0000}"/>
    <cellStyle name="Entered 2" xfId="2587" xr:uid="{00000000-0005-0000-0000-00002F0A0000}"/>
    <cellStyle name="Est - $" xfId="2588" xr:uid="{00000000-0005-0000-0000-0000300A0000}"/>
    <cellStyle name="Est - %" xfId="2589" xr:uid="{00000000-0005-0000-0000-0000310A0000}"/>
    <cellStyle name="Est 0,000.0" xfId="2590" xr:uid="{00000000-0005-0000-0000-0000320A0000}"/>
    <cellStyle name="Euro" xfId="2591" xr:uid="{00000000-0005-0000-0000-0000330A0000}"/>
    <cellStyle name="Euro 2" xfId="2592" xr:uid="{00000000-0005-0000-0000-0000340A0000}"/>
    <cellStyle name="Euro 3" xfId="2593" xr:uid="{00000000-0005-0000-0000-0000350A0000}"/>
    <cellStyle name="Euro 4" xfId="2594" xr:uid="{00000000-0005-0000-0000-0000360A0000}"/>
    <cellStyle name="Euro 5" xfId="2595" xr:uid="{00000000-0005-0000-0000-0000370A0000}"/>
    <cellStyle name="Euro 6" xfId="2596" xr:uid="{00000000-0005-0000-0000-0000380A0000}"/>
    <cellStyle name="Euro_Cashflow Q1 CY09" xfId="2597" xr:uid="{00000000-0005-0000-0000-0000390A0000}"/>
    <cellStyle name="Explanatory Text 10" xfId="2598" xr:uid="{00000000-0005-0000-0000-00003A0A0000}"/>
    <cellStyle name="Explanatory Text 10 2" xfId="2599" xr:uid="{00000000-0005-0000-0000-00003B0A0000}"/>
    <cellStyle name="Explanatory Text 10 3" xfId="2600" xr:uid="{00000000-0005-0000-0000-00003C0A0000}"/>
    <cellStyle name="Explanatory Text 11" xfId="2601" xr:uid="{00000000-0005-0000-0000-00003D0A0000}"/>
    <cellStyle name="Explanatory Text 11 2" xfId="2602" xr:uid="{00000000-0005-0000-0000-00003E0A0000}"/>
    <cellStyle name="Explanatory Text 11 3" xfId="2603" xr:uid="{00000000-0005-0000-0000-00003F0A0000}"/>
    <cellStyle name="Explanatory Text 12" xfId="2604" xr:uid="{00000000-0005-0000-0000-0000400A0000}"/>
    <cellStyle name="Explanatory Text 12 2" xfId="2605" xr:uid="{00000000-0005-0000-0000-0000410A0000}"/>
    <cellStyle name="Explanatory Text 12 3" xfId="2606" xr:uid="{00000000-0005-0000-0000-0000420A0000}"/>
    <cellStyle name="Explanatory Text 13" xfId="2607" xr:uid="{00000000-0005-0000-0000-0000430A0000}"/>
    <cellStyle name="Explanatory Text 13 2" xfId="2608" xr:uid="{00000000-0005-0000-0000-0000440A0000}"/>
    <cellStyle name="Explanatory Text 13 3" xfId="2609" xr:uid="{00000000-0005-0000-0000-0000450A0000}"/>
    <cellStyle name="Explanatory Text 14" xfId="2610" xr:uid="{00000000-0005-0000-0000-0000460A0000}"/>
    <cellStyle name="Explanatory Text 14 2" xfId="2611" xr:uid="{00000000-0005-0000-0000-0000470A0000}"/>
    <cellStyle name="Explanatory Text 14 3" xfId="2612" xr:uid="{00000000-0005-0000-0000-0000480A0000}"/>
    <cellStyle name="Explanatory Text 15" xfId="2613" xr:uid="{00000000-0005-0000-0000-0000490A0000}"/>
    <cellStyle name="Explanatory Text 15 2" xfId="2614" xr:uid="{00000000-0005-0000-0000-00004A0A0000}"/>
    <cellStyle name="Explanatory Text 15 3" xfId="2615" xr:uid="{00000000-0005-0000-0000-00004B0A0000}"/>
    <cellStyle name="Explanatory Text 16" xfId="2616" xr:uid="{00000000-0005-0000-0000-00004C0A0000}"/>
    <cellStyle name="Explanatory Text 17" xfId="2617" xr:uid="{00000000-0005-0000-0000-00004D0A0000}"/>
    <cellStyle name="Explanatory Text 18" xfId="2618" xr:uid="{00000000-0005-0000-0000-00004E0A0000}"/>
    <cellStyle name="Explanatory Text 19" xfId="4344" xr:uid="{00000000-0005-0000-0000-00004F0A0000}"/>
    <cellStyle name="Explanatory Text 2" xfId="2619" xr:uid="{00000000-0005-0000-0000-0000500A0000}"/>
    <cellStyle name="Explanatory Text 2 10" xfId="2620" xr:uid="{00000000-0005-0000-0000-0000510A0000}"/>
    <cellStyle name="Explanatory Text 2 11" xfId="2621" xr:uid="{00000000-0005-0000-0000-0000520A0000}"/>
    <cellStyle name="Explanatory Text 2 12" xfId="2622" xr:uid="{00000000-0005-0000-0000-0000530A0000}"/>
    <cellStyle name="Explanatory Text 2 13" xfId="2623" xr:uid="{00000000-0005-0000-0000-0000540A0000}"/>
    <cellStyle name="Explanatory Text 2 14" xfId="2624" xr:uid="{00000000-0005-0000-0000-0000550A0000}"/>
    <cellStyle name="Explanatory Text 2 15" xfId="2625" xr:uid="{00000000-0005-0000-0000-0000560A0000}"/>
    <cellStyle name="Explanatory Text 2 2" xfId="2626" xr:uid="{00000000-0005-0000-0000-0000570A0000}"/>
    <cellStyle name="Explanatory Text 2 3" xfId="2627" xr:uid="{00000000-0005-0000-0000-0000580A0000}"/>
    <cellStyle name="Explanatory Text 2 4" xfId="2628" xr:uid="{00000000-0005-0000-0000-0000590A0000}"/>
    <cellStyle name="Explanatory Text 2 5" xfId="2629" xr:uid="{00000000-0005-0000-0000-00005A0A0000}"/>
    <cellStyle name="Explanatory Text 2 6" xfId="2630" xr:uid="{00000000-0005-0000-0000-00005B0A0000}"/>
    <cellStyle name="Explanatory Text 2 7" xfId="2631" xr:uid="{00000000-0005-0000-0000-00005C0A0000}"/>
    <cellStyle name="Explanatory Text 2 8" xfId="2632" xr:uid="{00000000-0005-0000-0000-00005D0A0000}"/>
    <cellStyle name="Explanatory Text 2 9" xfId="2633" xr:uid="{00000000-0005-0000-0000-00005E0A0000}"/>
    <cellStyle name="Explanatory Text 3" xfId="2634" xr:uid="{00000000-0005-0000-0000-00005F0A0000}"/>
    <cellStyle name="Explanatory Text 3 2" xfId="2635" xr:uid="{00000000-0005-0000-0000-0000600A0000}"/>
    <cellStyle name="Explanatory Text 3 3" xfId="2636" xr:uid="{00000000-0005-0000-0000-0000610A0000}"/>
    <cellStyle name="Explanatory Text 3 4" xfId="2637" xr:uid="{00000000-0005-0000-0000-0000620A0000}"/>
    <cellStyle name="Explanatory Text 3 5" xfId="2638" xr:uid="{00000000-0005-0000-0000-0000630A0000}"/>
    <cellStyle name="Explanatory Text 3 6" xfId="2639" xr:uid="{00000000-0005-0000-0000-0000640A0000}"/>
    <cellStyle name="Explanatory Text 3 7" xfId="2640" xr:uid="{00000000-0005-0000-0000-0000650A0000}"/>
    <cellStyle name="Explanatory Text 3 8" xfId="2641" xr:uid="{00000000-0005-0000-0000-0000660A0000}"/>
    <cellStyle name="Explanatory Text 4" xfId="2642" xr:uid="{00000000-0005-0000-0000-0000670A0000}"/>
    <cellStyle name="Explanatory Text 4 2" xfId="2643" xr:uid="{00000000-0005-0000-0000-0000680A0000}"/>
    <cellStyle name="Explanatory Text 5" xfId="2644" xr:uid="{00000000-0005-0000-0000-0000690A0000}"/>
    <cellStyle name="Explanatory Text 5 2" xfId="2645" xr:uid="{00000000-0005-0000-0000-00006A0A0000}"/>
    <cellStyle name="Explanatory Text 6" xfId="2646" xr:uid="{00000000-0005-0000-0000-00006B0A0000}"/>
    <cellStyle name="Explanatory Text 6 2" xfId="2647" xr:uid="{00000000-0005-0000-0000-00006C0A0000}"/>
    <cellStyle name="Explanatory Text 7" xfId="2648" xr:uid="{00000000-0005-0000-0000-00006D0A0000}"/>
    <cellStyle name="Explanatory Text 8" xfId="2649" xr:uid="{00000000-0005-0000-0000-00006E0A0000}"/>
    <cellStyle name="Explanatory Text 9" xfId="2650" xr:uid="{00000000-0005-0000-0000-00006F0A0000}"/>
    <cellStyle name="Explanatory Text 9 2" xfId="2651" xr:uid="{00000000-0005-0000-0000-0000700A0000}"/>
    <cellStyle name="Explanatory Text 9 3" xfId="2652" xr:uid="{00000000-0005-0000-0000-0000710A0000}"/>
    <cellStyle name="Explanatory Text 9 4" xfId="2653" xr:uid="{00000000-0005-0000-0000-0000720A0000}"/>
    <cellStyle name="Ezres [0]_Cable" xfId="2654" xr:uid="{00000000-0005-0000-0000-0000730A0000}"/>
    <cellStyle name="Ezres_Cable" xfId="2655" xr:uid="{00000000-0005-0000-0000-0000740A0000}"/>
    <cellStyle name="F H.T." xfId="2656" xr:uid="{00000000-0005-0000-0000-0000750A0000}"/>
    <cellStyle name="fa_column_header_bottom" xfId="3" xr:uid="{00000000-0005-0000-0000-000002000000}"/>
    <cellStyle name="FF_EURO" xfId="2657" xr:uid="{00000000-0005-0000-0000-0000760A0000}"/>
    <cellStyle name="Fixed" xfId="2658" xr:uid="{00000000-0005-0000-0000-0000770A0000}"/>
    <cellStyle name="Fixed [0]" xfId="2659" xr:uid="{00000000-0005-0000-0000-0000780A0000}"/>
    <cellStyle name="Fixed 2" xfId="2660" xr:uid="{00000000-0005-0000-0000-0000790A0000}"/>
    <cellStyle name="Fixed_Cashflow Q1 CY09" xfId="2661" xr:uid="{00000000-0005-0000-0000-00007A0A0000}"/>
    <cellStyle name="Footnote" xfId="2662" xr:uid="{00000000-0005-0000-0000-00007B0A0000}"/>
    <cellStyle name="Forecast Cell Column Heading" xfId="2663" xr:uid="{00000000-0005-0000-0000-00007C0A0000}"/>
    <cellStyle name="format - Style1" xfId="2664" xr:uid="{00000000-0005-0000-0000-00007D0A0000}"/>
    <cellStyle name="Formula" xfId="2665" xr:uid="{00000000-0005-0000-0000-00007E0A0000}"/>
    <cellStyle name="Geneva 9" xfId="2666" xr:uid="{00000000-0005-0000-0000-00007F0A0000}"/>
    <cellStyle name="Giga" xfId="2667" xr:uid="{00000000-0005-0000-0000-0000800A0000}"/>
    <cellStyle name="Good 10" xfId="2668" xr:uid="{00000000-0005-0000-0000-0000810A0000}"/>
    <cellStyle name="Good 10 2" xfId="2669" xr:uid="{00000000-0005-0000-0000-0000820A0000}"/>
    <cellStyle name="Good 10 3" xfId="2670" xr:uid="{00000000-0005-0000-0000-0000830A0000}"/>
    <cellStyle name="Good 11" xfId="2671" xr:uid="{00000000-0005-0000-0000-0000840A0000}"/>
    <cellStyle name="Good 11 2" xfId="2672" xr:uid="{00000000-0005-0000-0000-0000850A0000}"/>
    <cellStyle name="Good 11 3" xfId="2673" xr:uid="{00000000-0005-0000-0000-0000860A0000}"/>
    <cellStyle name="Good 12" xfId="2674" xr:uid="{00000000-0005-0000-0000-0000870A0000}"/>
    <cellStyle name="Good 12 2" xfId="2675" xr:uid="{00000000-0005-0000-0000-0000880A0000}"/>
    <cellStyle name="Good 12 3" xfId="2676" xr:uid="{00000000-0005-0000-0000-0000890A0000}"/>
    <cellStyle name="Good 13" xfId="2677" xr:uid="{00000000-0005-0000-0000-00008A0A0000}"/>
    <cellStyle name="Good 13 2" xfId="2678" xr:uid="{00000000-0005-0000-0000-00008B0A0000}"/>
    <cellStyle name="Good 13 3" xfId="2679" xr:uid="{00000000-0005-0000-0000-00008C0A0000}"/>
    <cellStyle name="Good 14" xfId="2680" xr:uid="{00000000-0005-0000-0000-00008D0A0000}"/>
    <cellStyle name="Good 14 2" xfId="2681" xr:uid="{00000000-0005-0000-0000-00008E0A0000}"/>
    <cellStyle name="Good 14 3" xfId="2682" xr:uid="{00000000-0005-0000-0000-00008F0A0000}"/>
    <cellStyle name="Good 15" xfId="2683" xr:uid="{00000000-0005-0000-0000-0000900A0000}"/>
    <cellStyle name="Good 15 2" xfId="2684" xr:uid="{00000000-0005-0000-0000-0000910A0000}"/>
    <cellStyle name="Good 15 3" xfId="2685" xr:uid="{00000000-0005-0000-0000-0000920A0000}"/>
    <cellStyle name="Good 16" xfId="2686" xr:uid="{00000000-0005-0000-0000-0000930A0000}"/>
    <cellStyle name="Good 17" xfId="2687" xr:uid="{00000000-0005-0000-0000-0000940A0000}"/>
    <cellStyle name="Good 18" xfId="2688" xr:uid="{00000000-0005-0000-0000-0000950A0000}"/>
    <cellStyle name="Good 19" xfId="2689" xr:uid="{00000000-0005-0000-0000-0000960A0000}"/>
    <cellStyle name="Good 2" xfId="2690" xr:uid="{00000000-0005-0000-0000-0000970A0000}"/>
    <cellStyle name="Good 2 10" xfId="2691" xr:uid="{00000000-0005-0000-0000-0000980A0000}"/>
    <cellStyle name="Good 2 11" xfId="2692" xr:uid="{00000000-0005-0000-0000-0000990A0000}"/>
    <cellStyle name="Good 2 12" xfId="2693" xr:uid="{00000000-0005-0000-0000-00009A0A0000}"/>
    <cellStyle name="Good 2 13" xfId="2694" xr:uid="{00000000-0005-0000-0000-00009B0A0000}"/>
    <cellStyle name="Good 2 14" xfId="2695" xr:uid="{00000000-0005-0000-0000-00009C0A0000}"/>
    <cellStyle name="Good 2 15" xfId="2696" xr:uid="{00000000-0005-0000-0000-00009D0A0000}"/>
    <cellStyle name="Good 2 2" xfId="2697" xr:uid="{00000000-0005-0000-0000-00009E0A0000}"/>
    <cellStyle name="Good 2 3" xfId="2698" xr:uid="{00000000-0005-0000-0000-00009F0A0000}"/>
    <cellStyle name="Good 2 4" xfId="2699" xr:uid="{00000000-0005-0000-0000-0000A00A0000}"/>
    <cellStyle name="Good 2 5" xfId="2700" xr:uid="{00000000-0005-0000-0000-0000A10A0000}"/>
    <cellStyle name="Good 2 6" xfId="2701" xr:uid="{00000000-0005-0000-0000-0000A20A0000}"/>
    <cellStyle name="Good 2 7" xfId="2702" xr:uid="{00000000-0005-0000-0000-0000A30A0000}"/>
    <cellStyle name="Good 2 8" xfId="2703" xr:uid="{00000000-0005-0000-0000-0000A40A0000}"/>
    <cellStyle name="Good 2 9" xfId="2704" xr:uid="{00000000-0005-0000-0000-0000A50A0000}"/>
    <cellStyle name="Good 20" xfId="4345" xr:uid="{00000000-0005-0000-0000-0000A60A0000}"/>
    <cellStyle name="Good 3" xfId="2705" xr:uid="{00000000-0005-0000-0000-0000A70A0000}"/>
    <cellStyle name="Good 3 2" xfId="2706" xr:uid="{00000000-0005-0000-0000-0000A80A0000}"/>
    <cellStyle name="Good 3 3" xfId="2707" xr:uid="{00000000-0005-0000-0000-0000A90A0000}"/>
    <cellStyle name="Good 3 4" xfId="2708" xr:uid="{00000000-0005-0000-0000-0000AA0A0000}"/>
    <cellStyle name="Good 3 5" xfId="2709" xr:uid="{00000000-0005-0000-0000-0000AB0A0000}"/>
    <cellStyle name="Good 3 6" xfId="2710" xr:uid="{00000000-0005-0000-0000-0000AC0A0000}"/>
    <cellStyle name="Good 3 7" xfId="2711" xr:uid="{00000000-0005-0000-0000-0000AD0A0000}"/>
    <cellStyle name="Good 3 8" xfId="2712" xr:uid="{00000000-0005-0000-0000-0000AE0A0000}"/>
    <cellStyle name="Good 4" xfId="2713" xr:uid="{00000000-0005-0000-0000-0000AF0A0000}"/>
    <cellStyle name="Good 4 2" xfId="2714" xr:uid="{00000000-0005-0000-0000-0000B00A0000}"/>
    <cellStyle name="Good 5" xfId="2715" xr:uid="{00000000-0005-0000-0000-0000B10A0000}"/>
    <cellStyle name="Good 5 2" xfId="2716" xr:uid="{00000000-0005-0000-0000-0000B20A0000}"/>
    <cellStyle name="Good 6" xfId="2717" xr:uid="{00000000-0005-0000-0000-0000B30A0000}"/>
    <cellStyle name="Good 6 2" xfId="2718" xr:uid="{00000000-0005-0000-0000-0000B40A0000}"/>
    <cellStyle name="Good 7" xfId="2719" xr:uid="{00000000-0005-0000-0000-0000B50A0000}"/>
    <cellStyle name="Good 8" xfId="2720" xr:uid="{00000000-0005-0000-0000-0000B60A0000}"/>
    <cellStyle name="Good 9" xfId="2721" xr:uid="{00000000-0005-0000-0000-0000B70A0000}"/>
    <cellStyle name="Good 9 2" xfId="2722" xr:uid="{00000000-0005-0000-0000-0000B80A0000}"/>
    <cellStyle name="Good 9 3" xfId="2723" xr:uid="{00000000-0005-0000-0000-0000B90A0000}"/>
    <cellStyle name="Good 9 4" xfId="2724" xr:uid="{00000000-0005-0000-0000-0000BA0A0000}"/>
    <cellStyle name="Grey" xfId="2725" xr:uid="{00000000-0005-0000-0000-0000BB0A0000}"/>
    <cellStyle name="Grün_Ausgabe" xfId="2726" xr:uid="{00000000-0005-0000-0000-0000BC0A0000}"/>
    <cellStyle name="Hard Percent" xfId="2727" xr:uid="{00000000-0005-0000-0000-0000BD0A0000}"/>
    <cellStyle name="HEADER" xfId="2728" xr:uid="{00000000-0005-0000-0000-0000BE0A0000}"/>
    <cellStyle name="Header 2" xfId="2729" xr:uid="{00000000-0005-0000-0000-0000BF0A0000}"/>
    <cellStyle name="Header Total" xfId="2730" xr:uid="{00000000-0005-0000-0000-0000C00A0000}"/>
    <cellStyle name="header_Balance Sheet July 9 IFRS Sept 18" xfId="2731" xr:uid="{00000000-0005-0000-0000-0000C10A0000}"/>
    <cellStyle name="Header1" xfId="2732" xr:uid="{00000000-0005-0000-0000-0000C20A0000}"/>
    <cellStyle name="Header2" xfId="2733" xr:uid="{00000000-0005-0000-0000-0000C30A0000}"/>
    <cellStyle name="Header3" xfId="2734" xr:uid="{00000000-0005-0000-0000-0000C40A0000}"/>
    <cellStyle name="Header4" xfId="2735" xr:uid="{00000000-0005-0000-0000-0000C50A0000}"/>
    <cellStyle name="Header4 10" xfId="2736" xr:uid="{00000000-0005-0000-0000-0000C60A0000}"/>
    <cellStyle name="Header4 11" xfId="2737" xr:uid="{00000000-0005-0000-0000-0000C70A0000}"/>
    <cellStyle name="Header4 12" xfId="2738" xr:uid="{00000000-0005-0000-0000-0000C80A0000}"/>
    <cellStyle name="Header4 2" xfId="2739" xr:uid="{00000000-0005-0000-0000-0000C90A0000}"/>
    <cellStyle name="Header4 3" xfId="2740" xr:uid="{00000000-0005-0000-0000-0000CA0A0000}"/>
    <cellStyle name="Header4 4" xfId="2741" xr:uid="{00000000-0005-0000-0000-0000CB0A0000}"/>
    <cellStyle name="Header4 5" xfId="2742" xr:uid="{00000000-0005-0000-0000-0000CC0A0000}"/>
    <cellStyle name="Header4 6" xfId="2743" xr:uid="{00000000-0005-0000-0000-0000CD0A0000}"/>
    <cellStyle name="Header4 7" xfId="2744" xr:uid="{00000000-0005-0000-0000-0000CE0A0000}"/>
    <cellStyle name="Header4 8" xfId="2745" xr:uid="{00000000-0005-0000-0000-0000CF0A0000}"/>
    <cellStyle name="Header4 9" xfId="2746" xr:uid="{00000000-0005-0000-0000-0000D00A0000}"/>
    <cellStyle name="Heading" xfId="2747" xr:uid="{00000000-0005-0000-0000-0000D10A0000}"/>
    <cellStyle name="Heading 1 10" xfId="2748" xr:uid="{00000000-0005-0000-0000-0000D20A0000}"/>
    <cellStyle name="Heading 1 10 2" xfId="2749" xr:uid="{00000000-0005-0000-0000-0000D30A0000}"/>
    <cellStyle name="Heading 1 10 3" xfId="2750" xr:uid="{00000000-0005-0000-0000-0000D40A0000}"/>
    <cellStyle name="Heading 1 10 4" xfId="2751" xr:uid="{00000000-0005-0000-0000-0000D50A0000}"/>
    <cellStyle name="Heading 1 11" xfId="2752" xr:uid="{00000000-0005-0000-0000-0000D60A0000}"/>
    <cellStyle name="Heading 1 11 2" xfId="2753" xr:uid="{00000000-0005-0000-0000-0000D70A0000}"/>
    <cellStyle name="Heading 1 11 3" xfId="2754" xr:uid="{00000000-0005-0000-0000-0000D80A0000}"/>
    <cellStyle name="Heading 1 11 4" xfId="2755" xr:uid="{00000000-0005-0000-0000-0000D90A0000}"/>
    <cellStyle name="Heading 1 12" xfId="2756" xr:uid="{00000000-0005-0000-0000-0000DA0A0000}"/>
    <cellStyle name="Heading 1 12 2" xfId="2757" xr:uid="{00000000-0005-0000-0000-0000DB0A0000}"/>
    <cellStyle name="Heading 1 12 3" xfId="2758" xr:uid="{00000000-0005-0000-0000-0000DC0A0000}"/>
    <cellStyle name="Heading 1 12 4" xfId="2759" xr:uid="{00000000-0005-0000-0000-0000DD0A0000}"/>
    <cellStyle name="Heading 1 13" xfId="2760" xr:uid="{00000000-0005-0000-0000-0000DE0A0000}"/>
    <cellStyle name="Heading 1 13 2" xfId="2761" xr:uid="{00000000-0005-0000-0000-0000DF0A0000}"/>
    <cellStyle name="Heading 1 13 3" xfId="2762" xr:uid="{00000000-0005-0000-0000-0000E00A0000}"/>
    <cellStyle name="Heading 1 13 4" xfId="2763" xr:uid="{00000000-0005-0000-0000-0000E10A0000}"/>
    <cellStyle name="Heading 1 14" xfId="2764" xr:uid="{00000000-0005-0000-0000-0000E20A0000}"/>
    <cellStyle name="Heading 1 14 2" xfId="2765" xr:uid="{00000000-0005-0000-0000-0000E30A0000}"/>
    <cellStyle name="Heading 1 14 3" xfId="2766" xr:uid="{00000000-0005-0000-0000-0000E40A0000}"/>
    <cellStyle name="Heading 1 14 4" xfId="2767" xr:uid="{00000000-0005-0000-0000-0000E50A0000}"/>
    <cellStyle name="Heading 1 15" xfId="2768" xr:uid="{00000000-0005-0000-0000-0000E60A0000}"/>
    <cellStyle name="Heading 1 15 2" xfId="2769" xr:uid="{00000000-0005-0000-0000-0000E70A0000}"/>
    <cellStyle name="Heading 1 15 3" xfId="2770" xr:uid="{00000000-0005-0000-0000-0000E80A0000}"/>
    <cellStyle name="Heading 1 15 4" xfId="2771" xr:uid="{00000000-0005-0000-0000-0000E90A0000}"/>
    <cellStyle name="Heading 1 16" xfId="2772" xr:uid="{00000000-0005-0000-0000-0000EA0A0000}"/>
    <cellStyle name="Heading 1 17" xfId="2773" xr:uid="{00000000-0005-0000-0000-0000EB0A0000}"/>
    <cellStyle name="Heading 1 18" xfId="2774" xr:uid="{00000000-0005-0000-0000-0000EC0A0000}"/>
    <cellStyle name="Heading 1 19" xfId="4346" xr:uid="{00000000-0005-0000-0000-0000ED0A0000}"/>
    <cellStyle name="Heading 1 2" xfId="2775" xr:uid="{00000000-0005-0000-0000-0000EE0A0000}"/>
    <cellStyle name="Heading 1 2 10" xfId="2776" xr:uid="{00000000-0005-0000-0000-0000EF0A0000}"/>
    <cellStyle name="Heading 1 2 10 2" xfId="2777" xr:uid="{00000000-0005-0000-0000-0000F00A0000}"/>
    <cellStyle name="Heading 1 2 11" xfId="2778" xr:uid="{00000000-0005-0000-0000-0000F10A0000}"/>
    <cellStyle name="Heading 1 2 12" xfId="2779" xr:uid="{00000000-0005-0000-0000-0000F20A0000}"/>
    <cellStyle name="Heading 1 2 13" xfId="2780" xr:uid="{00000000-0005-0000-0000-0000F30A0000}"/>
    <cellStyle name="Heading 1 2 14" xfId="2781" xr:uid="{00000000-0005-0000-0000-0000F40A0000}"/>
    <cellStyle name="Heading 1 2 15" xfId="2782" xr:uid="{00000000-0005-0000-0000-0000F50A0000}"/>
    <cellStyle name="Heading 1 2 2" xfId="2783" xr:uid="{00000000-0005-0000-0000-0000F60A0000}"/>
    <cellStyle name="Heading 1 2 3" xfId="2784" xr:uid="{00000000-0005-0000-0000-0000F70A0000}"/>
    <cellStyle name="Heading 1 2 4" xfId="2785" xr:uid="{00000000-0005-0000-0000-0000F80A0000}"/>
    <cellStyle name="Heading 1 2 5" xfId="2786" xr:uid="{00000000-0005-0000-0000-0000F90A0000}"/>
    <cellStyle name="Heading 1 2 6" xfId="2787" xr:uid="{00000000-0005-0000-0000-0000FA0A0000}"/>
    <cellStyle name="Heading 1 2 7" xfId="2788" xr:uid="{00000000-0005-0000-0000-0000FB0A0000}"/>
    <cellStyle name="Heading 1 2 8" xfId="2789" xr:uid="{00000000-0005-0000-0000-0000FC0A0000}"/>
    <cellStyle name="Heading 1 2 9" xfId="2790" xr:uid="{00000000-0005-0000-0000-0000FD0A0000}"/>
    <cellStyle name="Heading 1 3" xfId="2791" xr:uid="{00000000-0005-0000-0000-0000FE0A0000}"/>
    <cellStyle name="Heading 1 3 2" xfId="2792" xr:uid="{00000000-0005-0000-0000-0000FF0A0000}"/>
    <cellStyle name="Heading 1 3 2 2" xfId="2793" xr:uid="{00000000-0005-0000-0000-0000000B0000}"/>
    <cellStyle name="Heading 1 3 2 3" xfId="2794" xr:uid="{00000000-0005-0000-0000-0000010B0000}"/>
    <cellStyle name="Heading 1 3 3" xfId="2795" xr:uid="{00000000-0005-0000-0000-0000020B0000}"/>
    <cellStyle name="Heading 1 3 4" xfId="2796" xr:uid="{00000000-0005-0000-0000-0000030B0000}"/>
    <cellStyle name="Heading 1 3 5" xfId="2797" xr:uid="{00000000-0005-0000-0000-0000040B0000}"/>
    <cellStyle name="Heading 1 3 5 2" xfId="2798" xr:uid="{00000000-0005-0000-0000-0000050B0000}"/>
    <cellStyle name="Heading 1 3 6" xfId="2799" xr:uid="{00000000-0005-0000-0000-0000060B0000}"/>
    <cellStyle name="Heading 1 3 7" xfId="2800" xr:uid="{00000000-0005-0000-0000-0000070B0000}"/>
    <cellStyle name="Heading 1 3 8" xfId="2801" xr:uid="{00000000-0005-0000-0000-0000080B0000}"/>
    <cellStyle name="Heading 1 3 9" xfId="2802" xr:uid="{00000000-0005-0000-0000-0000090B0000}"/>
    <cellStyle name="Heading 1 4" xfId="2803" xr:uid="{00000000-0005-0000-0000-00000A0B0000}"/>
    <cellStyle name="Heading 1 4 2" xfId="2804" xr:uid="{00000000-0005-0000-0000-00000B0B0000}"/>
    <cellStyle name="Heading 1 4 3" xfId="2805" xr:uid="{00000000-0005-0000-0000-00000C0B0000}"/>
    <cellStyle name="Heading 1 5" xfId="2806" xr:uid="{00000000-0005-0000-0000-00000D0B0000}"/>
    <cellStyle name="Heading 1 5 2" xfId="2807" xr:uid="{00000000-0005-0000-0000-00000E0B0000}"/>
    <cellStyle name="Heading 1 5 3" xfId="2808" xr:uid="{00000000-0005-0000-0000-00000F0B0000}"/>
    <cellStyle name="Heading 1 6" xfId="2809" xr:uid="{00000000-0005-0000-0000-0000100B0000}"/>
    <cellStyle name="Heading 1 6 2" xfId="2810" xr:uid="{00000000-0005-0000-0000-0000110B0000}"/>
    <cellStyle name="Heading 1 6 3" xfId="2811" xr:uid="{00000000-0005-0000-0000-0000120B0000}"/>
    <cellStyle name="Heading 1 7" xfId="2812" xr:uid="{00000000-0005-0000-0000-0000130B0000}"/>
    <cellStyle name="Heading 1 7 2" xfId="2813" xr:uid="{00000000-0005-0000-0000-0000140B0000}"/>
    <cellStyle name="Heading 1 7 3" xfId="2814" xr:uid="{00000000-0005-0000-0000-0000150B0000}"/>
    <cellStyle name="Heading 1 8" xfId="2815" xr:uid="{00000000-0005-0000-0000-0000160B0000}"/>
    <cellStyle name="Heading 1 8 2" xfId="2816" xr:uid="{00000000-0005-0000-0000-0000170B0000}"/>
    <cellStyle name="Heading 1 8 3" xfId="2817" xr:uid="{00000000-0005-0000-0000-0000180B0000}"/>
    <cellStyle name="Heading 1 9" xfId="2818" xr:uid="{00000000-0005-0000-0000-0000190B0000}"/>
    <cellStyle name="Heading 1 9 2" xfId="2819" xr:uid="{00000000-0005-0000-0000-00001A0B0000}"/>
    <cellStyle name="Heading 1 9 2 2" xfId="2820" xr:uid="{00000000-0005-0000-0000-00001B0B0000}"/>
    <cellStyle name="Heading 1 9 3" xfId="2821" xr:uid="{00000000-0005-0000-0000-00001C0B0000}"/>
    <cellStyle name="Heading 1 9 4" xfId="2822" xr:uid="{00000000-0005-0000-0000-00001D0B0000}"/>
    <cellStyle name="Heading 1 9 5" xfId="2823" xr:uid="{00000000-0005-0000-0000-00001E0B0000}"/>
    <cellStyle name="Heading 10" xfId="2824" xr:uid="{00000000-0005-0000-0000-00001F0B0000}"/>
    <cellStyle name="Heading 11" xfId="2825" xr:uid="{00000000-0005-0000-0000-0000200B0000}"/>
    <cellStyle name="Heading 12" xfId="2826" xr:uid="{00000000-0005-0000-0000-0000210B0000}"/>
    <cellStyle name="Heading 13" xfId="2827" xr:uid="{00000000-0005-0000-0000-0000220B0000}"/>
    <cellStyle name="Heading 14" xfId="2828" xr:uid="{00000000-0005-0000-0000-0000230B0000}"/>
    <cellStyle name="Heading 15" xfId="2829" xr:uid="{00000000-0005-0000-0000-0000240B0000}"/>
    <cellStyle name="Heading 2 10" xfId="2830" xr:uid="{00000000-0005-0000-0000-0000250B0000}"/>
    <cellStyle name="Heading 2 10 2" xfId="2831" xr:uid="{00000000-0005-0000-0000-0000260B0000}"/>
    <cellStyle name="Heading 2 10 3" xfId="2832" xr:uid="{00000000-0005-0000-0000-0000270B0000}"/>
    <cellStyle name="Heading 2 10 4" xfId="2833" xr:uid="{00000000-0005-0000-0000-0000280B0000}"/>
    <cellStyle name="Heading 2 11" xfId="2834" xr:uid="{00000000-0005-0000-0000-0000290B0000}"/>
    <cellStyle name="Heading 2 11 2" xfId="2835" xr:uid="{00000000-0005-0000-0000-00002A0B0000}"/>
    <cellStyle name="Heading 2 11 3" xfId="2836" xr:uid="{00000000-0005-0000-0000-00002B0B0000}"/>
    <cellStyle name="Heading 2 11 4" xfId="2837" xr:uid="{00000000-0005-0000-0000-00002C0B0000}"/>
    <cellStyle name="Heading 2 12" xfId="2838" xr:uid="{00000000-0005-0000-0000-00002D0B0000}"/>
    <cellStyle name="Heading 2 12 2" xfId="2839" xr:uid="{00000000-0005-0000-0000-00002E0B0000}"/>
    <cellStyle name="Heading 2 12 3" xfId="2840" xr:uid="{00000000-0005-0000-0000-00002F0B0000}"/>
    <cellStyle name="Heading 2 12 4" xfId="2841" xr:uid="{00000000-0005-0000-0000-0000300B0000}"/>
    <cellStyle name="Heading 2 13" xfId="2842" xr:uid="{00000000-0005-0000-0000-0000310B0000}"/>
    <cellStyle name="Heading 2 13 2" xfId="2843" xr:uid="{00000000-0005-0000-0000-0000320B0000}"/>
    <cellStyle name="Heading 2 13 3" xfId="2844" xr:uid="{00000000-0005-0000-0000-0000330B0000}"/>
    <cellStyle name="Heading 2 13 4" xfId="2845" xr:uid="{00000000-0005-0000-0000-0000340B0000}"/>
    <cellStyle name="Heading 2 14" xfId="2846" xr:uid="{00000000-0005-0000-0000-0000350B0000}"/>
    <cellStyle name="Heading 2 14 2" xfId="2847" xr:uid="{00000000-0005-0000-0000-0000360B0000}"/>
    <cellStyle name="Heading 2 14 3" xfId="2848" xr:uid="{00000000-0005-0000-0000-0000370B0000}"/>
    <cellStyle name="Heading 2 14 4" xfId="2849" xr:uid="{00000000-0005-0000-0000-0000380B0000}"/>
    <cellStyle name="Heading 2 15" xfId="2850" xr:uid="{00000000-0005-0000-0000-0000390B0000}"/>
    <cellStyle name="Heading 2 15 2" xfId="2851" xr:uid="{00000000-0005-0000-0000-00003A0B0000}"/>
    <cellStyle name="Heading 2 15 3" xfId="2852" xr:uid="{00000000-0005-0000-0000-00003B0B0000}"/>
    <cellStyle name="Heading 2 15 4" xfId="2853" xr:uid="{00000000-0005-0000-0000-00003C0B0000}"/>
    <cellStyle name="Heading 2 16" xfId="2854" xr:uid="{00000000-0005-0000-0000-00003D0B0000}"/>
    <cellStyle name="Heading 2 17" xfId="2855" xr:uid="{00000000-0005-0000-0000-00003E0B0000}"/>
    <cellStyle name="Heading 2 18" xfId="2856" xr:uid="{00000000-0005-0000-0000-00003F0B0000}"/>
    <cellStyle name="Heading 2 19" xfId="4347" xr:uid="{00000000-0005-0000-0000-0000400B0000}"/>
    <cellStyle name="Heading 2 2" xfId="2857" xr:uid="{00000000-0005-0000-0000-0000410B0000}"/>
    <cellStyle name="Heading 2 2 10" xfId="2858" xr:uid="{00000000-0005-0000-0000-0000420B0000}"/>
    <cellStyle name="Heading 2 2 10 2" xfId="2859" xr:uid="{00000000-0005-0000-0000-0000430B0000}"/>
    <cellStyle name="Heading 2 2 11" xfId="2860" xr:uid="{00000000-0005-0000-0000-0000440B0000}"/>
    <cellStyle name="Heading 2 2 12" xfId="2861" xr:uid="{00000000-0005-0000-0000-0000450B0000}"/>
    <cellStyle name="Heading 2 2 13" xfId="2862" xr:uid="{00000000-0005-0000-0000-0000460B0000}"/>
    <cellStyle name="Heading 2 2 14" xfId="2863" xr:uid="{00000000-0005-0000-0000-0000470B0000}"/>
    <cellStyle name="Heading 2 2 15" xfId="2864" xr:uid="{00000000-0005-0000-0000-0000480B0000}"/>
    <cellStyle name="Heading 2 2 2" xfId="2865" xr:uid="{00000000-0005-0000-0000-0000490B0000}"/>
    <cellStyle name="Heading 2 2 3" xfId="2866" xr:uid="{00000000-0005-0000-0000-00004A0B0000}"/>
    <cellStyle name="Heading 2 2 4" xfId="2867" xr:uid="{00000000-0005-0000-0000-00004B0B0000}"/>
    <cellStyle name="Heading 2 2 5" xfId="2868" xr:uid="{00000000-0005-0000-0000-00004C0B0000}"/>
    <cellStyle name="Heading 2 2 6" xfId="2869" xr:uid="{00000000-0005-0000-0000-00004D0B0000}"/>
    <cellStyle name="Heading 2 2 7" xfId="2870" xr:uid="{00000000-0005-0000-0000-00004E0B0000}"/>
    <cellStyle name="Heading 2 2 8" xfId="2871" xr:uid="{00000000-0005-0000-0000-00004F0B0000}"/>
    <cellStyle name="Heading 2 2 9" xfId="2872" xr:uid="{00000000-0005-0000-0000-0000500B0000}"/>
    <cellStyle name="Heading 2 3" xfId="2873" xr:uid="{00000000-0005-0000-0000-0000510B0000}"/>
    <cellStyle name="Heading 2 3 2" xfId="2874" xr:uid="{00000000-0005-0000-0000-0000520B0000}"/>
    <cellStyle name="Heading 2 3 2 2" xfId="2875" xr:uid="{00000000-0005-0000-0000-0000530B0000}"/>
    <cellStyle name="Heading 2 3 2 3" xfId="2876" xr:uid="{00000000-0005-0000-0000-0000540B0000}"/>
    <cellStyle name="Heading 2 3 3" xfId="2877" xr:uid="{00000000-0005-0000-0000-0000550B0000}"/>
    <cellStyle name="Heading 2 3 4" xfId="2878" xr:uid="{00000000-0005-0000-0000-0000560B0000}"/>
    <cellStyle name="Heading 2 3 5" xfId="2879" xr:uid="{00000000-0005-0000-0000-0000570B0000}"/>
    <cellStyle name="Heading 2 3 5 2" xfId="2880" xr:uid="{00000000-0005-0000-0000-0000580B0000}"/>
    <cellStyle name="Heading 2 3 6" xfId="2881" xr:uid="{00000000-0005-0000-0000-0000590B0000}"/>
    <cellStyle name="Heading 2 3 7" xfId="2882" xr:uid="{00000000-0005-0000-0000-00005A0B0000}"/>
    <cellStyle name="Heading 2 3 8" xfId="2883" xr:uid="{00000000-0005-0000-0000-00005B0B0000}"/>
    <cellStyle name="Heading 2 3 9" xfId="2884" xr:uid="{00000000-0005-0000-0000-00005C0B0000}"/>
    <cellStyle name="Heading 2 4" xfId="2885" xr:uid="{00000000-0005-0000-0000-00005D0B0000}"/>
    <cellStyle name="Heading 2 4 2" xfId="2886" xr:uid="{00000000-0005-0000-0000-00005E0B0000}"/>
    <cellStyle name="Heading 2 4 3" xfId="2887" xr:uid="{00000000-0005-0000-0000-00005F0B0000}"/>
    <cellStyle name="Heading 2 5" xfId="2888" xr:uid="{00000000-0005-0000-0000-0000600B0000}"/>
    <cellStyle name="Heading 2 5 2" xfId="2889" xr:uid="{00000000-0005-0000-0000-0000610B0000}"/>
    <cellStyle name="Heading 2 5 3" xfId="2890" xr:uid="{00000000-0005-0000-0000-0000620B0000}"/>
    <cellStyle name="Heading 2 6" xfId="2891" xr:uid="{00000000-0005-0000-0000-0000630B0000}"/>
    <cellStyle name="Heading 2 6 2" xfId="2892" xr:uid="{00000000-0005-0000-0000-0000640B0000}"/>
    <cellStyle name="Heading 2 6 3" xfId="2893" xr:uid="{00000000-0005-0000-0000-0000650B0000}"/>
    <cellStyle name="Heading 2 7" xfId="2894" xr:uid="{00000000-0005-0000-0000-0000660B0000}"/>
    <cellStyle name="Heading 2 7 2" xfId="2895" xr:uid="{00000000-0005-0000-0000-0000670B0000}"/>
    <cellStyle name="Heading 2 7 3" xfId="2896" xr:uid="{00000000-0005-0000-0000-0000680B0000}"/>
    <cellStyle name="Heading 2 8" xfId="2897" xr:uid="{00000000-0005-0000-0000-0000690B0000}"/>
    <cellStyle name="Heading 2 8 2" xfId="2898" xr:uid="{00000000-0005-0000-0000-00006A0B0000}"/>
    <cellStyle name="Heading 2 8 3" xfId="2899" xr:uid="{00000000-0005-0000-0000-00006B0B0000}"/>
    <cellStyle name="Heading 2 9" xfId="2900" xr:uid="{00000000-0005-0000-0000-00006C0B0000}"/>
    <cellStyle name="Heading 2 9 2" xfId="2901" xr:uid="{00000000-0005-0000-0000-00006D0B0000}"/>
    <cellStyle name="Heading 2 9 2 2" xfId="2902" xr:uid="{00000000-0005-0000-0000-00006E0B0000}"/>
    <cellStyle name="Heading 2 9 3" xfId="2903" xr:uid="{00000000-0005-0000-0000-00006F0B0000}"/>
    <cellStyle name="Heading 2 9 4" xfId="2904" xr:uid="{00000000-0005-0000-0000-0000700B0000}"/>
    <cellStyle name="Heading 2 9 5" xfId="2905" xr:uid="{00000000-0005-0000-0000-0000710B0000}"/>
    <cellStyle name="Heading 3 10" xfId="2906" xr:uid="{00000000-0005-0000-0000-0000720B0000}"/>
    <cellStyle name="Heading 3 10 2" xfId="2907" xr:uid="{00000000-0005-0000-0000-0000730B0000}"/>
    <cellStyle name="Heading 3 10 3" xfId="2908" xr:uid="{00000000-0005-0000-0000-0000740B0000}"/>
    <cellStyle name="Heading 3 10 4" xfId="2909" xr:uid="{00000000-0005-0000-0000-0000750B0000}"/>
    <cellStyle name="Heading 3 11" xfId="2910" xr:uid="{00000000-0005-0000-0000-0000760B0000}"/>
    <cellStyle name="Heading 3 11 2" xfId="2911" xr:uid="{00000000-0005-0000-0000-0000770B0000}"/>
    <cellStyle name="Heading 3 11 3" xfId="2912" xr:uid="{00000000-0005-0000-0000-0000780B0000}"/>
    <cellStyle name="Heading 3 11 4" xfId="2913" xr:uid="{00000000-0005-0000-0000-0000790B0000}"/>
    <cellStyle name="Heading 3 12" xfId="2914" xr:uid="{00000000-0005-0000-0000-00007A0B0000}"/>
    <cellStyle name="Heading 3 12 2" xfId="2915" xr:uid="{00000000-0005-0000-0000-00007B0B0000}"/>
    <cellStyle name="Heading 3 12 3" xfId="2916" xr:uid="{00000000-0005-0000-0000-00007C0B0000}"/>
    <cellStyle name="Heading 3 12 4" xfId="2917" xr:uid="{00000000-0005-0000-0000-00007D0B0000}"/>
    <cellStyle name="Heading 3 13" xfId="2918" xr:uid="{00000000-0005-0000-0000-00007E0B0000}"/>
    <cellStyle name="Heading 3 13 2" xfId="2919" xr:uid="{00000000-0005-0000-0000-00007F0B0000}"/>
    <cellStyle name="Heading 3 13 3" xfId="2920" xr:uid="{00000000-0005-0000-0000-0000800B0000}"/>
    <cellStyle name="Heading 3 13 4" xfId="2921" xr:uid="{00000000-0005-0000-0000-0000810B0000}"/>
    <cellStyle name="Heading 3 14" xfId="2922" xr:uid="{00000000-0005-0000-0000-0000820B0000}"/>
    <cellStyle name="Heading 3 14 2" xfId="2923" xr:uid="{00000000-0005-0000-0000-0000830B0000}"/>
    <cellStyle name="Heading 3 14 3" xfId="2924" xr:uid="{00000000-0005-0000-0000-0000840B0000}"/>
    <cellStyle name="Heading 3 14 4" xfId="2925" xr:uid="{00000000-0005-0000-0000-0000850B0000}"/>
    <cellStyle name="Heading 3 15" xfId="2926" xr:uid="{00000000-0005-0000-0000-0000860B0000}"/>
    <cellStyle name="Heading 3 15 2" xfId="2927" xr:uid="{00000000-0005-0000-0000-0000870B0000}"/>
    <cellStyle name="Heading 3 15 3" xfId="2928" xr:uid="{00000000-0005-0000-0000-0000880B0000}"/>
    <cellStyle name="Heading 3 15 4" xfId="2929" xr:uid="{00000000-0005-0000-0000-0000890B0000}"/>
    <cellStyle name="Heading 3 16" xfId="2930" xr:uid="{00000000-0005-0000-0000-00008A0B0000}"/>
    <cellStyle name="Heading 3 17" xfId="2931" xr:uid="{00000000-0005-0000-0000-00008B0B0000}"/>
    <cellStyle name="Heading 3 18" xfId="2932" xr:uid="{00000000-0005-0000-0000-00008C0B0000}"/>
    <cellStyle name="Heading 3 19" xfId="4348" xr:uid="{00000000-0005-0000-0000-00008D0B0000}"/>
    <cellStyle name="Heading 3 2" xfId="2933" xr:uid="{00000000-0005-0000-0000-00008E0B0000}"/>
    <cellStyle name="Heading 3 2 10" xfId="2934" xr:uid="{00000000-0005-0000-0000-00008F0B0000}"/>
    <cellStyle name="Heading 3 2 10 2" xfId="2935" xr:uid="{00000000-0005-0000-0000-0000900B0000}"/>
    <cellStyle name="Heading 3 2 11" xfId="2936" xr:uid="{00000000-0005-0000-0000-0000910B0000}"/>
    <cellStyle name="Heading 3 2 12" xfId="2937" xr:uid="{00000000-0005-0000-0000-0000920B0000}"/>
    <cellStyle name="Heading 3 2 13" xfId="2938" xr:uid="{00000000-0005-0000-0000-0000930B0000}"/>
    <cellStyle name="Heading 3 2 14" xfId="2939" xr:uid="{00000000-0005-0000-0000-0000940B0000}"/>
    <cellStyle name="Heading 3 2 15" xfId="2940" xr:uid="{00000000-0005-0000-0000-0000950B0000}"/>
    <cellStyle name="Heading 3 2 2" xfId="2941" xr:uid="{00000000-0005-0000-0000-0000960B0000}"/>
    <cellStyle name="Heading 3 2 3" xfId="2942" xr:uid="{00000000-0005-0000-0000-0000970B0000}"/>
    <cellStyle name="Heading 3 2 4" xfId="2943" xr:uid="{00000000-0005-0000-0000-0000980B0000}"/>
    <cellStyle name="Heading 3 2 5" xfId="2944" xr:uid="{00000000-0005-0000-0000-0000990B0000}"/>
    <cellStyle name="Heading 3 2 6" xfId="2945" xr:uid="{00000000-0005-0000-0000-00009A0B0000}"/>
    <cellStyle name="Heading 3 2 7" xfId="2946" xr:uid="{00000000-0005-0000-0000-00009B0B0000}"/>
    <cellStyle name="Heading 3 2 8" xfId="2947" xr:uid="{00000000-0005-0000-0000-00009C0B0000}"/>
    <cellStyle name="Heading 3 2 9" xfId="2948" xr:uid="{00000000-0005-0000-0000-00009D0B0000}"/>
    <cellStyle name="Heading 3 3" xfId="2949" xr:uid="{00000000-0005-0000-0000-00009E0B0000}"/>
    <cellStyle name="Heading 3 3 2" xfId="2950" xr:uid="{00000000-0005-0000-0000-00009F0B0000}"/>
    <cellStyle name="Heading 3 3 2 2" xfId="2951" xr:uid="{00000000-0005-0000-0000-0000A00B0000}"/>
    <cellStyle name="Heading 3 3 2 3" xfId="2952" xr:uid="{00000000-0005-0000-0000-0000A10B0000}"/>
    <cellStyle name="Heading 3 3 3" xfId="2953" xr:uid="{00000000-0005-0000-0000-0000A20B0000}"/>
    <cellStyle name="Heading 3 3 4" xfId="2954" xr:uid="{00000000-0005-0000-0000-0000A30B0000}"/>
    <cellStyle name="Heading 3 3 5" xfId="2955" xr:uid="{00000000-0005-0000-0000-0000A40B0000}"/>
    <cellStyle name="Heading 3 3 5 2" xfId="2956" xr:uid="{00000000-0005-0000-0000-0000A50B0000}"/>
    <cellStyle name="Heading 3 3 6" xfId="2957" xr:uid="{00000000-0005-0000-0000-0000A60B0000}"/>
    <cellStyle name="Heading 3 3 7" xfId="2958" xr:uid="{00000000-0005-0000-0000-0000A70B0000}"/>
    <cellStyle name="Heading 3 3 8" xfId="2959" xr:uid="{00000000-0005-0000-0000-0000A80B0000}"/>
    <cellStyle name="Heading 3 3 9" xfId="2960" xr:uid="{00000000-0005-0000-0000-0000A90B0000}"/>
    <cellStyle name="Heading 3 4" xfId="2961" xr:uid="{00000000-0005-0000-0000-0000AA0B0000}"/>
    <cellStyle name="Heading 3 4 2" xfId="2962" xr:uid="{00000000-0005-0000-0000-0000AB0B0000}"/>
    <cellStyle name="Heading 3 4 3" xfId="2963" xr:uid="{00000000-0005-0000-0000-0000AC0B0000}"/>
    <cellStyle name="Heading 3 5" xfId="2964" xr:uid="{00000000-0005-0000-0000-0000AD0B0000}"/>
    <cellStyle name="Heading 3 5 2" xfId="2965" xr:uid="{00000000-0005-0000-0000-0000AE0B0000}"/>
    <cellStyle name="Heading 3 5 3" xfId="2966" xr:uid="{00000000-0005-0000-0000-0000AF0B0000}"/>
    <cellStyle name="Heading 3 6" xfId="2967" xr:uid="{00000000-0005-0000-0000-0000B00B0000}"/>
    <cellStyle name="Heading 3 6 2" xfId="2968" xr:uid="{00000000-0005-0000-0000-0000B10B0000}"/>
    <cellStyle name="Heading 3 6 3" xfId="2969" xr:uid="{00000000-0005-0000-0000-0000B20B0000}"/>
    <cellStyle name="Heading 3 7" xfId="2970" xr:uid="{00000000-0005-0000-0000-0000B30B0000}"/>
    <cellStyle name="Heading 3 7 2" xfId="2971" xr:uid="{00000000-0005-0000-0000-0000B40B0000}"/>
    <cellStyle name="Heading 3 7 3" xfId="2972" xr:uid="{00000000-0005-0000-0000-0000B50B0000}"/>
    <cellStyle name="Heading 3 8" xfId="2973" xr:uid="{00000000-0005-0000-0000-0000B60B0000}"/>
    <cellStyle name="Heading 3 8 2" xfId="2974" xr:uid="{00000000-0005-0000-0000-0000B70B0000}"/>
    <cellStyle name="Heading 3 8 3" xfId="2975" xr:uid="{00000000-0005-0000-0000-0000B80B0000}"/>
    <cellStyle name="Heading 3 9" xfId="2976" xr:uid="{00000000-0005-0000-0000-0000B90B0000}"/>
    <cellStyle name="Heading 3 9 2" xfId="2977" xr:uid="{00000000-0005-0000-0000-0000BA0B0000}"/>
    <cellStyle name="Heading 3 9 2 2" xfId="2978" xr:uid="{00000000-0005-0000-0000-0000BB0B0000}"/>
    <cellStyle name="Heading 3 9 3" xfId="2979" xr:uid="{00000000-0005-0000-0000-0000BC0B0000}"/>
    <cellStyle name="Heading 3 9 4" xfId="2980" xr:uid="{00000000-0005-0000-0000-0000BD0B0000}"/>
    <cellStyle name="Heading 3 9 5" xfId="2981" xr:uid="{00000000-0005-0000-0000-0000BE0B0000}"/>
    <cellStyle name="Heading 4 10" xfId="2982" xr:uid="{00000000-0005-0000-0000-0000BF0B0000}"/>
    <cellStyle name="Heading 4 10 2" xfId="2983" xr:uid="{00000000-0005-0000-0000-0000C00B0000}"/>
    <cellStyle name="Heading 4 10 3" xfId="2984" xr:uid="{00000000-0005-0000-0000-0000C10B0000}"/>
    <cellStyle name="Heading 4 10 4" xfId="2985" xr:uid="{00000000-0005-0000-0000-0000C20B0000}"/>
    <cellStyle name="Heading 4 11" xfId="2986" xr:uid="{00000000-0005-0000-0000-0000C30B0000}"/>
    <cellStyle name="Heading 4 11 2" xfId="2987" xr:uid="{00000000-0005-0000-0000-0000C40B0000}"/>
    <cellStyle name="Heading 4 11 3" xfId="2988" xr:uid="{00000000-0005-0000-0000-0000C50B0000}"/>
    <cellStyle name="Heading 4 11 4" xfId="2989" xr:uid="{00000000-0005-0000-0000-0000C60B0000}"/>
    <cellStyle name="Heading 4 12" xfId="2990" xr:uid="{00000000-0005-0000-0000-0000C70B0000}"/>
    <cellStyle name="Heading 4 12 2" xfId="2991" xr:uid="{00000000-0005-0000-0000-0000C80B0000}"/>
    <cellStyle name="Heading 4 12 3" xfId="2992" xr:uid="{00000000-0005-0000-0000-0000C90B0000}"/>
    <cellStyle name="Heading 4 12 4" xfId="2993" xr:uid="{00000000-0005-0000-0000-0000CA0B0000}"/>
    <cellStyle name="Heading 4 13" xfId="2994" xr:uid="{00000000-0005-0000-0000-0000CB0B0000}"/>
    <cellStyle name="Heading 4 13 2" xfId="2995" xr:uid="{00000000-0005-0000-0000-0000CC0B0000}"/>
    <cellStyle name="Heading 4 13 3" xfId="2996" xr:uid="{00000000-0005-0000-0000-0000CD0B0000}"/>
    <cellStyle name="Heading 4 13 4" xfId="2997" xr:uid="{00000000-0005-0000-0000-0000CE0B0000}"/>
    <cellStyle name="Heading 4 14" xfId="2998" xr:uid="{00000000-0005-0000-0000-0000CF0B0000}"/>
    <cellStyle name="Heading 4 14 2" xfId="2999" xr:uid="{00000000-0005-0000-0000-0000D00B0000}"/>
    <cellStyle name="Heading 4 14 3" xfId="3000" xr:uid="{00000000-0005-0000-0000-0000D10B0000}"/>
    <cellStyle name="Heading 4 14 4" xfId="3001" xr:uid="{00000000-0005-0000-0000-0000D20B0000}"/>
    <cellStyle name="Heading 4 15" xfId="3002" xr:uid="{00000000-0005-0000-0000-0000D30B0000}"/>
    <cellStyle name="Heading 4 15 2" xfId="3003" xr:uid="{00000000-0005-0000-0000-0000D40B0000}"/>
    <cellStyle name="Heading 4 15 3" xfId="3004" xr:uid="{00000000-0005-0000-0000-0000D50B0000}"/>
    <cellStyle name="Heading 4 15 4" xfId="3005" xr:uid="{00000000-0005-0000-0000-0000D60B0000}"/>
    <cellStyle name="Heading 4 16" xfId="3006" xr:uid="{00000000-0005-0000-0000-0000D70B0000}"/>
    <cellStyle name="Heading 4 17" xfId="3007" xr:uid="{00000000-0005-0000-0000-0000D80B0000}"/>
    <cellStyle name="Heading 4 18" xfId="3008" xr:uid="{00000000-0005-0000-0000-0000D90B0000}"/>
    <cellStyle name="Heading 4 19" xfId="4349" xr:uid="{00000000-0005-0000-0000-0000DA0B0000}"/>
    <cellStyle name="Heading 4 2" xfId="3009" xr:uid="{00000000-0005-0000-0000-0000DB0B0000}"/>
    <cellStyle name="Heading 4 2 10" xfId="3010" xr:uid="{00000000-0005-0000-0000-0000DC0B0000}"/>
    <cellStyle name="Heading 4 2 10 2" xfId="3011" xr:uid="{00000000-0005-0000-0000-0000DD0B0000}"/>
    <cellStyle name="Heading 4 2 11" xfId="3012" xr:uid="{00000000-0005-0000-0000-0000DE0B0000}"/>
    <cellStyle name="Heading 4 2 12" xfId="3013" xr:uid="{00000000-0005-0000-0000-0000DF0B0000}"/>
    <cellStyle name="Heading 4 2 13" xfId="3014" xr:uid="{00000000-0005-0000-0000-0000E00B0000}"/>
    <cellStyle name="Heading 4 2 14" xfId="3015" xr:uid="{00000000-0005-0000-0000-0000E10B0000}"/>
    <cellStyle name="Heading 4 2 15" xfId="3016" xr:uid="{00000000-0005-0000-0000-0000E20B0000}"/>
    <cellStyle name="Heading 4 2 2" xfId="3017" xr:uid="{00000000-0005-0000-0000-0000E30B0000}"/>
    <cellStyle name="Heading 4 2 3" xfId="3018" xr:uid="{00000000-0005-0000-0000-0000E40B0000}"/>
    <cellStyle name="Heading 4 2 4" xfId="3019" xr:uid="{00000000-0005-0000-0000-0000E50B0000}"/>
    <cellStyle name="Heading 4 2 5" xfId="3020" xr:uid="{00000000-0005-0000-0000-0000E60B0000}"/>
    <cellStyle name="Heading 4 2 6" xfId="3021" xr:uid="{00000000-0005-0000-0000-0000E70B0000}"/>
    <cellStyle name="Heading 4 2 7" xfId="3022" xr:uid="{00000000-0005-0000-0000-0000E80B0000}"/>
    <cellStyle name="Heading 4 2 8" xfId="3023" xr:uid="{00000000-0005-0000-0000-0000E90B0000}"/>
    <cellStyle name="Heading 4 2 9" xfId="3024" xr:uid="{00000000-0005-0000-0000-0000EA0B0000}"/>
    <cellStyle name="Heading 4 3" xfId="3025" xr:uid="{00000000-0005-0000-0000-0000EB0B0000}"/>
    <cellStyle name="Heading 4 3 2" xfId="3026" xr:uid="{00000000-0005-0000-0000-0000EC0B0000}"/>
    <cellStyle name="Heading 4 3 2 2" xfId="3027" xr:uid="{00000000-0005-0000-0000-0000ED0B0000}"/>
    <cellStyle name="Heading 4 3 2 3" xfId="3028" xr:uid="{00000000-0005-0000-0000-0000EE0B0000}"/>
    <cellStyle name="Heading 4 3 3" xfId="3029" xr:uid="{00000000-0005-0000-0000-0000EF0B0000}"/>
    <cellStyle name="Heading 4 3 4" xfId="3030" xr:uid="{00000000-0005-0000-0000-0000F00B0000}"/>
    <cellStyle name="Heading 4 3 5" xfId="3031" xr:uid="{00000000-0005-0000-0000-0000F10B0000}"/>
    <cellStyle name="Heading 4 3 5 2" xfId="3032" xr:uid="{00000000-0005-0000-0000-0000F20B0000}"/>
    <cellStyle name="Heading 4 3 6" xfId="3033" xr:uid="{00000000-0005-0000-0000-0000F30B0000}"/>
    <cellStyle name="Heading 4 3 7" xfId="3034" xr:uid="{00000000-0005-0000-0000-0000F40B0000}"/>
    <cellStyle name="Heading 4 3 8" xfId="3035" xr:uid="{00000000-0005-0000-0000-0000F50B0000}"/>
    <cellStyle name="Heading 4 3 9" xfId="3036" xr:uid="{00000000-0005-0000-0000-0000F60B0000}"/>
    <cellStyle name="Heading 4 4" xfId="3037" xr:uid="{00000000-0005-0000-0000-0000F70B0000}"/>
    <cellStyle name="Heading 4 4 2" xfId="3038" xr:uid="{00000000-0005-0000-0000-0000F80B0000}"/>
    <cellStyle name="Heading 4 4 3" xfId="3039" xr:uid="{00000000-0005-0000-0000-0000F90B0000}"/>
    <cellStyle name="Heading 4 5" xfId="3040" xr:uid="{00000000-0005-0000-0000-0000FA0B0000}"/>
    <cellStyle name="Heading 4 5 2" xfId="3041" xr:uid="{00000000-0005-0000-0000-0000FB0B0000}"/>
    <cellStyle name="Heading 4 5 3" xfId="3042" xr:uid="{00000000-0005-0000-0000-0000FC0B0000}"/>
    <cellStyle name="Heading 4 6" xfId="3043" xr:uid="{00000000-0005-0000-0000-0000FD0B0000}"/>
    <cellStyle name="Heading 4 6 2" xfId="3044" xr:uid="{00000000-0005-0000-0000-0000FE0B0000}"/>
    <cellStyle name="Heading 4 6 3" xfId="3045" xr:uid="{00000000-0005-0000-0000-0000FF0B0000}"/>
    <cellStyle name="Heading 4 7" xfId="3046" xr:uid="{00000000-0005-0000-0000-0000000C0000}"/>
    <cellStyle name="Heading 4 7 2" xfId="3047" xr:uid="{00000000-0005-0000-0000-0000010C0000}"/>
    <cellStyle name="Heading 4 7 3" xfId="3048" xr:uid="{00000000-0005-0000-0000-0000020C0000}"/>
    <cellStyle name="Heading 4 8" xfId="3049" xr:uid="{00000000-0005-0000-0000-0000030C0000}"/>
    <cellStyle name="Heading 4 8 2" xfId="3050" xr:uid="{00000000-0005-0000-0000-0000040C0000}"/>
    <cellStyle name="Heading 4 8 3" xfId="3051" xr:uid="{00000000-0005-0000-0000-0000050C0000}"/>
    <cellStyle name="Heading 4 9" xfId="3052" xr:uid="{00000000-0005-0000-0000-0000060C0000}"/>
    <cellStyle name="Heading 4 9 2" xfId="3053" xr:uid="{00000000-0005-0000-0000-0000070C0000}"/>
    <cellStyle name="Heading 4 9 2 2" xfId="3054" xr:uid="{00000000-0005-0000-0000-0000080C0000}"/>
    <cellStyle name="Heading 4 9 3" xfId="3055" xr:uid="{00000000-0005-0000-0000-0000090C0000}"/>
    <cellStyle name="Heading 4 9 4" xfId="3056" xr:uid="{00000000-0005-0000-0000-00000A0C0000}"/>
    <cellStyle name="Heading 4 9 5" xfId="3057" xr:uid="{00000000-0005-0000-0000-00000B0C0000}"/>
    <cellStyle name="Heading 5" xfId="3058" xr:uid="{00000000-0005-0000-0000-00000C0C0000}"/>
    <cellStyle name="Heading 6" xfId="3059" xr:uid="{00000000-0005-0000-0000-00000D0C0000}"/>
    <cellStyle name="Heading 7" xfId="3060" xr:uid="{00000000-0005-0000-0000-00000E0C0000}"/>
    <cellStyle name="Heading 8" xfId="3061" xr:uid="{00000000-0005-0000-0000-00000F0C0000}"/>
    <cellStyle name="Heading 9" xfId="3062" xr:uid="{00000000-0005-0000-0000-0000100C0000}"/>
    <cellStyle name="Heading I" xfId="3063" xr:uid="{00000000-0005-0000-0000-0000110C0000}"/>
    <cellStyle name="heading info" xfId="3064" xr:uid="{00000000-0005-0000-0000-0000120C0000}"/>
    <cellStyle name="Heading1" xfId="3065" xr:uid="{00000000-0005-0000-0000-0000130C0000}"/>
    <cellStyle name="Heading1 2" xfId="3066" xr:uid="{00000000-0005-0000-0000-0000140C0000}"/>
    <cellStyle name="Heading2" xfId="3067" xr:uid="{00000000-0005-0000-0000-0000150C0000}"/>
    <cellStyle name="Heading2 2" xfId="3068" xr:uid="{00000000-0005-0000-0000-0000160C0000}"/>
    <cellStyle name="HEADINGS" xfId="3069" xr:uid="{00000000-0005-0000-0000-0000170C0000}"/>
    <cellStyle name="HEADINGS 2" xfId="3070" xr:uid="{00000000-0005-0000-0000-0000180C0000}"/>
    <cellStyle name="HEADINGSTOP" xfId="3071" xr:uid="{00000000-0005-0000-0000-0000190C0000}"/>
    <cellStyle name="HEADINGSTOP 2" xfId="3072" xr:uid="{00000000-0005-0000-0000-00001A0C0000}"/>
    <cellStyle name="Headline1" xfId="3073" xr:uid="{00000000-0005-0000-0000-00001B0C0000}"/>
    <cellStyle name="Headline2" xfId="3074" xr:uid="{00000000-0005-0000-0000-00001C0C0000}"/>
    <cellStyle name="Headline3" xfId="3075" xr:uid="{00000000-0005-0000-0000-00001D0C0000}"/>
    <cellStyle name="Hidden Decimal 0,00" xfId="3076" xr:uid="{00000000-0005-0000-0000-00001E0C0000}"/>
    <cellStyle name="HIGHLIGHT" xfId="3077" xr:uid="{00000000-0005-0000-0000-00001F0C0000}"/>
    <cellStyle name="Id" xfId="3078" xr:uid="{00000000-0005-0000-0000-0000200C0000}"/>
    <cellStyle name="indicatif_nv" xfId="3079" xr:uid="{00000000-0005-0000-0000-0000210C0000}"/>
    <cellStyle name="initial" xfId="3080" xr:uid="{00000000-0005-0000-0000-0000220C0000}"/>
    <cellStyle name="Input [%]" xfId="3081" xr:uid="{00000000-0005-0000-0000-0000230C0000}"/>
    <cellStyle name="Input [%0]" xfId="3082" xr:uid="{00000000-0005-0000-0000-0000240C0000}"/>
    <cellStyle name="Input [%00]" xfId="3083" xr:uid="{00000000-0005-0000-0000-0000250C0000}"/>
    <cellStyle name="Input [0]" xfId="3084" xr:uid="{00000000-0005-0000-0000-0000260C0000}"/>
    <cellStyle name="Input [00]" xfId="3085" xr:uid="{00000000-0005-0000-0000-0000270C0000}"/>
    <cellStyle name="Input [yellow]" xfId="3086" xr:uid="{00000000-0005-0000-0000-0000280C0000}"/>
    <cellStyle name="Input 10" xfId="3087" xr:uid="{00000000-0005-0000-0000-0000290C0000}"/>
    <cellStyle name="Input 10 2" xfId="3088" xr:uid="{00000000-0005-0000-0000-00002A0C0000}"/>
    <cellStyle name="Input 10 3" xfId="3089" xr:uid="{00000000-0005-0000-0000-00002B0C0000}"/>
    <cellStyle name="Input 10 4" xfId="3090" xr:uid="{00000000-0005-0000-0000-00002C0C0000}"/>
    <cellStyle name="Input 11" xfId="3091" xr:uid="{00000000-0005-0000-0000-00002D0C0000}"/>
    <cellStyle name="Input 11 2" xfId="3092" xr:uid="{00000000-0005-0000-0000-00002E0C0000}"/>
    <cellStyle name="Input 11 3" xfId="3093" xr:uid="{00000000-0005-0000-0000-00002F0C0000}"/>
    <cellStyle name="Input 11 4" xfId="3094" xr:uid="{00000000-0005-0000-0000-0000300C0000}"/>
    <cellStyle name="Input 12" xfId="3095" xr:uid="{00000000-0005-0000-0000-0000310C0000}"/>
    <cellStyle name="Input 12 2" xfId="3096" xr:uid="{00000000-0005-0000-0000-0000320C0000}"/>
    <cellStyle name="Input 12 3" xfId="3097" xr:uid="{00000000-0005-0000-0000-0000330C0000}"/>
    <cellStyle name="Input 12 4" xfId="3098" xr:uid="{00000000-0005-0000-0000-0000340C0000}"/>
    <cellStyle name="Input 13" xfId="3099" xr:uid="{00000000-0005-0000-0000-0000350C0000}"/>
    <cellStyle name="Input 13 2" xfId="3100" xr:uid="{00000000-0005-0000-0000-0000360C0000}"/>
    <cellStyle name="Input 13 3" xfId="3101" xr:uid="{00000000-0005-0000-0000-0000370C0000}"/>
    <cellStyle name="Input 13 4" xfId="3102" xr:uid="{00000000-0005-0000-0000-0000380C0000}"/>
    <cellStyle name="Input 14" xfId="3103" xr:uid="{00000000-0005-0000-0000-0000390C0000}"/>
    <cellStyle name="Input 14 2" xfId="3104" xr:uid="{00000000-0005-0000-0000-00003A0C0000}"/>
    <cellStyle name="Input 14 3" xfId="3105" xr:uid="{00000000-0005-0000-0000-00003B0C0000}"/>
    <cellStyle name="Input 14 4" xfId="3106" xr:uid="{00000000-0005-0000-0000-00003C0C0000}"/>
    <cellStyle name="Input 15" xfId="3107" xr:uid="{00000000-0005-0000-0000-00003D0C0000}"/>
    <cellStyle name="Input 15 2" xfId="3108" xr:uid="{00000000-0005-0000-0000-00003E0C0000}"/>
    <cellStyle name="Input 15 3" xfId="3109" xr:uid="{00000000-0005-0000-0000-00003F0C0000}"/>
    <cellStyle name="Input 15 4" xfId="3110" xr:uid="{00000000-0005-0000-0000-0000400C0000}"/>
    <cellStyle name="Input 16" xfId="3111" xr:uid="{00000000-0005-0000-0000-0000410C0000}"/>
    <cellStyle name="Input 17" xfId="3112" xr:uid="{00000000-0005-0000-0000-0000420C0000}"/>
    <cellStyle name="Input 18" xfId="3113" xr:uid="{00000000-0005-0000-0000-0000430C0000}"/>
    <cellStyle name="Input 19" xfId="3114" xr:uid="{00000000-0005-0000-0000-0000440C0000}"/>
    <cellStyle name="Input 2" xfId="3115" xr:uid="{00000000-0005-0000-0000-0000450C0000}"/>
    <cellStyle name="Input 2 10" xfId="3116" xr:uid="{00000000-0005-0000-0000-0000460C0000}"/>
    <cellStyle name="Input 2 10 2" xfId="3117" xr:uid="{00000000-0005-0000-0000-0000470C0000}"/>
    <cellStyle name="Input 2 11" xfId="3118" xr:uid="{00000000-0005-0000-0000-0000480C0000}"/>
    <cellStyle name="Input 2 12" xfId="3119" xr:uid="{00000000-0005-0000-0000-0000490C0000}"/>
    <cellStyle name="Input 2 13" xfId="3120" xr:uid="{00000000-0005-0000-0000-00004A0C0000}"/>
    <cellStyle name="Input 2 14" xfId="3121" xr:uid="{00000000-0005-0000-0000-00004B0C0000}"/>
    <cellStyle name="Input 2 15" xfId="3122" xr:uid="{00000000-0005-0000-0000-00004C0C0000}"/>
    <cellStyle name="Input 2 2" xfId="3123" xr:uid="{00000000-0005-0000-0000-00004D0C0000}"/>
    <cellStyle name="Input 2 3" xfId="3124" xr:uid="{00000000-0005-0000-0000-00004E0C0000}"/>
    <cellStyle name="Input 2 4" xfId="3125" xr:uid="{00000000-0005-0000-0000-00004F0C0000}"/>
    <cellStyle name="Input 2 5" xfId="3126" xr:uid="{00000000-0005-0000-0000-0000500C0000}"/>
    <cellStyle name="Input 2 6" xfId="3127" xr:uid="{00000000-0005-0000-0000-0000510C0000}"/>
    <cellStyle name="Input 2 7" xfId="3128" xr:uid="{00000000-0005-0000-0000-0000520C0000}"/>
    <cellStyle name="Input 2 8" xfId="3129" xr:uid="{00000000-0005-0000-0000-0000530C0000}"/>
    <cellStyle name="Input 2 9" xfId="3130" xr:uid="{00000000-0005-0000-0000-0000540C0000}"/>
    <cellStyle name="Input 20" xfId="3131" xr:uid="{00000000-0005-0000-0000-0000550C0000}"/>
    <cellStyle name="Input 21" xfId="3132" xr:uid="{00000000-0005-0000-0000-0000560C0000}"/>
    <cellStyle name="Input 22" xfId="4350" xr:uid="{00000000-0005-0000-0000-0000570C0000}"/>
    <cellStyle name="Input 3" xfId="3133" xr:uid="{00000000-0005-0000-0000-0000580C0000}"/>
    <cellStyle name="Input 3 2" xfId="3134" xr:uid="{00000000-0005-0000-0000-0000590C0000}"/>
    <cellStyle name="Input 3 3" xfId="3135" xr:uid="{00000000-0005-0000-0000-00005A0C0000}"/>
    <cellStyle name="Input 3 4" xfId="3136" xr:uid="{00000000-0005-0000-0000-00005B0C0000}"/>
    <cellStyle name="Input 3 5" xfId="3137" xr:uid="{00000000-0005-0000-0000-00005C0C0000}"/>
    <cellStyle name="Input 3 6" xfId="3138" xr:uid="{00000000-0005-0000-0000-00005D0C0000}"/>
    <cellStyle name="Input 3 7" xfId="3139" xr:uid="{00000000-0005-0000-0000-00005E0C0000}"/>
    <cellStyle name="Input 3 8" xfId="3140" xr:uid="{00000000-0005-0000-0000-00005F0C0000}"/>
    <cellStyle name="Input 3 9" xfId="3141" xr:uid="{00000000-0005-0000-0000-0000600C0000}"/>
    <cellStyle name="Input 4" xfId="3142" xr:uid="{00000000-0005-0000-0000-0000610C0000}"/>
    <cellStyle name="Input 4 2" xfId="3143" xr:uid="{00000000-0005-0000-0000-0000620C0000}"/>
    <cellStyle name="Input 4 3" xfId="3144" xr:uid="{00000000-0005-0000-0000-0000630C0000}"/>
    <cellStyle name="Input 5" xfId="3145" xr:uid="{00000000-0005-0000-0000-0000640C0000}"/>
    <cellStyle name="Input 5 2" xfId="3146" xr:uid="{00000000-0005-0000-0000-0000650C0000}"/>
    <cellStyle name="Input 5 3" xfId="3147" xr:uid="{00000000-0005-0000-0000-0000660C0000}"/>
    <cellStyle name="Input 6" xfId="3148" xr:uid="{00000000-0005-0000-0000-0000670C0000}"/>
    <cellStyle name="Input 6 2" xfId="3149" xr:uid="{00000000-0005-0000-0000-0000680C0000}"/>
    <cellStyle name="Input 6 3" xfId="3150" xr:uid="{00000000-0005-0000-0000-0000690C0000}"/>
    <cellStyle name="Input 7" xfId="3151" xr:uid="{00000000-0005-0000-0000-00006A0C0000}"/>
    <cellStyle name="Input 7 2" xfId="3152" xr:uid="{00000000-0005-0000-0000-00006B0C0000}"/>
    <cellStyle name="Input 7 3" xfId="3153" xr:uid="{00000000-0005-0000-0000-00006C0C0000}"/>
    <cellStyle name="Input 8" xfId="3154" xr:uid="{00000000-0005-0000-0000-00006D0C0000}"/>
    <cellStyle name="Input 8 2" xfId="3155" xr:uid="{00000000-0005-0000-0000-00006E0C0000}"/>
    <cellStyle name="Input 8 3" xfId="3156" xr:uid="{00000000-0005-0000-0000-00006F0C0000}"/>
    <cellStyle name="Input 9" xfId="3157" xr:uid="{00000000-0005-0000-0000-0000700C0000}"/>
    <cellStyle name="Input 9 2" xfId="3158" xr:uid="{00000000-0005-0000-0000-0000710C0000}"/>
    <cellStyle name="Input 9 3" xfId="3159" xr:uid="{00000000-0005-0000-0000-0000720C0000}"/>
    <cellStyle name="Input 9 4" xfId="3160" xr:uid="{00000000-0005-0000-0000-0000730C0000}"/>
    <cellStyle name="Input 9 5" xfId="3161" xr:uid="{00000000-0005-0000-0000-0000740C0000}"/>
    <cellStyle name="Input Cells" xfId="3162" xr:uid="{00000000-0005-0000-0000-0000750C0000}"/>
    <cellStyle name="Input Col_Heading" xfId="3163" xr:uid="{00000000-0005-0000-0000-0000760C0000}"/>
    <cellStyle name="Input Currency" xfId="3164" xr:uid="{00000000-0005-0000-0000-0000770C0000}"/>
    <cellStyle name="Input Decimal 0" xfId="3165" xr:uid="{00000000-0005-0000-0000-0000780C0000}"/>
    <cellStyle name="Input Decimal 0 10" xfId="3166" xr:uid="{00000000-0005-0000-0000-0000790C0000}"/>
    <cellStyle name="Input Decimal 0 11" xfId="3167" xr:uid="{00000000-0005-0000-0000-00007A0C0000}"/>
    <cellStyle name="Input Decimal 0 12" xfId="3168" xr:uid="{00000000-0005-0000-0000-00007B0C0000}"/>
    <cellStyle name="Input Decimal 0 2" xfId="3169" xr:uid="{00000000-0005-0000-0000-00007C0C0000}"/>
    <cellStyle name="Input Decimal 0 3" xfId="3170" xr:uid="{00000000-0005-0000-0000-00007D0C0000}"/>
    <cellStyle name="Input Decimal 0 4" xfId="3171" xr:uid="{00000000-0005-0000-0000-00007E0C0000}"/>
    <cellStyle name="Input Decimal 0 5" xfId="3172" xr:uid="{00000000-0005-0000-0000-00007F0C0000}"/>
    <cellStyle name="Input Decimal 0 6" xfId="3173" xr:uid="{00000000-0005-0000-0000-0000800C0000}"/>
    <cellStyle name="Input Decimal 0 7" xfId="3174" xr:uid="{00000000-0005-0000-0000-0000810C0000}"/>
    <cellStyle name="Input Decimal 0 8" xfId="3175" xr:uid="{00000000-0005-0000-0000-0000820C0000}"/>
    <cellStyle name="Input Decimal 0 9" xfId="3176" xr:uid="{00000000-0005-0000-0000-0000830C0000}"/>
    <cellStyle name="Input Decimal 0,00" xfId="3177" xr:uid="{00000000-0005-0000-0000-0000840C0000}"/>
    <cellStyle name="Input Decimal 0,00 10" xfId="3178" xr:uid="{00000000-0005-0000-0000-0000850C0000}"/>
    <cellStyle name="Input Decimal 0,00 11" xfId="3179" xr:uid="{00000000-0005-0000-0000-0000860C0000}"/>
    <cellStyle name="Input Decimal 0,00 12" xfId="3180" xr:uid="{00000000-0005-0000-0000-0000870C0000}"/>
    <cellStyle name="Input Decimal 0,00 2" xfId="3181" xr:uid="{00000000-0005-0000-0000-0000880C0000}"/>
    <cellStyle name="Input Decimal 0,00 3" xfId="3182" xr:uid="{00000000-0005-0000-0000-0000890C0000}"/>
    <cellStyle name="Input Decimal 0,00 4" xfId="3183" xr:uid="{00000000-0005-0000-0000-00008A0C0000}"/>
    <cellStyle name="Input Decimal 0,00 5" xfId="3184" xr:uid="{00000000-0005-0000-0000-00008B0C0000}"/>
    <cellStyle name="Input Decimal 0,00 6" xfId="3185" xr:uid="{00000000-0005-0000-0000-00008C0C0000}"/>
    <cellStyle name="Input Decimal 0,00 7" xfId="3186" xr:uid="{00000000-0005-0000-0000-00008D0C0000}"/>
    <cellStyle name="Input Decimal 0,00 8" xfId="3187" xr:uid="{00000000-0005-0000-0000-00008E0C0000}"/>
    <cellStyle name="Input Decimal 0,00 9" xfId="3188" xr:uid="{00000000-0005-0000-0000-00008F0C0000}"/>
    <cellStyle name="Input Decimal 0_7.2.3. CAPEX" xfId="3189" xr:uid="{00000000-0005-0000-0000-0000900C0000}"/>
    <cellStyle name="Input Normal" xfId="3190" xr:uid="{00000000-0005-0000-0000-0000910C0000}"/>
    <cellStyle name="Input Percent" xfId="3191" xr:uid="{00000000-0005-0000-0000-0000920C0000}"/>
    <cellStyle name="Input Percent 0" xfId="3192" xr:uid="{00000000-0005-0000-0000-0000930C0000}"/>
    <cellStyle name="Input Percent 0 10" xfId="3193" xr:uid="{00000000-0005-0000-0000-0000940C0000}"/>
    <cellStyle name="Input Percent 0 11" xfId="3194" xr:uid="{00000000-0005-0000-0000-0000950C0000}"/>
    <cellStyle name="Input Percent 0 12" xfId="3195" xr:uid="{00000000-0005-0000-0000-0000960C0000}"/>
    <cellStyle name="Input Percent 0 2" xfId="3196" xr:uid="{00000000-0005-0000-0000-0000970C0000}"/>
    <cellStyle name="Input Percent 0 3" xfId="3197" xr:uid="{00000000-0005-0000-0000-0000980C0000}"/>
    <cellStyle name="Input Percent 0 4" xfId="3198" xr:uid="{00000000-0005-0000-0000-0000990C0000}"/>
    <cellStyle name="Input Percent 0 5" xfId="3199" xr:uid="{00000000-0005-0000-0000-00009A0C0000}"/>
    <cellStyle name="Input Percent 0 6" xfId="3200" xr:uid="{00000000-0005-0000-0000-00009B0C0000}"/>
    <cellStyle name="Input Percent 0 7" xfId="3201" xr:uid="{00000000-0005-0000-0000-00009C0C0000}"/>
    <cellStyle name="Input Percent 0 8" xfId="3202" xr:uid="{00000000-0005-0000-0000-00009D0C0000}"/>
    <cellStyle name="Input Percent 0 9" xfId="3203" xr:uid="{00000000-0005-0000-0000-00009E0C0000}"/>
    <cellStyle name="Input Percent 0,00" xfId="3204" xr:uid="{00000000-0005-0000-0000-00009F0C0000}"/>
    <cellStyle name="Input Percent 0,00 10" xfId="3205" xr:uid="{00000000-0005-0000-0000-0000A00C0000}"/>
    <cellStyle name="Input Percent 0,00 11" xfId="3206" xr:uid="{00000000-0005-0000-0000-0000A10C0000}"/>
    <cellStyle name="Input Percent 0,00 12" xfId="3207" xr:uid="{00000000-0005-0000-0000-0000A20C0000}"/>
    <cellStyle name="Input Percent 0,00 2" xfId="3208" xr:uid="{00000000-0005-0000-0000-0000A30C0000}"/>
    <cellStyle name="Input Percent 0,00 3" xfId="3209" xr:uid="{00000000-0005-0000-0000-0000A40C0000}"/>
    <cellStyle name="Input Percent 0,00 4" xfId="3210" xr:uid="{00000000-0005-0000-0000-0000A50C0000}"/>
    <cellStyle name="Input Percent 0,00 5" xfId="3211" xr:uid="{00000000-0005-0000-0000-0000A60C0000}"/>
    <cellStyle name="Input Percent 0,00 6" xfId="3212" xr:uid="{00000000-0005-0000-0000-0000A70C0000}"/>
    <cellStyle name="Input Percent 0,00 7" xfId="3213" xr:uid="{00000000-0005-0000-0000-0000A80C0000}"/>
    <cellStyle name="Input Percent 0,00 8" xfId="3214" xr:uid="{00000000-0005-0000-0000-0000A90C0000}"/>
    <cellStyle name="Input Percent 0,00 9" xfId="3215" xr:uid="{00000000-0005-0000-0000-0000AA0C0000}"/>
    <cellStyle name="Input Percent 0_7.2.3. CAPEX" xfId="3216" xr:uid="{00000000-0005-0000-0000-0000AB0C0000}"/>
    <cellStyle name="Input Titles" xfId="3217" xr:uid="{00000000-0005-0000-0000-0000AC0C0000}"/>
    <cellStyle name="InputDetailDate" xfId="3218" xr:uid="{00000000-0005-0000-0000-0000AD0C0000}"/>
    <cellStyle name="InputDetailInt" xfId="3219" xr:uid="{00000000-0005-0000-0000-0000AE0C0000}"/>
    <cellStyle name="InputDetailPct" xfId="3220" xr:uid="{00000000-0005-0000-0000-0000AF0C0000}"/>
    <cellStyle name="InputLockedInt" xfId="3221" xr:uid="{00000000-0005-0000-0000-0000B00C0000}"/>
    <cellStyle name="InputLockedPct" xfId="3222" xr:uid="{00000000-0005-0000-0000-0000B10C0000}"/>
    <cellStyle name="Invisible" xfId="3223" xr:uid="{00000000-0005-0000-0000-0000B20C0000}"/>
    <cellStyle name="Kilo" xfId="3224" xr:uid="{00000000-0005-0000-0000-0000B30C0000}"/>
    <cellStyle name="kopregel" xfId="3225" xr:uid="{00000000-0005-0000-0000-0000B40C0000}"/>
    <cellStyle name="LB Style" xfId="3226" xr:uid="{00000000-0005-0000-0000-0000B50C0000}"/>
    <cellStyle name="Lien hypertexte_PERSONAL" xfId="3227" xr:uid="{00000000-0005-0000-0000-0000B60C0000}"/>
    <cellStyle name="LineItemPrompt" xfId="3228" xr:uid="{00000000-0005-0000-0000-0000B70C0000}"/>
    <cellStyle name="LineItemValue" xfId="3229" xr:uid="{00000000-0005-0000-0000-0000B80C0000}"/>
    <cellStyle name="Link Currency (0)" xfId="3230" xr:uid="{00000000-0005-0000-0000-0000B90C0000}"/>
    <cellStyle name="Link Currency (0) 2" xfId="3231" xr:uid="{00000000-0005-0000-0000-0000BA0C0000}"/>
    <cellStyle name="Link Currency (2)" xfId="3232" xr:uid="{00000000-0005-0000-0000-0000BB0C0000}"/>
    <cellStyle name="Link Currency (2) 2" xfId="3233" xr:uid="{00000000-0005-0000-0000-0000BC0C0000}"/>
    <cellStyle name="Link Units (0)" xfId="3234" xr:uid="{00000000-0005-0000-0000-0000BD0C0000}"/>
    <cellStyle name="Link Units (0) 2" xfId="3235" xr:uid="{00000000-0005-0000-0000-0000BE0C0000}"/>
    <cellStyle name="Link Units (1)" xfId="3236" xr:uid="{00000000-0005-0000-0000-0000BF0C0000}"/>
    <cellStyle name="Link Units (1) 2" xfId="3237" xr:uid="{00000000-0005-0000-0000-0000C00C0000}"/>
    <cellStyle name="Link Units (2)" xfId="3238" xr:uid="{00000000-0005-0000-0000-0000C10C0000}"/>
    <cellStyle name="Link Units (2) 2" xfId="3239" xr:uid="{00000000-0005-0000-0000-0000C20C0000}"/>
    <cellStyle name="Linked" xfId="3240" xr:uid="{00000000-0005-0000-0000-0000C30C0000}"/>
    <cellStyle name="Linked Cell 10" xfId="3241" xr:uid="{00000000-0005-0000-0000-0000C40C0000}"/>
    <cellStyle name="Linked Cell 10 2" xfId="3242" xr:uid="{00000000-0005-0000-0000-0000C50C0000}"/>
    <cellStyle name="Linked Cell 10 3" xfId="3243" xr:uid="{00000000-0005-0000-0000-0000C60C0000}"/>
    <cellStyle name="Linked Cell 11" xfId="3244" xr:uid="{00000000-0005-0000-0000-0000C70C0000}"/>
    <cellStyle name="Linked Cell 11 2" xfId="3245" xr:uid="{00000000-0005-0000-0000-0000C80C0000}"/>
    <cellStyle name="Linked Cell 11 3" xfId="3246" xr:uid="{00000000-0005-0000-0000-0000C90C0000}"/>
    <cellStyle name="Linked Cell 12" xfId="3247" xr:uid="{00000000-0005-0000-0000-0000CA0C0000}"/>
    <cellStyle name="Linked Cell 12 2" xfId="3248" xr:uid="{00000000-0005-0000-0000-0000CB0C0000}"/>
    <cellStyle name="Linked Cell 12 3" xfId="3249" xr:uid="{00000000-0005-0000-0000-0000CC0C0000}"/>
    <cellStyle name="Linked Cell 13" xfId="3250" xr:uid="{00000000-0005-0000-0000-0000CD0C0000}"/>
    <cellStyle name="Linked Cell 13 2" xfId="3251" xr:uid="{00000000-0005-0000-0000-0000CE0C0000}"/>
    <cellStyle name="Linked Cell 13 3" xfId="3252" xr:uid="{00000000-0005-0000-0000-0000CF0C0000}"/>
    <cellStyle name="Linked Cell 14" xfId="3253" xr:uid="{00000000-0005-0000-0000-0000D00C0000}"/>
    <cellStyle name="Linked Cell 14 2" xfId="3254" xr:uid="{00000000-0005-0000-0000-0000D10C0000}"/>
    <cellStyle name="Linked Cell 14 3" xfId="3255" xr:uid="{00000000-0005-0000-0000-0000D20C0000}"/>
    <cellStyle name="Linked Cell 15" xfId="3256" xr:uid="{00000000-0005-0000-0000-0000D30C0000}"/>
    <cellStyle name="Linked Cell 15 2" xfId="3257" xr:uid="{00000000-0005-0000-0000-0000D40C0000}"/>
    <cellStyle name="Linked Cell 15 3" xfId="3258" xr:uid="{00000000-0005-0000-0000-0000D50C0000}"/>
    <cellStyle name="Linked Cell 16" xfId="3259" xr:uid="{00000000-0005-0000-0000-0000D60C0000}"/>
    <cellStyle name="Linked Cell 17" xfId="3260" xr:uid="{00000000-0005-0000-0000-0000D70C0000}"/>
    <cellStyle name="Linked Cell 18" xfId="3261" xr:uid="{00000000-0005-0000-0000-0000D80C0000}"/>
    <cellStyle name="Linked Cell 19" xfId="4351" xr:uid="{00000000-0005-0000-0000-0000D90C0000}"/>
    <cellStyle name="Linked Cell 2" xfId="3262" xr:uid="{00000000-0005-0000-0000-0000DA0C0000}"/>
    <cellStyle name="Linked Cell 2 10" xfId="3263" xr:uid="{00000000-0005-0000-0000-0000DB0C0000}"/>
    <cellStyle name="Linked Cell 2 11" xfId="3264" xr:uid="{00000000-0005-0000-0000-0000DC0C0000}"/>
    <cellStyle name="Linked Cell 2 12" xfId="3265" xr:uid="{00000000-0005-0000-0000-0000DD0C0000}"/>
    <cellStyle name="Linked Cell 2 13" xfId="3266" xr:uid="{00000000-0005-0000-0000-0000DE0C0000}"/>
    <cellStyle name="Linked Cell 2 14" xfId="3267" xr:uid="{00000000-0005-0000-0000-0000DF0C0000}"/>
    <cellStyle name="Linked Cell 2 15" xfId="3268" xr:uid="{00000000-0005-0000-0000-0000E00C0000}"/>
    <cellStyle name="Linked Cell 2 2" xfId="3269" xr:uid="{00000000-0005-0000-0000-0000E10C0000}"/>
    <cellStyle name="Linked Cell 2 3" xfId="3270" xr:uid="{00000000-0005-0000-0000-0000E20C0000}"/>
    <cellStyle name="Linked Cell 2 4" xfId="3271" xr:uid="{00000000-0005-0000-0000-0000E30C0000}"/>
    <cellStyle name="Linked Cell 2 5" xfId="3272" xr:uid="{00000000-0005-0000-0000-0000E40C0000}"/>
    <cellStyle name="Linked Cell 2 6" xfId="3273" xr:uid="{00000000-0005-0000-0000-0000E50C0000}"/>
    <cellStyle name="Linked Cell 2 7" xfId="3274" xr:uid="{00000000-0005-0000-0000-0000E60C0000}"/>
    <cellStyle name="Linked Cell 2 8" xfId="3275" xr:uid="{00000000-0005-0000-0000-0000E70C0000}"/>
    <cellStyle name="Linked Cell 2 9" xfId="3276" xr:uid="{00000000-0005-0000-0000-0000E80C0000}"/>
    <cellStyle name="Linked Cell 3" xfId="3277" xr:uid="{00000000-0005-0000-0000-0000E90C0000}"/>
    <cellStyle name="Linked Cell 3 2" xfId="3278" xr:uid="{00000000-0005-0000-0000-0000EA0C0000}"/>
    <cellStyle name="Linked Cell 3 3" xfId="3279" xr:uid="{00000000-0005-0000-0000-0000EB0C0000}"/>
    <cellStyle name="Linked Cell 3 4" xfId="3280" xr:uid="{00000000-0005-0000-0000-0000EC0C0000}"/>
    <cellStyle name="Linked Cell 3 5" xfId="3281" xr:uid="{00000000-0005-0000-0000-0000ED0C0000}"/>
    <cellStyle name="Linked Cell 3 5 2" xfId="3282" xr:uid="{00000000-0005-0000-0000-0000EE0C0000}"/>
    <cellStyle name="Linked Cell 3 6" xfId="3283" xr:uid="{00000000-0005-0000-0000-0000EF0C0000}"/>
    <cellStyle name="Linked Cell 3 7" xfId="3284" xr:uid="{00000000-0005-0000-0000-0000F00C0000}"/>
    <cellStyle name="Linked Cell 3 8" xfId="3285" xr:uid="{00000000-0005-0000-0000-0000F10C0000}"/>
    <cellStyle name="Linked Cell 3 9" xfId="3286" xr:uid="{00000000-0005-0000-0000-0000F20C0000}"/>
    <cellStyle name="Linked Cell 4" xfId="3287" xr:uid="{00000000-0005-0000-0000-0000F30C0000}"/>
    <cellStyle name="Linked Cell 4 2" xfId="3288" xr:uid="{00000000-0005-0000-0000-0000F40C0000}"/>
    <cellStyle name="Linked Cell 5" xfId="3289" xr:uid="{00000000-0005-0000-0000-0000F50C0000}"/>
    <cellStyle name="Linked Cell 5 2" xfId="3290" xr:uid="{00000000-0005-0000-0000-0000F60C0000}"/>
    <cellStyle name="Linked Cell 6" xfId="3291" xr:uid="{00000000-0005-0000-0000-0000F70C0000}"/>
    <cellStyle name="Linked Cell 6 2" xfId="3292" xr:uid="{00000000-0005-0000-0000-0000F80C0000}"/>
    <cellStyle name="Linked Cell 7" xfId="3293" xr:uid="{00000000-0005-0000-0000-0000F90C0000}"/>
    <cellStyle name="Linked Cell 8" xfId="3294" xr:uid="{00000000-0005-0000-0000-0000FA0C0000}"/>
    <cellStyle name="Linked Cell 9" xfId="3295" xr:uid="{00000000-0005-0000-0000-0000FB0C0000}"/>
    <cellStyle name="Linked Cell 9 2" xfId="3296" xr:uid="{00000000-0005-0000-0000-0000FC0C0000}"/>
    <cellStyle name="Linked Cell 9 2 2" xfId="3297" xr:uid="{00000000-0005-0000-0000-0000FD0C0000}"/>
    <cellStyle name="Linked Cell 9 3" xfId="3298" xr:uid="{00000000-0005-0000-0000-0000FE0C0000}"/>
    <cellStyle name="Linked Cell 9 4" xfId="3299" xr:uid="{00000000-0005-0000-0000-0000FF0C0000}"/>
    <cellStyle name="Linked Cell 9 5" xfId="3300" xr:uid="{00000000-0005-0000-0000-0000000D0000}"/>
    <cellStyle name="Linked Cells" xfId="3301" xr:uid="{00000000-0005-0000-0000-0000010D0000}"/>
    <cellStyle name="LTM Cell Column Heading" xfId="3302" xr:uid="{00000000-0005-0000-0000-0000020D0000}"/>
    <cellStyle name="Mega" xfId="3303" xr:uid="{00000000-0005-0000-0000-0000030D0000}"/>
    <cellStyle name="Millares [0]_pldt" xfId="3304" xr:uid="{00000000-0005-0000-0000-0000040D0000}"/>
    <cellStyle name="Millares_pldt" xfId="3305" xr:uid="{00000000-0005-0000-0000-0000050D0000}"/>
    <cellStyle name="Milliers [0]_!!!GO" xfId="3306" xr:uid="{00000000-0005-0000-0000-0000060D0000}"/>
    <cellStyle name="Milliers_!!!GO" xfId="3307" xr:uid="{00000000-0005-0000-0000-0000070D0000}"/>
    <cellStyle name="Mon_Year" xfId="3308" xr:uid="{00000000-0005-0000-0000-0000080D0000}"/>
    <cellStyle name="Moneda [0]_pldt" xfId="3309" xr:uid="{00000000-0005-0000-0000-0000090D0000}"/>
    <cellStyle name="Moneda_Coste Fidelizacion" xfId="3310" xr:uid="{00000000-0005-0000-0000-00000A0D0000}"/>
    <cellStyle name="Monétaire [0]_!!!GO" xfId="3311" xr:uid="{00000000-0005-0000-0000-00000B0D0000}"/>
    <cellStyle name="Monétaire_!!!GO" xfId="3312" xr:uid="{00000000-0005-0000-0000-00000C0D0000}"/>
    <cellStyle name="MS Sans Serif" xfId="3313" xr:uid="{00000000-0005-0000-0000-00000D0D0000}"/>
    <cellStyle name="MS_English" xfId="3314" xr:uid="{00000000-0005-0000-0000-00000E0D0000}"/>
    <cellStyle name="Multiple" xfId="3315" xr:uid="{00000000-0005-0000-0000-00000F0D0000}"/>
    <cellStyle name="Multiple Cell Column Heading" xfId="3316" xr:uid="{00000000-0005-0000-0000-0000100D0000}"/>
    <cellStyle name="NA is zero" xfId="3317" xr:uid="{00000000-0005-0000-0000-0000110D0000}"/>
    <cellStyle name="Neutral 10" xfId="3318" xr:uid="{00000000-0005-0000-0000-0000120D0000}"/>
    <cellStyle name="Neutral 10 2" xfId="3319" xr:uid="{00000000-0005-0000-0000-0000130D0000}"/>
    <cellStyle name="Neutral 10 3" xfId="3320" xr:uid="{00000000-0005-0000-0000-0000140D0000}"/>
    <cellStyle name="Neutral 11" xfId="3321" xr:uid="{00000000-0005-0000-0000-0000150D0000}"/>
    <cellStyle name="Neutral 11 2" xfId="3322" xr:uid="{00000000-0005-0000-0000-0000160D0000}"/>
    <cellStyle name="Neutral 11 3" xfId="3323" xr:uid="{00000000-0005-0000-0000-0000170D0000}"/>
    <cellStyle name="Neutral 12" xfId="3324" xr:uid="{00000000-0005-0000-0000-0000180D0000}"/>
    <cellStyle name="Neutral 12 2" xfId="3325" xr:uid="{00000000-0005-0000-0000-0000190D0000}"/>
    <cellStyle name="Neutral 12 3" xfId="3326" xr:uid="{00000000-0005-0000-0000-00001A0D0000}"/>
    <cellStyle name="Neutral 13" xfId="3327" xr:uid="{00000000-0005-0000-0000-00001B0D0000}"/>
    <cellStyle name="Neutral 13 2" xfId="3328" xr:uid="{00000000-0005-0000-0000-00001C0D0000}"/>
    <cellStyle name="Neutral 13 3" xfId="3329" xr:uid="{00000000-0005-0000-0000-00001D0D0000}"/>
    <cellStyle name="Neutral 14" xfId="3330" xr:uid="{00000000-0005-0000-0000-00001E0D0000}"/>
    <cellStyle name="Neutral 14 2" xfId="3331" xr:uid="{00000000-0005-0000-0000-00001F0D0000}"/>
    <cellStyle name="Neutral 14 3" xfId="3332" xr:uid="{00000000-0005-0000-0000-0000200D0000}"/>
    <cellStyle name="Neutral 15" xfId="3333" xr:uid="{00000000-0005-0000-0000-0000210D0000}"/>
    <cellStyle name="Neutral 15 2" xfId="3334" xr:uid="{00000000-0005-0000-0000-0000220D0000}"/>
    <cellStyle name="Neutral 15 3" xfId="3335" xr:uid="{00000000-0005-0000-0000-0000230D0000}"/>
    <cellStyle name="Neutral 16" xfId="3336" xr:uid="{00000000-0005-0000-0000-0000240D0000}"/>
    <cellStyle name="Neutral 17" xfId="3337" xr:uid="{00000000-0005-0000-0000-0000250D0000}"/>
    <cellStyle name="Neutral 18" xfId="3338" xr:uid="{00000000-0005-0000-0000-0000260D0000}"/>
    <cellStyle name="Neutral 19" xfId="3339" xr:uid="{00000000-0005-0000-0000-0000270D0000}"/>
    <cellStyle name="Neutral 2" xfId="3340" xr:uid="{00000000-0005-0000-0000-0000280D0000}"/>
    <cellStyle name="Neutral 2 10" xfId="3341" xr:uid="{00000000-0005-0000-0000-0000290D0000}"/>
    <cellStyle name="Neutral 2 11" xfId="3342" xr:uid="{00000000-0005-0000-0000-00002A0D0000}"/>
    <cellStyle name="Neutral 2 12" xfId="3343" xr:uid="{00000000-0005-0000-0000-00002B0D0000}"/>
    <cellStyle name="Neutral 2 13" xfId="3344" xr:uid="{00000000-0005-0000-0000-00002C0D0000}"/>
    <cellStyle name="Neutral 2 14" xfId="3345" xr:uid="{00000000-0005-0000-0000-00002D0D0000}"/>
    <cellStyle name="Neutral 2 15" xfId="3346" xr:uid="{00000000-0005-0000-0000-00002E0D0000}"/>
    <cellStyle name="Neutral 2 2" xfId="3347" xr:uid="{00000000-0005-0000-0000-00002F0D0000}"/>
    <cellStyle name="Neutral 2 3" xfId="3348" xr:uid="{00000000-0005-0000-0000-0000300D0000}"/>
    <cellStyle name="Neutral 2 4" xfId="3349" xr:uid="{00000000-0005-0000-0000-0000310D0000}"/>
    <cellStyle name="Neutral 2 5" xfId="3350" xr:uid="{00000000-0005-0000-0000-0000320D0000}"/>
    <cellStyle name="Neutral 2 6" xfId="3351" xr:uid="{00000000-0005-0000-0000-0000330D0000}"/>
    <cellStyle name="Neutral 2 7" xfId="3352" xr:uid="{00000000-0005-0000-0000-0000340D0000}"/>
    <cellStyle name="Neutral 2 8" xfId="3353" xr:uid="{00000000-0005-0000-0000-0000350D0000}"/>
    <cellStyle name="Neutral 2 9" xfId="3354" xr:uid="{00000000-0005-0000-0000-0000360D0000}"/>
    <cellStyle name="Neutral 20" xfId="4352" xr:uid="{00000000-0005-0000-0000-0000370D0000}"/>
    <cellStyle name="Neutral 3" xfId="3355" xr:uid="{00000000-0005-0000-0000-0000380D0000}"/>
    <cellStyle name="Neutral 3 2" xfId="3356" xr:uid="{00000000-0005-0000-0000-0000390D0000}"/>
    <cellStyle name="Neutral 3 3" xfId="3357" xr:uid="{00000000-0005-0000-0000-00003A0D0000}"/>
    <cellStyle name="Neutral 3 4" xfId="3358" xr:uid="{00000000-0005-0000-0000-00003B0D0000}"/>
    <cellStyle name="Neutral 3 5" xfId="3359" xr:uid="{00000000-0005-0000-0000-00003C0D0000}"/>
    <cellStyle name="Neutral 3 5 2" xfId="3360" xr:uid="{00000000-0005-0000-0000-00003D0D0000}"/>
    <cellStyle name="Neutral 3 6" xfId="3361" xr:uid="{00000000-0005-0000-0000-00003E0D0000}"/>
    <cellStyle name="Neutral 3 7" xfId="3362" xr:uid="{00000000-0005-0000-0000-00003F0D0000}"/>
    <cellStyle name="Neutral 3 8" xfId="3363" xr:uid="{00000000-0005-0000-0000-0000400D0000}"/>
    <cellStyle name="Neutral 3 9" xfId="3364" xr:uid="{00000000-0005-0000-0000-0000410D0000}"/>
    <cellStyle name="Neutral 4" xfId="3365" xr:uid="{00000000-0005-0000-0000-0000420D0000}"/>
    <cellStyle name="Neutral 4 2" xfId="3366" xr:uid="{00000000-0005-0000-0000-0000430D0000}"/>
    <cellStyle name="Neutral 5" xfId="3367" xr:uid="{00000000-0005-0000-0000-0000440D0000}"/>
    <cellStyle name="Neutral 5 2" xfId="3368" xr:uid="{00000000-0005-0000-0000-0000450D0000}"/>
    <cellStyle name="Neutral 6" xfId="3369" xr:uid="{00000000-0005-0000-0000-0000460D0000}"/>
    <cellStyle name="Neutral 6 2" xfId="3370" xr:uid="{00000000-0005-0000-0000-0000470D0000}"/>
    <cellStyle name="Neutral 7" xfId="3371" xr:uid="{00000000-0005-0000-0000-0000480D0000}"/>
    <cellStyle name="Neutral 8" xfId="3372" xr:uid="{00000000-0005-0000-0000-0000490D0000}"/>
    <cellStyle name="Neutral 9" xfId="3373" xr:uid="{00000000-0005-0000-0000-00004A0D0000}"/>
    <cellStyle name="Neutral 9 2" xfId="3374" xr:uid="{00000000-0005-0000-0000-00004B0D0000}"/>
    <cellStyle name="Neutral 9 2 2" xfId="3375" xr:uid="{00000000-0005-0000-0000-00004C0D0000}"/>
    <cellStyle name="Neutral 9 3" xfId="3376" xr:uid="{00000000-0005-0000-0000-00004D0D0000}"/>
    <cellStyle name="Neutral 9 4" xfId="3377" xr:uid="{00000000-0005-0000-0000-00004E0D0000}"/>
    <cellStyle name="Neutral 9 5" xfId="3378" xr:uid="{00000000-0005-0000-0000-00004F0D0000}"/>
    <cellStyle name="new style" xfId="3379" xr:uid="{00000000-0005-0000-0000-0000500D0000}"/>
    <cellStyle name="New Times Roman" xfId="3380" xr:uid="{00000000-0005-0000-0000-0000510D0000}"/>
    <cellStyle name="NewColumnHeaderNormal" xfId="3381" xr:uid="{00000000-0005-0000-0000-0000520D0000}"/>
    <cellStyle name="NewSectionHeaderNormal" xfId="3382" xr:uid="{00000000-0005-0000-0000-0000530D0000}"/>
    <cellStyle name="NewSectionHeaderNormal 2" xfId="3383" xr:uid="{00000000-0005-0000-0000-0000540D0000}"/>
    <cellStyle name="NewTitleNormal" xfId="3384" xr:uid="{00000000-0005-0000-0000-0000550D0000}"/>
    <cellStyle name="no dec" xfId="3385" xr:uid="{00000000-0005-0000-0000-0000560D0000}"/>
    <cellStyle name="nonmultiple" xfId="3386" xr:uid="{00000000-0005-0000-0000-0000570D0000}"/>
    <cellStyle name="NonPrint_Heading" xfId="3387" xr:uid="{00000000-0005-0000-0000-0000580D0000}"/>
    <cellStyle name="Norm੎੎" xfId="3388" xr:uid="{00000000-0005-0000-0000-0000590D0000}"/>
    <cellStyle name="Normal" xfId="0" builtinId="0"/>
    <cellStyle name="Normal - Style1" xfId="3389" xr:uid="{00000000-0005-0000-0000-00005B0D0000}"/>
    <cellStyle name="Normal - Style1 2" xfId="3390" xr:uid="{00000000-0005-0000-0000-00005C0D0000}"/>
    <cellStyle name="Normal - Style2" xfId="3391" xr:uid="{00000000-0005-0000-0000-00005D0D0000}"/>
    <cellStyle name="Normal - Style3" xfId="3392" xr:uid="{00000000-0005-0000-0000-00005E0D0000}"/>
    <cellStyle name="Normal - Style4" xfId="3393" xr:uid="{00000000-0005-0000-0000-00005F0D0000}"/>
    <cellStyle name="Normal - Style5" xfId="3394" xr:uid="{00000000-0005-0000-0000-0000600D0000}"/>
    <cellStyle name="Normal - Style6" xfId="3395" xr:uid="{00000000-0005-0000-0000-0000610D0000}"/>
    <cellStyle name="Normal - Style7" xfId="3396" xr:uid="{00000000-0005-0000-0000-0000620D0000}"/>
    <cellStyle name="Normal - Style8" xfId="3397" xr:uid="{00000000-0005-0000-0000-0000630D0000}"/>
    <cellStyle name="Normal [0]" xfId="3398" xr:uid="{00000000-0005-0000-0000-0000640D0000}"/>
    <cellStyle name="Normal [1]" xfId="3399" xr:uid="{00000000-0005-0000-0000-0000650D0000}"/>
    <cellStyle name="Normal [2]" xfId="3400" xr:uid="{00000000-0005-0000-0000-0000660D0000}"/>
    <cellStyle name="Normal [3]" xfId="3401" xr:uid="{00000000-0005-0000-0000-0000670D0000}"/>
    <cellStyle name="Normal 10" xfId="3402" xr:uid="{00000000-0005-0000-0000-0000680D0000}"/>
    <cellStyle name="Normal 11" xfId="3403" xr:uid="{00000000-0005-0000-0000-0000690D0000}"/>
    <cellStyle name="Normal 12" xfId="3404" xr:uid="{00000000-0005-0000-0000-00006A0D0000}"/>
    <cellStyle name="Normal 12 2" xfId="3405" xr:uid="{00000000-0005-0000-0000-00006B0D0000}"/>
    <cellStyle name="Normal 13" xfId="3406" xr:uid="{00000000-0005-0000-0000-00006C0D0000}"/>
    <cellStyle name="Normal 13 2" xfId="3407" xr:uid="{00000000-0005-0000-0000-00006D0D0000}"/>
    <cellStyle name="Normal 14" xfId="3408" xr:uid="{00000000-0005-0000-0000-00006E0D0000}"/>
    <cellStyle name="Normal 14 2" xfId="3409" xr:uid="{00000000-0005-0000-0000-00006F0D0000}"/>
    <cellStyle name="Normal 14 3" xfId="3410" xr:uid="{00000000-0005-0000-0000-0000700D0000}"/>
    <cellStyle name="Normal 14 4" xfId="3411" xr:uid="{00000000-0005-0000-0000-0000710D0000}"/>
    <cellStyle name="Normal 15" xfId="3412" xr:uid="{00000000-0005-0000-0000-0000720D0000}"/>
    <cellStyle name="Normal 15 2" xfId="3413" xr:uid="{00000000-0005-0000-0000-0000730D0000}"/>
    <cellStyle name="Normal 15 3" xfId="3414" xr:uid="{00000000-0005-0000-0000-0000740D0000}"/>
    <cellStyle name="Normal 15 4" xfId="3415" xr:uid="{00000000-0005-0000-0000-0000750D0000}"/>
    <cellStyle name="Normal 16" xfId="3416" xr:uid="{00000000-0005-0000-0000-0000760D0000}"/>
    <cellStyle name="Normal 16 2" xfId="3417" xr:uid="{00000000-0005-0000-0000-0000770D0000}"/>
    <cellStyle name="Normal 17" xfId="3418" xr:uid="{00000000-0005-0000-0000-0000780D0000}"/>
    <cellStyle name="Normal 18" xfId="3419" xr:uid="{00000000-0005-0000-0000-0000790D0000}"/>
    <cellStyle name="Normal 18 2" xfId="3420" xr:uid="{00000000-0005-0000-0000-00007A0D0000}"/>
    <cellStyle name="Normal 19" xfId="3421" xr:uid="{00000000-0005-0000-0000-00007B0D0000}"/>
    <cellStyle name="Normal 2" xfId="4" xr:uid="{00000000-0005-0000-0000-000004000000}"/>
    <cellStyle name="Normal 2 10" xfId="3422" xr:uid="{00000000-0005-0000-0000-00007D0D0000}"/>
    <cellStyle name="Normal 2 10 2" xfId="3423" xr:uid="{00000000-0005-0000-0000-00007E0D0000}"/>
    <cellStyle name="Normal 2 10 2 2" xfId="3424" xr:uid="{00000000-0005-0000-0000-00007F0D0000}"/>
    <cellStyle name="Normal 2 10 3" xfId="3425" xr:uid="{00000000-0005-0000-0000-0000800D0000}"/>
    <cellStyle name="Normal 2 10 4" xfId="3426" xr:uid="{00000000-0005-0000-0000-0000810D0000}"/>
    <cellStyle name="Normal 2 10 5" xfId="3427" xr:uid="{00000000-0005-0000-0000-0000820D0000}"/>
    <cellStyle name="Normal 2 11" xfId="3428" xr:uid="{00000000-0005-0000-0000-0000830D0000}"/>
    <cellStyle name="Normal 2 11 2" xfId="3429" xr:uid="{00000000-0005-0000-0000-0000840D0000}"/>
    <cellStyle name="Normal 2 11 3" xfId="3430" xr:uid="{00000000-0005-0000-0000-0000850D0000}"/>
    <cellStyle name="Normal 2 12" xfId="3431" xr:uid="{00000000-0005-0000-0000-0000860D0000}"/>
    <cellStyle name="Normal 2 12 2" xfId="3432" xr:uid="{00000000-0005-0000-0000-0000870D0000}"/>
    <cellStyle name="Normal 2 12 3" xfId="3433" xr:uid="{00000000-0005-0000-0000-0000880D0000}"/>
    <cellStyle name="Normal 2 13" xfId="3434" xr:uid="{00000000-0005-0000-0000-0000890D0000}"/>
    <cellStyle name="Normal 2 13 2" xfId="3435" xr:uid="{00000000-0005-0000-0000-00008A0D0000}"/>
    <cellStyle name="Normal 2 14" xfId="3436" xr:uid="{00000000-0005-0000-0000-00008B0D0000}"/>
    <cellStyle name="Normal 2 14 2" xfId="3437" xr:uid="{00000000-0005-0000-0000-00008C0D0000}"/>
    <cellStyle name="Normal 2 15" xfId="3438" xr:uid="{00000000-0005-0000-0000-00008D0D0000}"/>
    <cellStyle name="Normal 2 15 2" xfId="3439" xr:uid="{00000000-0005-0000-0000-00008E0D0000}"/>
    <cellStyle name="Normal 2 16" xfId="3440" xr:uid="{00000000-0005-0000-0000-00008F0D0000}"/>
    <cellStyle name="Normal 2 17" xfId="3441" xr:uid="{00000000-0005-0000-0000-0000900D0000}"/>
    <cellStyle name="Normal 2 18" xfId="3442" xr:uid="{00000000-0005-0000-0000-0000910D0000}"/>
    <cellStyle name="Normal 2 19" xfId="12" xr:uid="{00000000-0005-0000-0000-00007C0D0000}"/>
    <cellStyle name="Normal 2 2" xfId="13" xr:uid="{00000000-0005-0000-0000-0000920D0000}"/>
    <cellStyle name="Normal 2 2 2" xfId="3443" xr:uid="{00000000-0005-0000-0000-0000930D0000}"/>
    <cellStyle name="Normal 2 2 2 2" xfId="3444" xr:uid="{00000000-0005-0000-0000-0000940D0000}"/>
    <cellStyle name="Normal 2 2 3" xfId="3445" xr:uid="{00000000-0005-0000-0000-0000950D0000}"/>
    <cellStyle name="Normal 2 2 3 2" xfId="3446" xr:uid="{00000000-0005-0000-0000-0000960D0000}"/>
    <cellStyle name="Normal 2 2 4" xfId="3447" xr:uid="{00000000-0005-0000-0000-0000970D0000}"/>
    <cellStyle name="Normal 2 3" xfId="3448" xr:uid="{00000000-0005-0000-0000-0000980D0000}"/>
    <cellStyle name="Normal 2 3 2" xfId="3449" xr:uid="{00000000-0005-0000-0000-0000990D0000}"/>
    <cellStyle name="Normal 2 3 2 2" xfId="3450" xr:uid="{00000000-0005-0000-0000-00009A0D0000}"/>
    <cellStyle name="Normal 2 3 3" xfId="3451" xr:uid="{00000000-0005-0000-0000-00009B0D0000}"/>
    <cellStyle name="Normal 2 3 4" xfId="3452" xr:uid="{00000000-0005-0000-0000-00009C0D0000}"/>
    <cellStyle name="Normal 2 3 5" xfId="3453" xr:uid="{00000000-0005-0000-0000-00009D0D0000}"/>
    <cellStyle name="Normal 2 3 6" xfId="3454" xr:uid="{00000000-0005-0000-0000-00009E0D0000}"/>
    <cellStyle name="Normal 2 3 7" xfId="3455" xr:uid="{00000000-0005-0000-0000-00009F0D0000}"/>
    <cellStyle name="Normal 2 4" xfId="3456" xr:uid="{00000000-0005-0000-0000-0000A00D0000}"/>
    <cellStyle name="Normal 2 4 2" xfId="3457" xr:uid="{00000000-0005-0000-0000-0000A10D0000}"/>
    <cellStyle name="Normal 2 4 3" xfId="3458" xr:uid="{00000000-0005-0000-0000-0000A20D0000}"/>
    <cellStyle name="Normal 2 5" xfId="3459" xr:uid="{00000000-0005-0000-0000-0000A30D0000}"/>
    <cellStyle name="Normal 2 5 2" xfId="3460" xr:uid="{00000000-0005-0000-0000-0000A40D0000}"/>
    <cellStyle name="Normal 2 5 3" xfId="3461" xr:uid="{00000000-0005-0000-0000-0000A50D0000}"/>
    <cellStyle name="Normal 2 6" xfId="3462" xr:uid="{00000000-0005-0000-0000-0000A60D0000}"/>
    <cellStyle name="Normal 2 6 2" xfId="3463" xr:uid="{00000000-0005-0000-0000-0000A70D0000}"/>
    <cellStyle name="Normal 2 6 3" xfId="3464" xr:uid="{00000000-0005-0000-0000-0000A80D0000}"/>
    <cellStyle name="Normal 2 7" xfId="3465" xr:uid="{00000000-0005-0000-0000-0000A90D0000}"/>
    <cellStyle name="Normal 2 7 2" xfId="3466" xr:uid="{00000000-0005-0000-0000-0000AA0D0000}"/>
    <cellStyle name="Normal 2 7 3" xfId="3467" xr:uid="{00000000-0005-0000-0000-0000AB0D0000}"/>
    <cellStyle name="Normal 2 8" xfId="3468" xr:uid="{00000000-0005-0000-0000-0000AC0D0000}"/>
    <cellStyle name="Normal 2 8 2" xfId="3469" xr:uid="{00000000-0005-0000-0000-0000AD0D0000}"/>
    <cellStyle name="Normal 2 8 3" xfId="3470" xr:uid="{00000000-0005-0000-0000-0000AE0D0000}"/>
    <cellStyle name="Normal 2 9" xfId="3471" xr:uid="{00000000-0005-0000-0000-0000AF0D0000}"/>
    <cellStyle name="Normal 2 9 2" xfId="3472" xr:uid="{00000000-0005-0000-0000-0000B00D0000}"/>
    <cellStyle name="Normal 2 9 2 2" xfId="3473" xr:uid="{00000000-0005-0000-0000-0000B10D0000}"/>
    <cellStyle name="Normal 2 9 3" xfId="3474" xr:uid="{00000000-0005-0000-0000-0000B20D0000}"/>
    <cellStyle name="Normal 2 9 4" xfId="3475" xr:uid="{00000000-0005-0000-0000-0000B30D0000}"/>
    <cellStyle name="Normal 2 9 5" xfId="3476" xr:uid="{00000000-0005-0000-0000-0000B40D0000}"/>
    <cellStyle name="Normal 20" xfId="3477" xr:uid="{00000000-0005-0000-0000-0000B50D0000}"/>
    <cellStyle name="Normal 20 2" xfId="3478" xr:uid="{00000000-0005-0000-0000-0000B60D0000}"/>
    <cellStyle name="Normal 21" xfId="3479" xr:uid="{00000000-0005-0000-0000-0000B70D0000}"/>
    <cellStyle name="Normal 22" xfId="3480" xr:uid="{00000000-0005-0000-0000-0000B80D0000}"/>
    <cellStyle name="Normal 23" xfId="3481" xr:uid="{00000000-0005-0000-0000-0000B90D0000}"/>
    <cellStyle name="Normal 24" xfId="3482" xr:uid="{00000000-0005-0000-0000-0000BA0D0000}"/>
    <cellStyle name="Normal 25" xfId="4313" xr:uid="{00000000-0005-0000-0000-0000BB0D0000}"/>
    <cellStyle name="Normal 25 2" xfId="4358" xr:uid="{00000000-0005-0000-0000-0000BC0D0000}"/>
    <cellStyle name="Normal 26" xfId="4362" xr:uid="{00000000-0005-0000-0000-0000BD0D0000}"/>
    <cellStyle name="Normal 27" xfId="4364" xr:uid="{00000000-0005-0000-0000-0000BE0D0000}"/>
    <cellStyle name="Normal 28" xfId="4369" xr:uid="{00000000-0005-0000-0000-0000BF0D0000}"/>
    <cellStyle name="Normal 29" xfId="4365" xr:uid="{00000000-0005-0000-0000-0000C00D0000}"/>
    <cellStyle name="Normal 3" xfId="14" xr:uid="{00000000-0005-0000-0000-0000C10D0000}"/>
    <cellStyle name="Normal 3 2" xfId="3483" xr:uid="{00000000-0005-0000-0000-0000C20D0000}"/>
    <cellStyle name="Normal 3 2 2" xfId="3484" xr:uid="{00000000-0005-0000-0000-0000C30D0000}"/>
    <cellStyle name="Normal 3 2 2 2" xfId="3485" xr:uid="{00000000-0005-0000-0000-0000C40D0000}"/>
    <cellStyle name="Normal 3 2 3" xfId="3486" xr:uid="{00000000-0005-0000-0000-0000C50D0000}"/>
    <cellStyle name="Normal 3 3" xfId="3487" xr:uid="{00000000-0005-0000-0000-0000C60D0000}"/>
    <cellStyle name="Normal 3 4" xfId="3488" xr:uid="{00000000-0005-0000-0000-0000C70D0000}"/>
    <cellStyle name="Normal 3_Display" xfId="3489" xr:uid="{00000000-0005-0000-0000-0000C80D0000}"/>
    <cellStyle name="Normal 30" xfId="4368" xr:uid="{00000000-0005-0000-0000-0000C90D0000}"/>
    <cellStyle name="Normal 31" xfId="4366" xr:uid="{00000000-0005-0000-0000-0000CA0D0000}"/>
    <cellStyle name="Normal 32" xfId="4367" xr:uid="{00000000-0005-0000-0000-0000CB0D0000}"/>
    <cellStyle name="Normal 33" xfId="4370" xr:uid="{00000000-0005-0000-0000-0000CC0D0000}"/>
    <cellStyle name="Normal 34" xfId="4383" xr:uid="{00000000-0005-0000-0000-0000CD0D0000}"/>
    <cellStyle name="Normal 35" xfId="4371" xr:uid="{00000000-0005-0000-0000-0000CE0D0000}"/>
    <cellStyle name="Normal 36" xfId="4382" xr:uid="{00000000-0005-0000-0000-0000CF0D0000}"/>
    <cellStyle name="Normal 37" xfId="4372" xr:uid="{00000000-0005-0000-0000-0000D00D0000}"/>
    <cellStyle name="Normal 38" xfId="4381" xr:uid="{00000000-0005-0000-0000-0000D10D0000}"/>
    <cellStyle name="Normal 39" xfId="4373" xr:uid="{00000000-0005-0000-0000-0000D20D0000}"/>
    <cellStyle name="Normal 4" xfId="5" xr:uid="{00000000-0005-0000-0000-000005000000}"/>
    <cellStyle name="Normal 4 10" xfId="3490" xr:uid="{00000000-0005-0000-0000-0000D30D0000}"/>
    <cellStyle name="Normal 4 2" xfId="3491" xr:uid="{00000000-0005-0000-0000-0000D40D0000}"/>
    <cellStyle name="Normal 4 3" xfId="3492" xr:uid="{00000000-0005-0000-0000-0000D50D0000}"/>
    <cellStyle name="Normal 4 4" xfId="3493" xr:uid="{00000000-0005-0000-0000-0000D60D0000}"/>
    <cellStyle name="Normal 4 5" xfId="3494" xr:uid="{00000000-0005-0000-0000-0000D70D0000}"/>
    <cellStyle name="Normal 4 5 2" xfId="3495" xr:uid="{00000000-0005-0000-0000-0000D80D0000}"/>
    <cellStyle name="Normal 4 6" xfId="3496" xr:uid="{00000000-0005-0000-0000-0000D90D0000}"/>
    <cellStyle name="Normal 4 7" xfId="3497" xr:uid="{00000000-0005-0000-0000-0000DA0D0000}"/>
    <cellStyle name="Normal 4 8" xfId="3498" xr:uid="{00000000-0005-0000-0000-0000DB0D0000}"/>
    <cellStyle name="Normal 4 9" xfId="3499" xr:uid="{00000000-0005-0000-0000-0000DC0D0000}"/>
    <cellStyle name="Normal 4_Display" xfId="3500" xr:uid="{00000000-0005-0000-0000-0000DD0D0000}"/>
    <cellStyle name="Normal 40" xfId="4380" xr:uid="{00000000-0005-0000-0000-0000DE0D0000}"/>
    <cellStyle name="Normal 41" xfId="4374" xr:uid="{00000000-0005-0000-0000-0000DF0D0000}"/>
    <cellStyle name="Normal 42" xfId="4379" xr:uid="{00000000-0005-0000-0000-0000E00D0000}"/>
    <cellStyle name="Normal 43" xfId="4375" xr:uid="{00000000-0005-0000-0000-0000E10D0000}"/>
    <cellStyle name="Normal 44" xfId="4378" xr:uid="{00000000-0005-0000-0000-0000E20D0000}"/>
    <cellStyle name="Normal 45" xfId="4376" xr:uid="{00000000-0005-0000-0000-0000E30D0000}"/>
    <cellStyle name="Normal 46" xfId="4377" xr:uid="{00000000-0005-0000-0000-0000E40D0000}"/>
    <cellStyle name="Normal 47" xfId="4384" xr:uid="{00000000-0005-0000-0000-0000E50D0000}"/>
    <cellStyle name="Normal 48" xfId="4385" xr:uid="{00000000-0005-0000-0000-0000E60D0000}"/>
    <cellStyle name="Normal 5" xfId="3501" xr:uid="{00000000-0005-0000-0000-0000E70D0000}"/>
    <cellStyle name="Normal 5 2" xfId="3502" xr:uid="{00000000-0005-0000-0000-0000E80D0000}"/>
    <cellStyle name="Normal 5 3" xfId="3503" xr:uid="{00000000-0005-0000-0000-0000E90D0000}"/>
    <cellStyle name="Normal 5 4" xfId="3504" xr:uid="{00000000-0005-0000-0000-0000EA0D0000}"/>
    <cellStyle name="Normal 5 5" xfId="3505" xr:uid="{00000000-0005-0000-0000-0000EB0D0000}"/>
    <cellStyle name="Normal 5 5 2" xfId="3506" xr:uid="{00000000-0005-0000-0000-0000EC0D0000}"/>
    <cellStyle name="Normal 5 6" xfId="3507" xr:uid="{00000000-0005-0000-0000-0000ED0D0000}"/>
    <cellStyle name="Normal 5 7" xfId="3508" xr:uid="{00000000-0005-0000-0000-0000EE0D0000}"/>
    <cellStyle name="Normal 5 8" xfId="3509" xr:uid="{00000000-0005-0000-0000-0000EF0D0000}"/>
    <cellStyle name="Normal 5_Display" xfId="3510" xr:uid="{00000000-0005-0000-0000-0000F00D0000}"/>
    <cellStyle name="Normal 6" xfId="3511" xr:uid="{00000000-0005-0000-0000-0000F10D0000}"/>
    <cellStyle name="Normal 6 2" xfId="3512" xr:uid="{00000000-0005-0000-0000-0000F20D0000}"/>
    <cellStyle name="Normal 6_Display" xfId="3513" xr:uid="{00000000-0005-0000-0000-0000F30D0000}"/>
    <cellStyle name="Normal 7" xfId="3514" xr:uid="{00000000-0005-0000-0000-0000F40D0000}"/>
    <cellStyle name="Normal 7 2" xfId="3515" xr:uid="{00000000-0005-0000-0000-0000F50D0000}"/>
    <cellStyle name="Normal 7 2 2" xfId="3516" xr:uid="{00000000-0005-0000-0000-0000F60D0000}"/>
    <cellStyle name="Normal 7 2 3" xfId="3517" xr:uid="{00000000-0005-0000-0000-0000F70D0000}"/>
    <cellStyle name="Normal 7 3" xfId="3518" xr:uid="{00000000-0005-0000-0000-0000F80D0000}"/>
    <cellStyle name="Normal 7 3 2" xfId="3519" xr:uid="{00000000-0005-0000-0000-0000F90D0000}"/>
    <cellStyle name="Normal 7 3 2 2" xfId="3520" xr:uid="{00000000-0005-0000-0000-0000FA0D0000}"/>
    <cellStyle name="Normal 7 3 2 3" xfId="3521" xr:uid="{00000000-0005-0000-0000-0000FB0D0000}"/>
    <cellStyle name="Normal 7 3 3" xfId="3522" xr:uid="{00000000-0005-0000-0000-0000FC0D0000}"/>
    <cellStyle name="Normal 7 3 4" xfId="3523" xr:uid="{00000000-0005-0000-0000-0000FD0D0000}"/>
    <cellStyle name="Normal 7 4" xfId="3524" xr:uid="{00000000-0005-0000-0000-0000FE0D0000}"/>
    <cellStyle name="Normal 7 5" xfId="3525" xr:uid="{00000000-0005-0000-0000-0000FF0D0000}"/>
    <cellStyle name="Normal 7 5 2" xfId="3526" xr:uid="{00000000-0005-0000-0000-0000000E0000}"/>
    <cellStyle name="Normal 7 5 3" xfId="3527" xr:uid="{00000000-0005-0000-0000-0000010E0000}"/>
    <cellStyle name="Normal 7 6" xfId="3528" xr:uid="{00000000-0005-0000-0000-0000020E0000}"/>
    <cellStyle name="Normal 7 7" xfId="3529" xr:uid="{00000000-0005-0000-0000-0000030E0000}"/>
    <cellStyle name="Normal 8" xfId="3530" xr:uid="{00000000-0005-0000-0000-0000040E0000}"/>
    <cellStyle name="Normal 8 2" xfId="3531" xr:uid="{00000000-0005-0000-0000-0000050E0000}"/>
    <cellStyle name="Normal 9" xfId="3532" xr:uid="{00000000-0005-0000-0000-0000060E0000}"/>
    <cellStyle name="Normal Bold" xfId="3533" xr:uid="{00000000-0005-0000-0000-0000070E0000}"/>
    <cellStyle name="Normal millions" xfId="3534" xr:uid="{00000000-0005-0000-0000-0000080E0000}"/>
    <cellStyle name="Normal no decimal" xfId="3535" xr:uid="{00000000-0005-0000-0000-0000090E0000}"/>
    <cellStyle name="Normal Pct" xfId="3536" xr:uid="{00000000-0005-0000-0000-00000A0E0000}"/>
    <cellStyle name="Normal thousands" xfId="3537" xr:uid="{00000000-0005-0000-0000-00000B0E0000}"/>
    <cellStyle name="Normal two decimals" xfId="3538" xr:uid="{00000000-0005-0000-0000-00000C0E0000}"/>
    <cellStyle name="Normál_Book2000" xfId="3539" xr:uid="{00000000-0005-0000-0000-00000D0E0000}"/>
    <cellStyle name="normal1" xfId="3540" xr:uid="{00000000-0005-0000-0000-0000100E0000}"/>
    <cellStyle name="NormalCenter" xfId="3541" xr:uid="{00000000-0005-0000-0000-0000110E0000}"/>
    <cellStyle name="NormalGB" xfId="3542" xr:uid="{00000000-0005-0000-0000-0000120E0000}"/>
    <cellStyle name="NormalItalic" xfId="3543" xr:uid="{00000000-0005-0000-0000-0000130E0000}"/>
    <cellStyle name="NormalLeft" xfId="3544" xr:uid="{00000000-0005-0000-0000-0000140E0000}"/>
    <cellStyle name="NormalLeftBorderMed" xfId="3545" xr:uid="{00000000-0005-0000-0000-0000150E0000}"/>
    <cellStyle name="NormalTopBorder" xfId="3546" xr:uid="{00000000-0005-0000-0000-0000160E0000}"/>
    <cellStyle name="NormalTopBorderMed" xfId="3547" xr:uid="{00000000-0005-0000-0000-0000170E0000}"/>
    <cellStyle name="NormalUnderln" xfId="3548" xr:uid="{00000000-0005-0000-0000-0000180E0000}"/>
    <cellStyle name="NOT" xfId="3549" xr:uid="{00000000-0005-0000-0000-0000190E0000}"/>
    <cellStyle name="Note 10" xfId="3550" xr:uid="{00000000-0005-0000-0000-00001A0E0000}"/>
    <cellStyle name="Note 10 2" xfId="3551" xr:uid="{00000000-0005-0000-0000-00001B0E0000}"/>
    <cellStyle name="Note 10 3" xfId="3552" xr:uid="{00000000-0005-0000-0000-00001C0E0000}"/>
    <cellStyle name="Note 11" xfId="3553" xr:uid="{00000000-0005-0000-0000-00001D0E0000}"/>
    <cellStyle name="Note 11 2" xfId="3554" xr:uid="{00000000-0005-0000-0000-00001E0E0000}"/>
    <cellStyle name="Note 11 3" xfId="3555" xr:uid="{00000000-0005-0000-0000-00001F0E0000}"/>
    <cellStyle name="Note 12" xfId="3556" xr:uid="{00000000-0005-0000-0000-0000200E0000}"/>
    <cellStyle name="Note 12 2" xfId="3557" xr:uid="{00000000-0005-0000-0000-0000210E0000}"/>
    <cellStyle name="Note 12 3" xfId="3558" xr:uid="{00000000-0005-0000-0000-0000220E0000}"/>
    <cellStyle name="Note 13" xfId="3559" xr:uid="{00000000-0005-0000-0000-0000230E0000}"/>
    <cellStyle name="Note 13 2" xfId="3560" xr:uid="{00000000-0005-0000-0000-0000240E0000}"/>
    <cellStyle name="Note 13 3" xfId="3561" xr:uid="{00000000-0005-0000-0000-0000250E0000}"/>
    <cellStyle name="Note 14" xfId="3562" xr:uid="{00000000-0005-0000-0000-0000260E0000}"/>
    <cellStyle name="Note 14 2" xfId="3563" xr:uid="{00000000-0005-0000-0000-0000270E0000}"/>
    <cellStyle name="Note 14 3" xfId="3564" xr:uid="{00000000-0005-0000-0000-0000280E0000}"/>
    <cellStyle name="Note 15" xfId="3565" xr:uid="{00000000-0005-0000-0000-0000290E0000}"/>
    <cellStyle name="Note 15 2" xfId="3566" xr:uid="{00000000-0005-0000-0000-00002A0E0000}"/>
    <cellStyle name="Note 15 3" xfId="3567" xr:uid="{00000000-0005-0000-0000-00002B0E0000}"/>
    <cellStyle name="Note 16" xfId="3568" xr:uid="{00000000-0005-0000-0000-00002C0E0000}"/>
    <cellStyle name="Note 17" xfId="3569" xr:uid="{00000000-0005-0000-0000-00002D0E0000}"/>
    <cellStyle name="Note 18" xfId="3570" xr:uid="{00000000-0005-0000-0000-00002E0E0000}"/>
    <cellStyle name="Note 19" xfId="3571" xr:uid="{00000000-0005-0000-0000-00002F0E0000}"/>
    <cellStyle name="Note 2" xfId="3572" xr:uid="{00000000-0005-0000-0000-0000300E0000}"/>
    <cellStyle name="Note 2 10" xfId="3573" xr:uid="{00000000-0005-0000-0000-0000310E0000}"/>
    <cellStyle name="Note 2 10 2" xfId="3574" xr:uid="{00000000-0005-0000-0000-0000320E0000}"/>
    <cellStyle name="Note 2 11" xfId="3575" xr:uid="{00000000-0005-0000-0000-0000330E0000}"/>
    <cellStyle name="Note 2 12" xfId="3576" xr:uid="{00000000-0005-0000-0000-0000340E0000}"/>
    <cellStyle name="Note 2 13" xfId="3577" xr:uid="{00000000-0005-0000-0000-0000350E0000}"/>
    <cellStyle name="Note 2 14" xfId="3578" xr:uid="{00000000-0005-0000-0000-0000360E0000}"/>
    <cellStyle name="Note 2 15" xfId="3579" xr:uid="{00000000-0005-0000-0000-0000370E0000}"/>
    <cellStyle name="Note 2 16" xfId="3580" xr:uid="{00000000-0005-0000-0000-0000380E0000}"/>
    <cellStyle name="Note 2 2" xfId="3581" xr:uid="{00000000-0005-0000-0000-0000390E0000}"/>
    <cellStyle name="Note 2 3" xfId="3582" xr:uid="{00000000-0005-0000-0000-00003A0E0000}"/>
    <cellStyle name="Note 2 4" xfId="3583" xr:uid="{00000000-0005-0000-0000-00003B0E0000}"/>
    <cellStyle name="Note 2 5" xfId="3584" xr:uid="{00000000-0005-0000-0000-00003C0E0000}"/>
    <cellStyle name="Note 2 6" xfId="3585" xr:uid="{00000000-0005-0000-0000-00003D0E0000}"/>
    <cellStyle name="Note 2 7" xfId="3586" xr:uid="{00000000-0005-0000-0000-00003E0E0000}"/>
    <cellStyle name="Note 2 8" xfId="3587" xr:uid="{00000000-0005-0000-0000-00003F0E0000}"/>
    <cellStyle name="Note 2 9" xfId="3588" xr:uid="{00000000-0005-0000-0000-0000400E0000}"/>
    <cellStyle name="Note 20" xfId="4353" xr:uid="{00000000-0005-0000-0000-0000410E0000}"/>
    <cellStyle name="Note 3" xfId="3589" xr:uid="{00000000-0005-0000-0000-0000420E0000}"/>
    <cellStyle name="Note 3 2" xfId="3590" xr:uid="{00000000-0005-0000-0000-0000430E0000}"/>
    <cellStyle name="Note 3 3" xfId="3591" xr:uid="{00000000-0005-0000-0000-0000440E0000}"/>
    <cellStyle name="Note 3 4" xfId="3592" xr:uid="{00000000-0005-0000-0000-0000450E0000}"/>
    <cellStyle name="Note 3 5" xfId="3593" xr:uid="{00000000-0005-0000-0000-0000460E0000}"/>
    <cellStyle name="Note 3 5 2" xfId="3594" xr:uid="{00000000-0005-0000-0000-0000470E0000}"/>
    <cellStyle name="Note 3 6" xfId="3595" xr:uid="{00000000-0005-0000-0000-0000480E0000}"/>
    <cellStyle name="Note 3 7" xfId="3596" xr:uid="{00000000-0005-0000-0000-0000490E0000}"/>
    <cellStyle name="Note 3 8" xfId="3597" xr:uid="{00000000-0005-0000-0000-00004A0E0000}"/>
    <cellStyle name="Note 3 9" xfId="3598" xr:uid="{00000000-0005-0000-0000-00004B0E0000}"/>
    <cellStyle name="Note 4" xfId="3599" xr:uid="{00000000-0005-0000-0000-00004C0E0000}"/>
    <cellStyle name="Note 4 2" xfId="3600" xr:uid="{00000000-0005-0000-0000-00004D0E0000}"/>
    <cellStyle name="Note 5" xfId="3601" xr:uid="{00000000-0005-0000-0000-00004E0E0000}"/>
    <cellStyle name="Note 5 2" xfId="3602" xr:uid="{00000000-0005-0000-0000-00004F0E0000}"/>
    <cellStyle name="Note 6" xfId="3603" xr:uid="{00000000-0005-0000-0000-0000500E0000}"/>
    <cellStyle name="Note 6 2" xfId="3604" xr:uid="{00000000-0005-0000-0000-0000510E0000}"/>
    <cellStyle name="Note 7" xfId="3605" xr:uid="{00000000-0005-0000-0000-0000520E0000}"/>
    <cellStyle name="Note 8" xfId="3606" xr:uid="{00000000-0005-0000-0000-0000530E0000}"/>
    <cellStyle name="Note 8 2" xfId="3607" xr:uid="{00000000-0005-0000-0000-0000540E0000}"/>
    <cellStyle name="Note 8 2 2" xfId="3608" xr:uid="{00000000-0005-0000-0000-0000550E0000}"/>
    <cellStyle name="Note 8 3" xfId="3609" xr:uid="{00000000-0005-0000-0000-0000560E0000}"/>
    <cellStyle name="Note 8 4" xfId="3610" xr:uid="{00000000-0005-0000-0000-0000570E0000}"/>
    <cellStyle name="Note 8 5" xfId="3611" xr:uid="{00000000-0005-0000-0000-0000580E0000}"/>
    <cellStyle name="Note 9" xfId="3612" xr:uid="{00000000-0005-0000-0000-0000590E0000}"/>
    <cellStyle name="Note 9 2" xfId="3613" xr:uid="{00000000-0005-0000-0000-00005A0E0000}"/>
    <cellStyle name="Note 9 3" xfId="3614" xr:uid="{00000000-0005-0000-0000-00005B0E0000}"/>
    <cellStyle name="Note 9 4" xfId="3615" xr:uid="{00000000-0005-0000-0000-00005C0E0000}"/>
    <cellStyle name="Notes" xfId="3616" xr:uid="{00000000-0005-0000-0000-00005D0E0000}"/>
    <cellStyle name="NPPESalesPct" xfId="3617" xr:uid="{00000000-0005-0000-0000-00005E0E0000}"/>
    <cellStyle name="Number" xfId="3618" xr:uid="{00000000-0005-0000-0000-00005F0E0000}"/>
    <cellStyle name="Number 2" xfId="3619" xr:uid="{00000000-0005-0000-0000-0000600E0000}"/>
    <cellStyle name="Number 3" xfId="3620" xr:uid="{00000000-0005-0000-0000-0000610E0000}"/>
    <cellStyle name="Number_Cashflow Q1 CY09" xfId="3621" xr:uid="{00000000-0005-0000-0000-0000620E0000}"/>
    <cellStyle name="NumberTopBorder" xfId="3622" xr:uid="{00000000-0005-0000-0000-0000630E0000}"/>
    <cellStyle name="Numéro_Tab" xfId="3623" xr:uid="{00000000-0005-0000-0000-0000640E0000}"/>
    <cellStyle name="NWI%S" xfId="3624" xr:uid="{00000000-0005-0000-0000-0000650E0000}"/>
    <cellStyle name="OBI_ColHeader" xfId="4361" xr:uid="{00000000-0005-0000-0000-0000660E0000}"/>
    <cellStyle name="Œ…‹æØ‚è [0.00]_laroux" xfId="3625" xr:uid="{00000000-0005-0000-0000-0000670E0000}"/>
    <cellStyle name="Œ…‹æØ‚è_laroux" xfId="3626" xr:uid="{00000000-0005-0000-0000-0000680E0000}"/>
    <cellStyle name="ore" xfId="3627" xr:uid="{00000000-0005-0000-0000-0000690E0000}"/>
    <cellStyle name="Output 10" xfId="3628" xr:uid="{00000000-0005-0000-0000-00006A0E0000}"/>
    <cellStyle name="Output 10 2" xfId="3629" xr:uid="{00000000-0005-0000-0000-00006B0E0000}"/>
    <cellStyle name="Output 10 3" xfId="3630" xr:uid="{00000000-0005-0000-0000-00006C0E0000}"/>
    <cellStyle name="Output 11" xfId="3631" xr:uid="{00000000-0005-0000-0000-00006D0E0000}"/>
    <cellStyle name="Output 11 2" xfId="3632" xr:uid="{00000000-0005-0000-0000-00006E0E0000}"/>
    <cellStyle name="Output 11 3" xfId="3633" xr:uid="{00000000-0005-0000-0000-00006F0E0000}"/>
    <cellStyle name="Output 12" xfId="3634" xr:uid="{00000000-0005-0000-0000-0000700E0000}"/>
    <cellStyle name="Output 12 2" xfId="3635" xr:uid="{00000000-0005-0000-0000-0000710E0000}"/>
    <cellStyle name="Output 12 3" xfId="3636" xr:uid="{00000000-0005-0000-0000-0000720E0000}"/>
    <cellStyle name="Output 13" xfId="3637" xr:uid="{00000000-0005-0000-0000-0000730E0000}"/>
    <cellStyle name="Output 13 2" xfId="3638" xr:uid="{00000000-0005-0000-0000-0000740E0000}"/>
    <cellStyle name="Output 13 3" xfId="3639" xr:uid="{00000000-0005-0000-0000-0000750E0000}"/>
    <cellStyle name="Output 14" xfId="3640" xr:uid="{00000000-0005-0000-0000-0000760E0000}"/>
    <cellStyle name="Output 14 2" xfId="3641" xr:uid="{00000000-0005-0000-0000-0000770E0000}"/>
    <cellStyle name="Output 14 3" xfId="3642" xr:uid="{00000000-0005-0000-0000-0000780E0000}"/>
    <cellStyle name="Output 15" xfId="3643" xr:uid="{00000000-0005-0000-0000-0000790E0000}"/>
    <cellStyle name="Output 15 2" xfId="3644" xr:uid="{00000000-0005-0000-0000-00007A0E0000}"/>
    <cellStyle name="Output 15 3" xfId="3645" xr:uid="{00000000-0005-0000-0000-00007B0E0000}"/>
    <cellStyle name="Output 16" xfId="3646" xr:uid="{00000000-0005-0000-0000-00007C0E0000}"/>
    <cellStyle name="Output 17" xfId="3647" xr:uid="{00000000-0005-0000-0000-00007D0E0000}"/>
    <cellStyle name="Output 18" xfId="3648" xr:uid="{00000000-0005-0000-0000-00007E0E0000}"/>
    <cellStyle name="Output 19" xfId="3649" xr:uid="{00000000-0005-0000-0000-00007F0E0000}"/>
    <cellStyle name="Output 2" xfId="3650" xr:uid="{00000000-0005-0000-0000-0000800E0000}"/>
    <cellStyle name="Output 2 10" xfId="3651" xr:uid="{00000000-0005-0000-0000-0000810E0000}"/>
    <cellStyle name="Output 2 11" xfId="3652" xr:uid="{00000000-0005-0000-0000-0000820E0000}"/>
    <cellStyle name="Output 2 12" xfId="3653" xr:uid="{00000000-0005-0000-0000-0000830E0000}"/>
    <cellStyle name="Output 2 13" xfId="3654" xr:uid="{00000000-0005-0000-0000-0000840E0000}"/>
    <cellStyle name="Output 2 14" xfId="3655" xr:uid="{00000000-0005-0000-0000-0000850E0000}"/>
    <cellStyle name="Output 2 15" xfId="3656" xr:uid="{00000000-0005-0000-0000-0000860E0000}"/>
    <cellStyle name="Output 2 2" xfId="3657" xr:uid="{00000000-0005-0000-0000-0000870E0000}"/>
    <cellStyle name="Output 2 3" xfId="3658" xr:uid="{00000000-0005-0000-0000-0000880E0000}"/>
    <cellStyle name="Output 2 4" xfId="3659" xr:uid="{00000000-0005-0000-0000-0000890E0000}"/>
    <cellStyle name="Output 2 5" xfId="3660" xr:uid="{00000000-0005-0000-0000-00008A0E0000}"/>
    <cellStyle name="Output 2 6" xfId="3661" xr:uid="{00000000-0005-0000-0000-00008B0E0000}"/>
    <cellStyle name="Output 2 7" xfId="3662" xr:uid="{00000000-0005-0000-0000-00008C0E0000}"/>
    <cellStyle name="Output 2 8" xfId="3663" xr:uid="{00000000-0005-0000-0000-00008D0E0000}"/>
    <cellStyle name="Output 2 9" xfId="3664" xr:uid="{00000000-0005-0000-0000-00008E0E0000}"/>
    <cellStyle name="Output 20" xfId="4354" xr:uid="{00000000-0005-0000-0000-00008F0E0000}"/>
    <cellStyle name="Output 3" xfId="3665" xr:uid="{00000000-0005-0000-0000-0000900E0000}"/>
    <cellStyle name="Output 3 2" xfId="3666" xr:uid="{00000000-0005-0000-0000-0000910E0000}"/>
    <cellStyle name="Output 3 3" xfId="3667" xr:uid="{00000000-0005-0000-0000-0000920E0000}"/>
    <cellStyle name="Output 3 4" xfId="3668" xr:uid="{00000000-0005-0000-0000-0000930E0000}"/>
    <cellStyle name="Output 3 5" xfId="3669" xr:uid="{00000000-0005-0000-0000-0000940E0000}"/>
    <cellStyle name="Output 3 5 2" xfId="3670" xr:uid="{00000000-0005-0000-0000-0000950E0000}"/>
    <cellStyle name="Output 3 6" xfId="3671" xr:uid="{00000000-0005-0000-0000-0000960E0000}"/>
    <cellStyle name="Output 3 7" xfId="3672" xr:uid="{00000000-0005-0000-0000-0000970E0000}"/>
    <cellStyle name="Output 3 8" xfId="3673" xr:uid="{00000000-0005-0000-0000-0000980E0000}"/>
    <cellStyle name="Output 3 9" xfId="3674" xr:uid="{00000000-0005-0000-0000-0000990E0000}"/>
    <cellStyle name="Output 4" xfId="3675" xr:uid="{00000000-0005-0000-0000-00009A0E0000}"/>
    <cellStyle name="Output 4 2" xfId="3676" xr:uid="{00000000-0005-0000-0000-00009B0E0000}"/>
    <cellStyle name="Output 5" xfId="3677" xr:uid="{00000000-0005-0000-0000-00009C0E0000}"/>
    <cellStyle name="Output 5 2" xfId="3678" xr:uid="{00000000-0005-0000-0000-00009D0E0000}"/>
    <cellStyle name="Output 6" xfId="3679" xr:uid="{00000000-0005-0000-0000-00009E0E0000}"/>
    <cellStyle name="Output 6 2" xfId="3680" xr:uid="{00000000-0005-0000-0000-00009F0E0000}"/>
    <cellStyle name="Output 7" xfId="3681" xr:uid="{00000000-0005-0000-0000-0000A00E0000}"/>
    <cellStyle name="Output 8" xfId="3682" xr:uid="{00000000-0005-0000-0000-0000A10E0000}"/>
    <cellStyle name="Output 9" xfId="3683" xr:uid="{00000000-0005-0000-0000-0000A20E0000}"/>
    <cellStyle name="Output 9 2" xfId="3684" xr:uid="{00000000-0005-0000-0000-0000A30E0000}"/>
    <cellStyle name="Output 9 2 2" xfId="3685" xr:uid="{00000000-0005-0000-0000-0000A40E0000}"/>
    <cellStyle name="Output 9 3" xfId="3686" xr:uid="{00000000-0005-0000-0000-0000A50E0000}"/>
    <cellStyle name="Output 9 4" xfId="3687" xr:uid="{00000000-0005-0000-0000-0000A60E0000}"/>
    <cellStyle name="Output 9 5" xfId="3688" xr:uid="{00000000-0005-0000-0000-0000A70E0000}"/>
    <cellStyle name="Output Amounts" xfId="3689" xr:uid="{00000000-0005-0000-0000-0000A80E0000}"/>
    <cellStyle name="OUTPUT COLUMN HEADINGS" xfId="3690" xr:uid="{00000000-0005-0000-0000-0000A90E0000}"/>
    <cellStyle name="Output Line Items" xfId="3691" xr:uid="{00000000-0005-0000-0000-0000AA0E0000}"/>
    <cellStyle name="OUTPUT REPORT HEADING" xfId="3692" xr:uid="{00000000-0005-0000-0000-0000AB0E0000}"/>
    <cellStyle name="OUTPUT REPORT TITLE" xfId="3693" xr:uid="{00000000-0005-0000-0000-0000AC0E0000}"/>
    <cellStyle name="Override" xfId="3694" xr:uid="{00000000-0005-0000-0000-0000AD0E0000}"/>
    <cellStyle name="Page Heading Large" xfId="3695" xr:uid="{00000000-0005-0000-0000-0000AE0E0000}"/>
    <cellStyle name="Page Heading Small" xfId="3696" xr:uid="{00000000-0005-0000-0000-0000AF0E0000}"/>
    <cellStyle name="Page Number" xfId="3697" xr:uid="{00000000-0005-0000-0000-0000B00E0000}"/>
    <cellStyle name="paint" xfId="3698" xr:uid="{00000000-0005-0000-0000-0000B10E0000}"/>
    <cellStyle name="Pénznem [0]_Cable" xfId="3699" xr:uid="{00000000-0005-0000-0000-0000B20E0000}"/>
    <cellStyle name="Pénznem_Cable" xfId="3700" xr:uid="{00000000-0005-0000-0000-0000B30E0000}"/>
    <cellStyle name="per.style" xfId="3701" xr:uid="{00000000-0005-0000-0000-0000B40E0000}"/>
    <cellStyle name="Percent [0]" xfId="3702" xr:uid="{00000000-0005-0000-0000-0000B60E0000}"/>
    <cellStyle name="Percent [0] 2" xfId="3703" xr:uid="{00000000-0005-0000-0000-0000B70E0000}"/>
    <cellStyle name="Percent [00]" xfId="3704" xr:uid="{00000000-0005-0000-0000-0000B80E0000}"/>
    <cellStyle name="Percent [00] 2" xfId="3705" xr:uid="{00000000-0005-0000-0000-0000B90E0000}"/>
    <cellStyle name="Percent [1]" xfId="3706" xr:uid="{00000000-0005-0000-0000-0000BA0E0000}"/>
    <cellStyle name="Percent [2]" xfId="3707" xr:uid="{00000000-0005-0000-0000-0000BB0E0000}"/>
    <cellStyle name="Percent 0" xfId="3708" xr:uid="{00000000-0005-0000-0000-0000BC0E0000}"/>
    <cellStyle name="Percent 0,00" xfId="3709" xr:uid="{00000000-0005-0000-0000-0000BD0E0000}"/>
    <cellStyle name="Percent 0_7.2.3. CAPEX" xfId="3710" xr:uid="{00000000-0005-0000-0000-0000BE0E0000}"/>
    <cellStyle name="Percent 10" xfId="3711" xr:uid="{00000000-0005-0000-0000-0000BF0E0000}"/>
    <cellStyle name="Percent 11" xfId="3712" xr:uid="{00000000-0005-0000-0000-0000C00E0000}"/>
    <cellStyle name="Percent 12" xfId="4316" xr:uid="{00000000-0005-0000-0000-0000C10E0000}"/>
    <cellStyle name="Percent 12 2" xfId="4363" xr:uid="{00000000-0005-0000-0000-0000C20E0000}"/>
    <cellStyle name="Percent 13" xfId="8" xr:uid="{00000000-0005-0000-0000-0000E80E0000}"/>
    <cellStyle name="Percent 2" xfId="11" xr:uid="{00000000-0005-0000-0000-0000C30E0000}"/>
    <cellStyle name="Percent 2 2" xfId="3713" xr:uid="{00000000-0005-0000-0000-0000C40E0000}"/>
    <cellStyle name="Percent 2 3" xfId="3714" xr:uid="{00000000-0005-0000-0000-0000C50E0000}"/>
    <cellStyle name="Percent 3" xfId="3715" xr:uid="{00000000-0005-0000-0000-0000C60E0000}"/>
    <cellStyle name="Percent 3 2" xfId="3716" xr:uid="{00000000-0005-0000-0000-0000C70E0000}"/>
    <cellStyle name="Percent 3 2 2" xfId="3717" xr:uid="{00000000-0005-0000-0000-0000C80E0000}"/>
    <cellStyle name="Percent 3 2 2 2" xfId="3718" xr:uid="{00000000-0005-0000-0000-0000C90E0000}"/>
    <cellStyle name="Percent 3 2 2 3" xfId="3719" xr:uid="{00000000-0005-0000-0000-0000CA0E0000}"/>
    <cellStyle name="Percent 3 2 3" xfId="3720" xr:uid="{00000000-0005-0000-0000-0000CB0E0000}"/>
    <cellStyle name="Percent 3 2 4" xfId="3721" xr:uid="{00000000-0005-0000-0000-0000CC0E0000}"/>
    <cellStyle name="Percent 3 3" xfId="3722" xr:uid="{00000000-0005-0000-0000-0000CD0E0000}"/>
    <cellStyle name="Percent 3 4" xfId="3723" xr:uid="{00000000-0005-0000-0000-0000CE0E0000}"/>
    <cellStyle name="Percent 3 4 2" xfId="3724" xr:uid="{00000000-0005-0000-0000-0000CF0E0000}"/>
    <cellStyle name="Percent 3 4 3" xfId="3725" xr:uid="{00000000-0005-0000-0000-0000D00E0000}"/>
    <cellStyle name="Percent 3 5" xfId="3726" xr:uid="{00000000-0005-0000-0000-0000D10E0000}"/>
    <cellStyle name="Percent 4" xfId="3727" xr:uid="{00000000-0005-0000-0000-0000D20E0000}"/>
    <cellStyle name="Percent 5" xfId="3728" xr:uid="{00000000-0005-0000-0000-0000D30E0000}"/>
    <cellStyle name="Percent 6" xfId="3729" xr:uid="{00000000-0005-0000-0000-0000D40E0000}"/>
    <cellStyle name="Percent 7" xfId="3730" xr:uid="{00000000-0005-0000-0000-0000D50E0000}"/>
    <cellStyle name="Percent 8" xfId="3731" xr:uid="{00000000-0005-0000-0000-0000D60E0000}"/>
    <cellStyle name="Percent 9" xfId="3732" xr:uid="{00000000-0005-0000-0000-0000D70E0000}"/>
    <cellStyle name="Percent Hard" xfId="3733" xr:uid="{00000000-0005-0000-0000-0000D80E0000}"/>
    <cellStyle name="Percent0Dec" xfId="3734" xr:uid="{00000000-0005-0000-0000-0000D90E0000}"/>
    <cellStyle name="Percent2Dec" xfId="3735" xr:uid="{00000000-0005-0000-0000-0000DA0E0000}"/>
    <cellStyle name="percentage" xfId="3736" xr:uid="{00000000-0005-0000-0000-0000DB0E0000}"/>
    <cellStyle name="Percento" xfId="3737" xr:uid="{00000000-0005-0000-0000-0000DC0E0000}"/>
    <cellStyle name="PercentSales" xfId="3738" xr:uid="{00000000-0005-0000-0000-0000DD0E0000}"/>
    <cellStyle name="PillarData" xfId="3739" xr:uid="{00000000-0005-0000-0000-0000DE0E0000}"/>
    <cellStyle name="PillarHeading" xfId="3740" xr:uid="{00000000-0005-0000-0000-0000DF0E0000}"/>
    <cellStyle name="PillarText" xfId="3741" xr:uid="{00000000-0005-0000-0000-0000E00E0000}"/>
    <cellStyle name="PillarTotal" xfId="3742" xr:uid="{00000000-0005-0000-0000-0000E10E0000}"/>
    <cellStyle name="Pourcentage_losses 2005 04" xfId="3743" xr:uid="{00000000-0005-0000-0000-0000E20E0000}"/>
    <cellStyle name="Precent" xfId="3744" xr:uid="{00000000-0005-0000-0000-0000E30E0000}"/>
    <cellStyle name="PrePop Currency (0)" xfId="3745" xr:uid="{00000000-0005-0000-0000-0000E40E0000}"/>
    <cellStyle name="PrePop Currency (0) 2" xfId="3746" xr:uid="{00000000-0005-0000-0000-0000E50E0000}"/>
    <cellStyle name="PrePop Currency (2)" xfId="3747" xr:uid="{00000000-0005-0000-0000-0000E60E0000}"/>
    <cellStyle name="PrePop Currency (2) 2" xfId="3748" xr:uid="{00000000-0005-0000-0000-0000E70E0000}"/>
    <cellStyle name="PrePop Units (0)" xfId="3749" xr:uid="{00000000-0005-0000-0000-0000E80E0000}"/>
    <cellStyle name="PrePop Units (0) 2" xfId="3750" xr:uid="{00000000-0005-0000-0000-0000E90E0000}"/>
    <cellStyle name="PrePop Units (1)" xfId="3751" xr:uid="{00000000-0005-0000-0000-0000EA0E0000}"/>
    <cellStyle name="PrePop Units (1) 2" xfId="3752" xr:uid="{00000000-0005-0000-0000-0000EB0E0000}"/>
    <cellStyle name="PrePop Units (2)" xfId="3753" xr:uid="{00000000-0005-0000-0000-0000EC0E0000}"/>
    <cellStyle name="PrePop Units (2) 2" xfId="3754" xr:uid="{00000000-0005-0000-0000-0000ED0E0000}"/>
    <cellStyle name="Pricelist" xfId="3755" xr:uid="{00000000-0005-0000-0000-0000EE0E0000}"/>
    <cellStyle name="pricing" xfId="3756" xr:uid="{00000000-0005-0000-0000-0000EF0E0000}"/>
    <cellStyle name="pricing 2" xfId="3757" xr:uid="{00000000-0005-0000-0000-0000F00E0000}"/>
    <cellStyle name="Product Title" xfId="3758" xr:uid="{00000000-0005-0000-0000-0000F10E0000}"/>
    <cellStyle name="Product Title 10" xfId="3759" xr:uid="{00000000-0005-0000-0000-0000F20E0000}"/>
    <cellStyle name="Product Title 11" xfId="3760" xr:uid="{00000000-0005-0000-0000-0000F30E0000}"/>
    <cellStyle name="Product Title 12" xfId="3761" xr:uid="{00000000-0005-0000-0000-0000F40E0000}"/>
    <cellStyle name="Product Title 2" xfId="3762" xr:uid="{00000000-0005-0000-0000-0000F50E0000}"/>
    <cellStyle name="Product Title 3" xfId="3763" xr:uid="{00000000-0005-0000-0000-0000F60E0000}"/>
    <cellStyle name="Product Title 4" xfId="3764" xr:uid="{00000000-0005-0000-0000-0000F70E0000}"/>
    <cellStyle name="Product Title 5" xfId="3765" xr:uid="{00000000-0005-0000-0000-0000F80E0000}"/>
    <cellStyle name="Product Title 6" xfId="3766" xr:uid="{00000000-0005-0000-0000-0000F90E0000}"/>
    <cellStyle name="Product Title 7" xfId="3767" xr:uid="{00000000-0005-0000-0000-0000FA0E0000}"/>
    <cellStyle name="Product Title 8" xfId="3768" xr:uid="{00000000-0005-0000-0000-0000FB0E0000}"/>
    <cellStyle name="Product Title 9" xfId="3769" xr:uid="{00000000-0005-0000-0000-0000FC0E0000}"/>
    <cellStyle name="Prozent +line" xfId="3770" xr:uid="{00000000-0005-0000-0000-0000FD0E0000}"/>
    <cellStyle name="Prozent(+line)" xfId="3771" xr:uid="{00000000-0005-0000-0000-0000FE0E0000}"/>
    <cellStyle name="Prozent_7.2.3. CAPEX" xfId="3772" xr:uid="{00000000-0005-0000-0000-0000FF0E0000}"/>
    <cellStyle name="PSChar" xfId="3773" xr:uid="{00000000-0005-0000-0000-0000000F0000}"/>
    <cellStyle name="PSDate" xfId="3774" xr:uid="{00000000-0005-0000-0000-0000010F0000}"/>
    <cellStyle name="PSDec" xfId="3775" xr:uid="{00000000-0005-0000-0000-0000020F0000}"/>
    <cellStyle name="PSHeading" xfId="3776" xr:uid="{00000000-0005-0000-0000-0000030F0000}"/>
    <cellStyle name="PSInt" xfId="3777" xr:uid="{00000000-0005-0000-0000-0000040F0000}"/>
    <cellStyle name="PSSpacer" xfId="3778" xr:uid="{00000000-0005-0000-0000-0000050F0000}"/>
    <cellStyle name="Red font" xfId="3779" xr:uid="{00000000-0005-0000-0000-0000060F0000}"/>
    <cellStyle name="réel" xfId="3780" xr:uid="{00000000-0005-0000-0000-0000070F0000}"/>
    <cellStyle name="Reference" xfId="3781" xr:uid="{00000000-0005-0000-0000-0000080F0000}"/>
    <cellStyle name="Reference (O%)" xfId="3782" xr:uid="{00000000-0005-0000-0000-0000090F0000}"/>
    <cellStyle name="Reference (O%) 10" xfId="3783" xr:uid="{00000000-0005-0000-0000-00000A0F0000}"/>
    <cellStyle name="Reference (O%) 11" xfId="3784" xr:uid="{00000000-0005-0000-0000-00000B0F0000}"/>
    <cellStyle name="Reference (O%) 12" xfId="3785" xr:uid="{00000000-0005-0000-0000-00000C0F0000}"/>
    <cellStyle name="Reference (O%) 2" xfId="3786" xr:uid="{00000000-0005-0000-0000-00000D0F0000}"/>
    <cellStyle name="Reference (O%) 3" xfId="3787" xr:uid="{00000000-0005-0000-0000-00000E0F0000}"/>
    <cellStyle name="Reference (O%) 4" xfId="3788" xr:uid="{00000000-0005-0000-0000-00000F0F0000}"/>
    <cellStyle name="Reference (O%) 5" xfId="3789" xr:uid="{00000000-0005-0000-0000-0000100F0000}"/>
    <cellStyle name="Reference (O%) 6" xfId="3790" xr:uid="{00000000-0005-0000-0000-0000110F0000}"/>
    <cellStyle name="Reference (O%) 7" xfId="3791" xr:uid="{00000000-0005-0000-0000-0000120F0000}"/>
    <cellStyle name="Reference (O%) 8" xfId="3792" xr:uid="{00000000-0005-0000-0000-0000130F0000}"/>
    <cellStyle name="Reference (O%) 9" xfId="3793" xr:uid="{00000000-0005-0000-0000-0000140F0000}"/>
    <cellStyle name="Reference [00]" xfId="3794" xr:uid="{00000000-0005-0000-0000-0000150F0000}"/>
    <cellStyle name="Reference [00] 10" xfId="3795" xr:uid="{00000000-0005-0000-0000-0000160F0000}"/>
    <cellStyle name="Reference [00] 11" xfId="3796" xr:uid="{00000000-0005-0000-0000-0000170F0000}"/>
    <cellStyle name="Reference [00] 12" xfId="3797" xr:uid="{00000000-0005-0000-0000-0000180F0000}"/>
    <cellStyle name="Reference [00] 2" xfId="3798" xr:uid="{00000000-0005-0000-0000-0000190F0000}"/>
    <cellStyle name="Reference [00] 3" xfId="3799" xr:uid="{00000000-0005-0000-0000-00001A0F0000}"/>
    <cellStyle name="Reference [00] 4" xfId="3800" xr:uid="{00000000-0005-0000-0000-00001B0F0000}"/>
    <cellStyle name="Reference [00] 5" xfId="3801" xr:uid="{00000000-0005-0000-0000-00001C0F0000}"/>
    <cellStyle name="Reference [00] 6" xfId="3802" xr:uid="{00000000-0005-0000-0000-00001D0F0000}"/>
    <cellStyle name="Reference [00] 7" xfId="3803" xr:uid="{00000000-0005-0000-0000-00001E0F0000}"/>
    <cellStyle name="Reference [00] 8" xfId="3804" xr:uid="{00000000-0005-0000-0000-00001F0F0000}"/>
    <cellStyle name="Reference [00] 9" xfId="3805" xr:uid="{00000000-0005-0000-0000-0000200F0000}"/>
    <cellStyle name="Reference 10" xfId="3806" xr:uid="{00000000-0005-0000-0000-0000210F0000}"/>
    <cellStyle name="Reference 11" xfId="3807" xr:uid="{00000000-0005-0000-0000-0000220F0000}"/>
    <cellStyle name="Reference 12" xfId="3808" xr:uid="{00000000-0005-0000-0000-0000230F0000}"/>
    <cellStyle name="Reference 2" xfId="3809" xr:uid="{00000000-0005-0000-0000-0000240F0000}"/>
    <cellStyle name="Reference 3" xfId="3810" xr:uid="{00000000-0005-0000-0000-0000250F0000}"/>
    <cellStyle name="Reference 4" xfId="3811" xr:uid="{00000000-0005-0000-0000-0000260F0000}"/>
    <cellStyle name="Reference 5" xfId="3812" xr:uid="{00000000-0005-0000-0000-0000270F0000}"/>
    <cellStyle name="Reference 6" xfId="3813" xr:uid="{00000000-0005-0000-0000-0000280F0000}"/>
    <cellStyle name="Reference 7" xfId="3814" xr:uid="{00000000-0005-0000-0000-0000290F0000}"/>
    <cellStyle name="Reference 8" xfId="3815" xr:uid="{00000000-0005-0000-0000-00002A0F0000}"/>
    <cellStyle name="Reference 9" xfId="3816" xr:uid="{00000000-0005-0000-0000-00002B0F0000}"/>
    <cellStyle name="Reference_Form CC 1 2 4 June 05" xfId="3817" xr:uid="{00000000-0005-0000-0000-00002C0F0000}"/>
    <cellStyle name="regstoresfromspecstores" xfId="3818" xr:uid="{00000000-0005-0000-0000-00002D0F0000}"/>
    <cellStyle name="ReportTitlePrompt" xfId="3819" xr:uid="{00000000-0005-0000-0000-00002E0F0000}"/>
    <cellStyle name="ReportTitleValue" xfId="3820" xr:uid="{00000000-0005-0000-0000-00002F0F0000}"/>
    <cellStyle name="RevList" xfId="3821" xr:uid="{00000000-0005-0000-0000-0000300F0000}"/>
    <cellStyle name="RevList 2" xfId="3822" xr:uid="{00000000-0005-0000-0000-0000310F0000}"/>
    <cellStyle name="Row Ignore" xfId="3823" xr:uid="{00000000-0005-0000-0000-0000320F0000}"/>
    <cellStyle name="Row Ignore 10" xfId="3824" xr:uid="{00000000-0005-0000-0000-0000330F0000}"/>
    <cellStyle name="Row Ignore 11" xfId="3825" xr:uid="{00000000-0005-0000-0000-0000340F0000}"/>
    <cellStyle name="Row Ignore 12" xfId="3826" xr:uid="{00000000-0005-0000-0000-0000350F0000}"/>
    <cellStyle name="Row Ignore 2" xfId="3827" xr:uid="{00000000-0005-0000-0000-0000360F0000}"/>
    <cellStyle name="Row Ignore 3" xfId="3828" xr:uid="{00000000-0005-0000-0000-0000370F0000}"/>
    <cellStyle name="Row Ignore 4" xfId="3829" xr:uid="{00000000-0005-0000-0000-0000380F0000}"/>
    <cellStyle name="Row Ignore 5" xfId="3830" xr:uid="{00000000-0005-0000-0000-0000390F0000}"/>
    <cellStyle name="Row Ignore 6" xfId="3831" xr:uid="{00000000-0005-0000-0000-00003A0F0000}"/>
    <cellStyle name="Row Ignore 7" xfId="3832" xr:uid="{00000000-0005-0000-0000-00003B0F0000}"/>
    <cellStyle name="Row Ignore 8" xfId="3833" xr:uid="{00000000-0005-0000-0000-00003C0F0000}"/>
    <cellStyle name="Row Ignore 9" xfId="3834" xr:uid="{00000000-0005-0000-0000-00003D0F0000}"/>
    <cellStyle name="Row Title 1" xfId="3835" xr:uid="{00000000-0005-0000-0000-00003E0F0000}"/>
    <cellStyle name="Row Title 2" xfId="3836" xr:uid="{00000000-0005-0000-0000-00003F0F0000}"/>
    <cellStyle name="Row Title 3" xfId="3837" xr:uid="{00000000-0005-0000-0000-0000400F0000}"/>
    <cellStyle name="Row Total" xfId="3838" xr:uid="{00000000-0005-0000-0000-0000410F0000}"/>
    <cellStyle name="RowAcctAbovePrompt" xfId="3839" xr:uid="{00000000-0005-0000-0000-0000420F0000}"/>
    <cellStyle name="RowAcctSOBAbovePrompt" xfId="3840" xr:uid="{00000000-0005-0000-0000-0000430F0000}"/>
    <cellStyle name="RowAcctSOBValue" xfId="3841" xr:uid="{00000000-0005-0000-0000-0000440F0000}"/>
    <cellStyle name="RowAcctValue" xfId="3842" xr:uid="{00000000-0005-0000-0000-0000450F0000}"/>
    <cellStyle name="RowAttrAbovePrompt" xfId="3843" xr:uid="{00000000-0005-0000-0000-0000460F0000}"/>
    <cellStyle name="RowAttrValue" xfId="3844" xr:uid="{00000000-0005-0000-0000-0000470F0000}"/>
    <cellStyle name="RowColSetAbovePrompt" xfId="3845" xr:uid="{00000000-0005-0000-0000-0000480F0000}"/>
    <cellStyle name="RowColSetLeftPrompt" xfId="3846" xr:uid="{00000000-0005-0000-0000-0000490F0000}"/>
    <cellStyle name="RowColSetValue" xfId="3847" xr:uid="{00000000-0005-0000-0000-00004A0F0000}"/>
    <cellStyle name="RowHeader_Indent3" xfId="3848" xr:uid="{00000000-0005-0000-0000-00004B0F0000}"/>
    <cellStyle name="RowLeftPrompt" xfId="3849" xr:uid="{00000000-0005-0000-0000-00004C0F0000}"/>
    <cellStyle name="RowLevel_0" xfId="3850" xr:uid="{00000000-0005-0000-0000-00004D0F0000}"/>
    <cellStyle name="Saisie" xfId="3851" xr:uid="{00000000-0005-0000-0000-00004E0F0000}"/>
    <cellStyle name="Salomon Logo" xfId="3852" xr:uid="{00000000-0005-0000-0000-00004F0F0000}"/>
    <cellStyle name="SampleUsingFormatMask" xfId="3853" xr:uid="{00000000-0005-0000-0000-0000500F0000}"/>
    <cellStyle name="SampleWithNoFormatMask" xfId="3854" xr:uid="{00000000-0005-0000-0000-0000510F0000}"/>
    <cellStyle name="SectionHeaderNormal" xfId="3855" xr:uid="{00000000-0005-0000-0000-0000520F0000}"/>
    <cellStyle name="Shade on" xfId="3856" xr:uid="{00000000-0005-0000-0000-0000530F0000}"/>
    <cellStyle name="Shaded" xfId="3857" xr:uid="{00000000-0005-0000-0000-0000540F0000}"/>
    <cellStyle name="SHADEDSTORES" xfId="3858" xr:uid="{00000000-0005-0000-0000-0000550F0000}"/>
    <cellStyle name="ShOut" xfId="3859" xr:uid="{00000000-0005-0000-0000-0000560F0000}"/>
    <cellStyle name="Simbolo" xfId="3860" xr:uid="{00000000-0005-0000-0000-0000570F0000}"/>
    <cellStyle name="single" xfId="3861" xr:uid="{00000000-0005-0000-0000-0000580F0000}"/>
    <cellStyle name="Single Accounting" xfId="3862" xr:uid="{00000000-0005-0000-0000-0000590F0000}"/>
    <cellStyle name="Single Cell Column Heading" xfId="3863" xr:uid="{00000000-0005-0000-0000-00005A0F0000}"/>
    <cellStyle name="specstores" xfId="3864" xr:uid="{00000000-0005-0000-0000-00005B0F0000}"/>
    <cellStyle name="Standaard_Residential" xfId="3865" xr:uid="{00000000-0005-0000-0000-00005C0F0000}"/>
    <cellStyle name="Standard" xfId="3866" xr:uid="{00000000-0005-0000-0000-00005D0F0000}"/>
    <cellStyle name="Standard format" xfId="3867" xr:uid="{00000000-0005-0000-0000-00005E0F0000}"/>
    <cellStyle name="Standard_GRPK2005_Q1 - YTD - v2" xfId="3868" xr:uid="{00000000-0005-0000-0000-00005F0F0000}"/>
    <cellStyle name="STIL1 - Style1" xfId="3869" xr:uid="{00000000-0005-0000-0000-0000600F0000}"/>
    <cellStyle name="Style 1" xfId="3870" xr:uid="{00000000-0005-0000-0000-0000610F0000}"/>
    <cellStyle name="Style 1 2" xfId="3871" xr:uid="{00000000-0005-0000-0000-0000620F0000}"/>
    <cellStyle name="Style 1 3" xfId="3872" xr:uid="{00000000-0005-0000-0000-0000630F0000}"/>
    <cellStyle name="Style 1_Cashflow Q1 CY09" xfId="3873" xr:uid="{00000000-0005-0000-0000-0000640F0000}"/>
    <cellStyle name="Style 2" xfId="3874" xr:uid="{00000000-0005-0000-0000-0000650F0000}"/>
    <cellStyle name="Style 2B" xfId="3875" xr:uid="{00000000-0005-0000-0000-0000660F0000}"/>
    <cellStyle name="Style 3" xfId="3876" xr:uid="{00000000-0005-0000-0000-0000670F0000}"/>
    <cellStyle name="Style 4" xfId="3877" xr:uid="{00000000-0005-0000-0000-0000680F0000}"/>
    <cellStyle name="SubScript" xfId="3878" xr:uid="{00000000-0005-0000-0000-0000690F0000}"/>
    <cellStyle name="SubTitle" xfId="3879" xr:uid="{00000000-0005-0000-0000-00006A0F0000}"/>
    <cellStyle name="Subtotal" xfId="3880" xr:uid="{00000000-0005-0000-0000-00006B0F0000}"/>
    <cellStyle name="Subtotal 2" xfId="3881" xr:uid="{00000000-0005-0000-0000-00006C0F0000}"/>
    <cellStyle name="summary info only" xfId="3882" xr:uid="{00000000-0005-0000-0000-00006D0F0000}"/>
    <cellStyle name="Summe" xfId="3883" xr:uid="{00000000-0005-0000-0000-00006E0F0000}"/>
    <cellStyle name="SuperScript" xfId="3884" xr:uid="{00000000-0005-0000-0000-00006F0F0000}"/>
    <cellStyle name="Table Col Head" xfId="3885" xr:uid="{00000000-0005-0000-0000-0000700F0000}"/>
    <cellStyle name="Table Head" xfId="3886" xr:uid="{00000000-0005-0000-0000-0000710F0000}"/>
    <cellStyle name="Table Head Aligned" xfId="3887" xr:uid="{00000000-0005-0000-0000-0000720F0000}"/>
    <cellStyle name="Table Head Blue" xfId="3888" xr:uid="{00000000-0005-0000-0000-0000730F0000}"/>
    <cellStyle name="Table Head Green" xfId="3889" xr:uid="{00000000-0005-0000-0000-0000740F0000}"/>
    <cellStyle name="Table Head_Val_Sum_Graph" xfId="3890" xr:uid="{00000000-0005-0000-0000-0000750F0000}"/>
    <cellStyle name="Table Sub Head" xfId="3891" xr:uid="{00000000-0005-0000-0000-0000760F0000}"/>
    <cellStyle name="Table Text" xfId="3892" xr:uid="{00000000-0005-0000-0000-0000770F0000}"/>
    <cellStyle name="Table Title" xfId="3893" xr:uid="{00000000-0005-0000-0000-0000780F0000}"/>
    <cellStyle name="Table Units" xfId="3894" xr:uid="{00000000-0005-0000-0000-0000790F0000}"/>
    <cellStyle name="Table_Header" xfId="3895" xr:uid="{00000000-0005-0000-0000-00007A0F0000}"/>
    <cellStyle name="Tariff" xfId="3896" xr:uid="{00000000-0005-0000-0000-00007B0F0000}"/>
    <cellStyle name="task" xfId="3897" xr:uid="{00000000-0005-0000-0000-00007C0F0000}"/>
    <cellStyle name="TCAM" xfId="3898" xr:uid="{00000000-0005-0000-0000-00007D0F0000}"/>
    <cellStyle name="TDM" xfId="3899" xr:uid="{00000000-0005-0000-0000-00007E0F0000}"/>
    <cellStyle name="Testo" xfId="3900" xr:uid="{00000000-0005-0000-0000-00007F0F0000}"/>
    <cellStyle name="Text" xfId="3901" xr:uid="{00000000-0005-0000-0000-0000800F0000}"/>
    <cellStyle name="Text 1" xfId="3902" xr:uid="{00000000-0005-0000-0000-0000810F0000}"/>
    <cellStyle name="Text 10" xfId="3903" xr:uid="{00000000-0005-0000-0000-0000820F0000}"/>
    <cellStyle name="Text 11" xfId="3904" xr:uid="{00000000-0005-0000-0000-0000830F0000}"/>
    <cellStyle name="Text 12" xfId="3905" xr:uid="{00000000-0005-0000-0000-0000840F0000}"/>
    <cellStyle name="Text 2" xfId="3906" xr:uid="{00000000-0005-0000-0000-0000850F0000}"/>
    <cellStyle name="Text 3" xfId="3907" xr:uid="{00000000-0005-0000-0000-0000860F0000}"/>
    <cellStyle name="Text 4" xfId="3908" xr:uid="{00000000-0005-0000-0000-0000870F0000}"/>
    <cellStyle name="Text 5" xfId="3909" xr:uid="{00000000-0005-0000-0000-0000880F0000}"/>
    <cellStyle name="Text 6" xfId="3910" xr:uid="{00000000-0005-0000-0000-0000890F0000}"/>
    <cellStyle name="Text 7" xfId="3911" xr:uid="{00000000-0005-0000-0000-00008A0F0000}"/>
    <cellStyle name="Text 8" xfId="3912" xr:uid="{00000000-0005-0000-0000-00008B0F0000}"/>
    <cellStyle name="Text 9" xfId="3913" xr:uid="{00000000-0005-0000-0000-00008C0F0000}"/>
    <cellStyle name="Text Head 1" xfId="3914" xr:uid="{00000000-0005-0000-0000-00008D0F0000}"/>
    <cellStyle name="Text Indent A" xfId="3915" xr:uid="{00000000-0005-0000-0000-00008E0F0000}"/>
    <cellStyle name="Text Indent B" xfId="3916" xr:uid="{00000000-0005-0000-0000-00008F0F0000}"/>
    <cellStyle name="Text Indent B 2" xfId="3917" xr:uid="{00000000-0005-0000-0000-0000900F0000}"/>
    <cellStyle name="Text Indent C" xfId="3918" xr:uid="{00000000-0005-0000-0000-0000910F0000}"/>
    <cellStyle name="Text Indent C 2" xfId="3919" xr:uid="{00000000-0005-0000-0000-0000920F0000}"/>
    <cellStyle name="Text Level 1" xfId="3920" xr:uid="{00000000-0005-0000-0000-0000930F0000}"/>
    <cellStyle name="Text Level 2" xfId="3921" xr:uid="{00000000-0005-0000-0000-0000940F0000}"/>
    <cellStyle name="Text Level 3" xfId="3922" xr:uid="{00000000-0005-0000-0000-0000950F0000}"/>
    <cellStyle name="Text Level 4" xfId="3923" xr:uid="{00000000-0005-0000-0000-0000960F0000}"/>
    <cellStyle name="Text Wrap" xfId="3924" xr:uid="{00000000-0005-0000-0000-0000970F0000}"/>
    <cellStyle name="Text_Income statement 2005.06" xfId="3925" xr:uid="{00000000-0005-0000-0000-0000980F0000}"/>
    <cellStyle name="TextBold" xfId="3926" xr:uid="{00000000-0005-0000-0000-0000990F0000}"/>
    <cellStyle name="TextItalic" xfId="3927" xr:uid="{00000000-0005-0000-0000-00009A0F0000}"/>
    <cellStyle name="TextNormal" xfId="3928" xr:uid="{00000000-0005-0000-0000-00009B0F0000}"/>
    <cellStyle name="TFCF" xfId="3929" xr:uid="{00000000-0005-0000-0000-00009C0F0000}"/>
    <cellStyle name="Thousands" xfId="3930" xr:uid="{00000000-0005-0000-0000-00009D0F0000}"/>
    <cellStyle name="Times 10" xfId="3931" xr:uid="{00000000-0005-0000-0000-00009E0F0000}"/>
    <cellStyle name="Times 12" xfId="3932" xr:uid="{00000000-0005-0000-0000-00009F0F0000}"/>
    <cellStyle name="Title 10" xfId="3933" xr:uid="{00000000-0005-0000-0000-0000A00F0000}"/>
    <cellStyle name="Title 10 2" xfId="3934" xr:uid="{00000000-0005-0000-0000-0000A10F0000}"/>
    <cellStyle name="Title 10 3" xfId="3935" xr:uid="{00000000-0005-0000-0000-0000A20F0000}"/>
    <cellStyle name="Title 10 4" xfId="3936" xr:uid="{00000000-0005-0000-0000-0000A30F0000}"/>
    <cellStyle name="Title 11" xfId="3937" xr:uid="{00000000-0005-0000-0000-0000A40F0000}"/>
    <cellStyle name="Title 11 2" xfId="3938" xr:uid="{00000000-0005-0000-0000-0000A50F0000}"/>
    <cellStyle name="Title 11 3" xfId="3939" xr:uid="{00000000-0005-0000-0000-0000A60F0000}"/>
    <cellStyle name="Title 11 4" xfId="3940" xr:uid="{00000000-0005-0000-0000-0000A70F0000}"/>
    <cellStyle name="Title 12" xfId="3941" xr:uid="{00000000-0005-0000-0000-0000A80F0000}"/>
    <cellStyle name="Title 12 2" xfId="3942" xr:uid="{00000000-0005-0000-0000-0000A90F0000}"/>
    <cellStyle name="Title 12 3" xfId="3943" xr:uid="{00000000-0005-0000-0000-0000AA0F0000}"/>
    <cellStyle name="Title 12 4" xfId="3944" xr:uid="{00000000-0005-0000-0000-0000AB0F0000}"/>
    <cellStyle name="Title 13" xfId="3945" xr:uid="{00000000-0005-0000-0000-0000AC0F0000}"/>
    <cellStyle name="Title 13 2" xfId="3946" xr:uid="{00000000-0005-0000-0000-0000AD0F0000}"/>
    <cellStyle name="Title 13 3" xfId="3947" xr:uid="{00000000-0005-0000-0000-0000AE0F0000}"/>
    <cellStyle name="Title 13 4" xfId="3948" xr:uid="{00000000-0005-0000-0000-0000AF0F0000}"/>
    <cellStyle name="Title 14" xfId="3949" xr:uid="{00000000-0005-0000-0000-0000B00F0000}"/>
    <cellStyle name="Title 14 2" xfId="3950" xr:uid="{00000000-0005-0000-0000-0000B10F0000}"/>
    <cellStyle name="Title 14 3" xfId="3951" xr:uid="{00000000-0005-0000-0000-0000B20F0000}"/>
    <cellStyle name="Title 14 4" xfId="3952" xr:uid="{00000000-0005-0000-0000-0000B30F0000}"/>
    <cellStyle name="Title 15" xfId="3953" xr:uid="{00000000-0005-0000-0000-0000B40F0000}"/>
    <cellStyle name="Title 15 2" xfId="3954" xr:uid="{00000000-0005-0000-0000-0000B50F0000}"/>
    <cellStyle name="Title 15 3" xfId="3955" xr:uid="{00000000-0005-0000-0000-0000B60F0000}"/>
    <cellStyle name="Title 15 4" xfId="3956" xr:uid="{00000000-0005-0000-0000-0000B70F0000}"/>
    <cellStyle name="Title 16" xfId="3957" xr:uid="{00000000-0005-0000-0000-0000B80F0000}"/>
    <cellStyle name="Title 17" xfId="3958" xr:uid="{00000000-0005-0000-0000-0000B90F0000}"/>
    <cellStyle name="Title 18" xfId="3959" xr:uid="{00000000-0005-0000-0000-0000BA0F0000}"/>
    <cellStyle name="Title 19" xfId="3960" xr:uid="{00000000-0005-0000-0000-0000BB0F0000}"/>
    <cellStyle name="Title 2" xfId="3961" xr:uid="{00000000-0005-0000-0000-0000BC0F0000}"/>
    <cellStyle name="Title 2 10" xfId="3962" xr:uid="{00000000-0005-0000-0000-0000BD0F0000}"/>
    <cellStyle name="Title 2 10 2" xfId="3963" xr:uid="{00000000-0005-0000-0000-0000BE0F0000}"/>
    <cellStyle name="Title 2 11" xfId="3964" xr:uid="{00000000-0005-0000-0000-0000BF0F0000}"/>
    <cellStyle name="Title 2 12" xfId="3965" xr:uid="{00000000-0005-0000-0000-0000C00F0000}"/>
    <cellStyle name="Title 2 13" xfId="3966" xr:uid="{00000000-0005-0000-0000-0000C10F0000}"/>
    <cellStyle name="Title 2 14" xfId="3967" xr:uid="{00000000-0005-0000-0000-0000C20F0000}"/>
    <cellStyle name="Title 2 15" xfId="3968" xr:uid="{00000000-0005-0000-0000-0000C30F0000}"/>
    <cellStyle name="Title 2 2" xfId="3969" xr:uid="{00000000-0005-0000-0000-0000C40F0000}"/>
    <cellStyle name="Title 2 3" xfId="3970" xr:uid="{00000000-0005-0000-0000-0000C50F0000}"/>
    <cellStyle name="Title 2 4" xfId="3971" xr:uid="{00000000-0005-0000-0000-0000C60F0000}"/>
    <cellStyle name="Title 2 5" xfId="3972" xr:uid="{00000000-0005-0000-0000-0000C70F0000}"/>
    <cellStyle name="Title 2 6" xfId="3973" xr:uid="{00000000-0005-0000-0000-0000C80F0000}"/>
    <cellStyle name="Title 2 7" xfId="3974" xr:uid="{00000000-0005-0000-0000-0000C90F0000}"/>
    <cellStyle name="Title 2 8" xfId="3975" xr:uid="{00000000-0005-0000-0000-0000CA0F0000}"/>
    <cellStyle name="Title 2 9" xfId="3976" xr:uid="{00000000-0005-0000-0000-0000CB0F0000}"/>
    <cellStyle name="Title 20" xfId="4355" xr:uid="{00000000-0005-0000-0000-0000CC0F0000}"/>
    <cellStyle name="Title 3" xfId="3977" xr:uid="{00000000-0005-0000-0000-0000CD0F0000}"/>
    <cellStyle name="Title 3 2" xfId="3978" xr:uid="{00000000-0005-0000-0000-0000CE0F0000}"/>
    <cellStyle name="Title 3 2 2" xfId="3979" xr:uid="{00000000-0005-0000-0000-0000CF0F0000}"/>
    <cellStyle name="Title 3 2 3" xfId="3980" xr:uid="{00000000-0005-0000-0000-0000D00F0000}"/>
    <cellStyle name="Title 3 3" xfId="3981" xr:uid="{00000000-0005-0000-0000-0000D10F0000}"/>
    <cellStyle name="Title 3 4" xfId="3982" xr:uid="{00000000-0005-0000-0000-0000D20F0000}"/>
    <cellStyle name="Title 3 5" xfId="3983" xr:uid="{00000000-0005-0000-0000-0000D30F0000}"/>
    <cellStyle name="Title 3 5 2" xfId="3984" xr:uid="{00000000-0005-0000-0000-0000D40F0000}"/>
    <cellStyle name="Title 3 6" xfId="3985" xr:uid="{00000000-0005-0000-0000-0000D50F0000}"/>
    <cellStyle name="Title 3 7" xfId="3986" xr:uid="{00000000-0005-0000-0000-0000D60F0000}"/>
    <cellStyle name="Title 3 8" xfId="3987" xr:uid="{00000000-0005-0000-0000-0000D70F0000}"/>
    <cellStyle name="Title 3 9" xfId="3988" xr:uid="{00000000-0005-0000-0000-0000D80F0000}"/>
    <cellStyle name="Title 4" xfId="3989" xr:uid="{00000000-0005-0000-0000-0000D90F0000}"/>
    <cellStyle name="Title 4 2" xfId="3990" xr:uid="{00000000-0005-0000-0000-0000DA0F0000}"/>
    <cellStyle name="Title 4 3" xfId="3991" xr:uid="{00000000-0005-0000-0000-0000DB0F0000}"/>
    <cellStyle name="Title 5" xfId="3992" xr:uid="{00000000-0005-0000-0000-0000DC0F0000}"/>
    <cellStyle name="Title 5 2" xfId="3993" xr:uid="{00000000-0005-0000-0000-0000DD0F0000}"/>
    <cellStyle name="Title 5 3" xfId="3994" xr:uid="{00000000-0005-0000-0000-0000DE0F0000}"/>
    <cellStyle name="Title 6" xfId="3995" xr:uid="{00000000-0005-0000-0000-0000DF0F0000}"/>
    <cellStyle name="Title 6 2" xfId="3996" xr:uid="{00000000-0005-0000-0000-0000E00F0000}"/>
    <cellStyle name="Title 6 3" xfId="3997" xr:uid="{00000000-0005-0000-0000-0000E10F0000}"/>
    <cellStyle name="Title 7" xfId="3998" xr:uid="{00000000-0005-0000-0000-0000E20F0000}"/>
    <cellStyle name="Title 7 2" xfId="3999" xr:uid="{00000000-0005-0000-0000-0000E30F0000}"/>
    <cellStyle name="Title 7 3" xfId="4000" xr:uid="{00000000-0005-0000-0000-0000E40F0000}"/>
    <cellStyle name="Title 8" xfId="4001" xr:uid="{00000000-0005-0000-0000-0000E50F0000}"/>
    <cellStyle name="Title 8 2" xfId="4002" xr:uid="{00000000-0005-0000-0000-0000E60F0000}"/>
    <cellStyle name="Title 8 3" xfId="4003" xr:uid="{00000000-0005-0000-0000-0000E70F0000}"/>
    <cellStyle name="Title 9" xfId="4004" xr:uid="{00000000-0005-0000-0000-0000E80F0000}"/>
    <cellStyle name="Title 9 2" xfId="4005" xr:uid="{00000000-0005-0000-0000-0000E90F0000}"/>
    <cellStyle name="Title 9 2 2" xfId="4006" xr:uid="{00000000-0005-0000-0000-0000EA0F0000}"/>
    <cellStyle name="Title 9 3" xfId="4007" xr:uid="{00000000-0005-0000-0000-0000EB0F0000}"/>
    <cellStyle name="Title 9 4" xfId="4008" xr:uid="{00000000-0005-0000-0000-0000EC0F0000}"/>
    <cellStyle name="Title 9 5" xfId="4009" xr:uid="{00000000-0005-0000-0000-0000ED0F0000}"/>
    <cellStyle name="TitleNormal" xfId="4010" xr:uid="{00000000-0005-0000-0000-0000EE0F0000}"/>
    <cellStyle name="Titolo" xfId="4011" xr:uid="{00000000-0005-0000-0000-0000EF0F0000}"/>
    <cellStyle name="Titolo Riga" xfId="4012" xr:uid="{00000000-0005-0000-0000-0000F00F0000}"/>
    <cellStyle name="Titolo Riga 2" xfId="4013" xr:uid="{00000000-0005-0000-0000-0000F10F0000}"/>
    <cellStyle name="titre" xfId="4014" xr:uid="{00000000-0005-0000-0000-0000F20F0000}"/>
    <cellStyle name="Titre 2" xfId="4015" xr:uid="{00000000-0005-0000-0000-0000F30F0000}"/>
    <cellStyle name="Top_Border" xfId="4016" xr:uid="{00000000-0005-0000-0000-0000F40F0000}"/>
    <cellStyle name="Tot" xfId="4017" xr:uid="{00000000-0005-0000-0000-0000F50F0000}"/>
    <cellStyle name="Tot 10" xfId="4018" xr:uid="{00000000-0005-0000-0000-0000F60F0000}"/>
    <cellStyle name="Tot 11" xfId="4019" xr:uid="{00000000-0005-0000-0000-0000F70F0000}"/>
    <cellStyle name="Tot 12" xfId="4020" xr:uid="{00000000-0005-0000-0000-0000F80F0000}"/>
    <cellStyle name="Tot 2" xfId="4021" xr:uid="{00000000-0005-0000-0000-0000F90F0000}"/>
    <cellStyle name="Tot 3" xfId="4022" xr:uid="{00000000-0005-0000-0000-0000FA0F0000}"/>
    <cellStyle name="Tot 4" xfId="4023" xr:uid="{00000000-0005-0000-0000-0000FB0F0000}"/>
    <cellStyle name="Tot 5" xfId="4024" xr:uid="{00000000-0005-0000-0000-0000FC0F0000}"/>
    <cellStyle name="Tot 6" xfId="4025" xr:uid="{00000000-0005-0000-0000-0000FD0F0000}"/>
    <cellStyle name="Tot 7" xfId="4026" xr:uid="{00000000-0005-0000-0000-0000FE0F0000}"/>
    <cellStyle name="Tot 8" xfId="4027" xr:uid="{00000000-0005-0000-0000-0000FF0F0000}"/>
    <cellStyle name="Tot 9" xfId="4028" xr:uid="{00000000-0005-0000-0000-000000100000}"/>
    <cellStyle name="Tot Dec" xfId="4029" xr:uid="{00000000-0005-0000-0000-000001100000}"/>
    <cellStyle name="Tot Dec 10" xfId="4030" xr:uid="{00000000-0005-0000-0000-000002100000}"/>
    <cellStyle name="Tot Dec 11" xfId="4031" xr:uid="{00000000-0005-0000-0000-000003100000}"/>
    <cellStyle name="Tot Dec 12" xfId="4032" xr:uid="{00000000-0005-0000-0000-000004100000}"/>
    <cellStyle name="Tot Dec 2" xfId="4033" xr:uid="{00000000-0005-0000-0000-000005100000}"/>
    <cellStyle name="Tot Dec 3" xfId="4034" xr:uid="{00000000-0005-0000-0000-000006100000}"/>
    <cellStyle name="Tot Dec 4" xfId="4035" xr:uid="{00000000-0005-0000-0000-000007100000}"/>
    <cellStyle name="Tot Dec 5" xfId="4036" xr:uid="{00000000-0005-0000-0000-000008100000}"/>
    <cellStyle name="Tot Dec 6" xfId="4037" xr:uid="{00000000-0005-0000-0000-000009100000}"/>
    <cellStyle name="Tot Dec 7" xfId="4038" xr:uid="{00000000-0005-0000-0000-00000A100000}"/>
    <cellStyle name="Tot Dec 8" xfId="4039" xr:uid="{00000000-0005-0000-0000-00000B100000}"/>
    <cellStyle name="Tot Dec 9" xfId="4040" xr:uid="{00000000-0005-0000-0000-00000C100000}"/>
    <cellStyle name="Total 10" xfId="4041" xr:uid="{00000000-0005-0000-0000-00000D100000}"/>
    <cellStyle name="Total 10 2" xfId="4042" xr:uid="{00000000-0005-0000-0000-00000E100000}"/>
    <cellStyle name="Total 10 3" xfId="4043" xr:uid="{00000000-0005-0000-0000-00000F100000}"/>
    <cellStyle name="Total 10 4" xfId="4044" xr:uid="{00000000-0005-0000-0000-000010100000}"/>
    <cellStyle name="Total 11" xfId="4045" xr:uid="{00000000-0005-0000-0000-000011100000}"/>
    <cellStyle name="Total 11 2" xfId="4046" xr:uid="{00000000-0005-0000-0000-000012100000}"/>
    <cellStyle name="Total 11 3" xfId="4047" xr:uid="{00000000-0005-0000-0000-000013100000}"/>
    <cellStyle name="Total 11 4" xfId="4048" xr:uid="{00000000-0005-0000-0000-000014100000}"/>
    <cellStyle name="Total 12" xfId="4049" xr:uid="{00000000-0005-0000-0000-000015100000}"/>
    <cellStyle name="Total 12 2" xfId="4050" xr:uid="{00000000-0005-0000-0000-000016100000}"/>
    <cellStyle name="Total 12 3" xfId="4051" xr:uid="{00000000-0005-0000-0000-000017100000}"/>
    <cellStyle name="Total 12 4" xfId="4052" xr:uid="{00000000-0005-0000-0000-000018100000}"/>
    <cellStyle name="Total 13" xfId="4053" xr:uid="{00000000-0005-0000-0000-000019100000}"/>
    <cellStyle name="Total 13 2" xfId="4054" xr:uid="{00000000-0005-0000-0000-00001A100000}"/>
    <cellStyle name="Total 13 3" xfId="4055" xr:uid="{00000000-0005-0000-0000-00001B100000}"/>
    <cellStyle name="Total 13 4" xfId="4056" xr:uid="{00000000-0005-0000-0000-00001C100000}"/>
    <cellStyle name="Total 14" xfId="4057" xr:uid="{00000000-0005-0000-0000-00001D100000}"/>
    <cellStyle name="Total 14 2" xfId="4058" xr:uid="{00000000-0005-0000-0000-00001E100000}"/>
    <cellStyle name="Total 14 3" xfId="4059" xr:uid="{00000000-0005-0000-0000-00001F100000}"/>
    <cellStyle name="Total 14 4" xfId="4060" xr:uid="{00000000-0005-0000-0000-000020100000}"/>
    <cellStyle name="Total 15" xfId="4061" xr:uid="{00000000-0005-0000-0000-000021100000}"/>
    <cellStyle name="Total 15 2" xfId="4062" xr:uid="{00000000-0005-0000-0000-000022100000}"/>
    <cellStyle name="Total 15 3" xfId="4063" xr:uid="{00000000-0005-0000-0000-000023100000}"/>
    <cellStyle name="Total 15 4" xfId="4064" xr:uid="{00000000-0005-0000-0000-000024100000}"/>
    <cellStyle name="Total 16" xfId="4065" xr:uid="{00000000-0005-0000-0000-000025100000}"/>
    <cellStyle name="Total 17" xfId="4066" xr:uid="{00000000-0005-0000-0000-000026100000}"/>
    <cellStyle name="Total 18" xfId="4067" xr:uid="{00000000-0005-0000-0000-000027100000}"/>
    <cellStyle name="Total 19" xfId="4068" xr:uid="{00000000-0005-0000-0000-000028100000}"/>
    <cellStyle name="Total 2" xfId="4069" xr:uid="{00000000-0005-0000-0000-000029100000}"/>
    <cellStyle name="Total 2 10" xfId="4070" xr:uid="{00000000-0005-0000-0000-00002A100000}"/>
    <cellStyle name="Total 2 10 2" xfId="4071" xr:uid="{00000000-0005-0000-0000-00002B100000}"/>
    <cellStyle name="Total 2 11" xfId="4072" xr:uid="{00000000-0005-0000-0000-00002C100000}"/>
    <cellStyle name="Total 2 12" xfId="4073" xr:uid="{00000000-0005-0000-0000-00002D100000}"/>
    <cellStyle name="Total 2 13" xfId="4074" xr:uid="{00000000-0005-0000-0000-00002E100000}"/>
    <cellStyle name="Total 2 14" xfId="4075" xr:uid="{00000000-0005-0000-0000-00002F100000}"/>
    <cellStyle name="Total 2 15" xfId="4076" xr:uid="{00000000-0005-0000-0000-000030100000}"/>
    <cellStyle name="Total 2 2" xfId="4077" xr:uid="{00000000-0005-0000-0000-000031100000}"/>
    <cellStyle name="Total 2 3" xfId="4078" xr:uid="{00000000-0005-0000-0000-000032100000}"/>
    <cellStyle name="Total 2 4" xfId="4079" xr:uid="{00000000-0005-0000-0000-000033100000}"/>
    <cellStyle name="Total 2 5" xfId="4080" xr:uid="{00000000-0005-0000-0000-000034100000}"/>
    <cellStyle name="Total 2 6" xfId="4081" xr:uid="{00000000-0005-0000-0000-000035100000}"/>
    <cellStyle name="Total 2 7" xfId="4082" xr:uid="{00000000-0005-0000-0000-000036100000}"/>
    <cellStyle name="Total 2 8" xfId="4083" xr:uid="{00000000-0005-0000-0000-000037100000}"/>
    <cellStyle name="Total 2 9" xfId="4084" xr:uid="{00000000-0005-0000-0000-000038100000}"/>
    <cellStyle name="Total 20" xfId="4356" xr:uid="{00000000-0005-0000-0000-000039100000}"/>
    <cellStyle name="Total 3" xfId="4085" xr:uid="{00000000-0005-0000-0000-00003A100000}"/>
    <cellStyle name="Total 3 2" xfId="4086" xr:uid="{00000000-0005-0000-0000-00003B100000}"/>
    <cellStyle name="Total 3 2 2" xfId="4087" xr:uid="{00000000-0005-0000-0000-00003C100000}"/>
    <cellStyle name="Total 3 2 3" xfId="4088" xr:uid="{00000000-0005-0000-0000-00003D100000}"/>
    <cellStyle name="Total 3 3" xfId="4089" xr:uid="{00000000-0005-0000-0000-00003E100000}"/>
    <cellStyle name="Total 3 4" xfId="4090" xr:uid="{00000000-0005-0000-0000-00003F100000}"/>
    <cellStyle name="Total 3 5" xfId="4091" xr:uid="{00000000-0005-0000-0000-000040100000}"/>
    <cellStyle name="Total 3 5 2" xfId="4092" xr:uid="{00000000-0005-0000-0000-000041100000}"/>
    <cellStyle name="Total 3 6" xfId="4093" xr:uid="{00000000-0005-0000-0000-000042100000}"/>
    <cellStyle name="Total 3 7" xfId="4094" xr:uid="{00000000-0005-0000-0000-000043100000}"/>
    <cellStyle name="Total 3 8" xfId="4095" xr:uid="{00000000-0005-0000-0000-000044100000}"/>
    <cellStyle name="Total 3 9" xfId="4096" xr:uid="{00000000-0005-0000-0000-000045100000}"/>
    <cellStyle name="Total 4" xfId="4097" xr:uid="{00000000-0005-0000-0000-000046100000}"/>
    <cellStyle name="Total 4 2" xfId="4098" xr:uid="{00000000-0005-0000-0000-000047100000}"/>
    <cellStyle name="Total 4 3" xfId="4099" xr:uid="{00000000-0005-0000-0000-000048100000}"/>
    <cellStyle name="Total 5" xfId="4100" xr:uid="{00000000-0005-0000-0000-000049100000}"/>
    <cellStyle name="Total 5 2" xfId="4101" xr:uid="{00000000-0005-0000-0000-00004A100000}"/>
    <cellStyle name="Total 5 3" xfId="4102" xr:uid="{00000000-0005-0000-0000-00004B100000}"/>
    <cellStyle name="Total 6" xfId="4103" xr:uid="{00000000-0005-0000-0000-00004C100000}"/>
    <cellStyle name="Total 6 2" xfId="4104" xr:uid="{00000000-0005-0000-0000-00004D100000}"/>
    <cellStyle name="Total 6 3" xfId="4105" xr:uid="{00000000-0005-0000-0000-00004E100000}"/>
    <cellStyle name="Total 7" xfId="4106" xr:uid="{00000000-0005-0000-0000-00004F100000}"/>
    <cellStyle name="Total 7 2" xfId="4107" xr:uid="{00000000-0005-0000-0000-000050100000}"/>
    <cellStyle name="Total 7 3" xfId="4108" xr:uid="{00000000-0005-0000-0000-000051100000}"/>
    <cellStyle name="Total 8" xfId="4109" xr:uid="{00000000-0005-0000-0000-000052100000}"/>
    <cellStyle name="Total 8 2" xfId="4110" xr:uid="{00000000-0005-0000-0000-000053100000}"/>
    <cellStyle name="Total 8 3" xfId="4111" xr:uid="{00000000-0005-0000-0000-000054100000}"/>
    <cellStyle name="Total 9" xfId="4112" xr:uid="{00000000-0005-0000-0000-000055100000}"/>
    <cellStyle name="Total 9 2" xfId="4113" xr:uid="{00000000-0005-0000-0000-000056100000}"/>
    <cellStyle name="Total 9 2 2" xfId="4114" xr:uid="{00000000-0005-0000-0000-000057100000}"/>
    <cellStyle name="Total 9 3" xfId="4115" xr:uid="{00000000-0005-0000-0000-000058100000}"/>
    <cellStyle name="Total 9 4" xfId="4116" xr:uid="{00000000-0005-0000-0000-000059100000}"/>
    <cellStyle name="Total 9 5" xfId="4117" xr:uid="{00000000-0005-0000-0000-00005A100000}"/>
    <cellStyle name="Total Data" xfId="4118" xr:uid="{00000000-0005-0000-0000-00005B100000}"/>
    <cellStyle name="Totale" xfId="4119" xr:uid="{00000000-0005-0000-0000-00005C100000}"/>
    <cellStyle name="Totale 10" xfId="4120" xr:uid="{00000000-0005-0000-0000-00005D100000}"/>
    <cellStyle name="Totale 11" xfId="4121" xr:uid="{00000000-0005-0000-0000-00005E100000}"/>
    <cellStyle name="Totale 12" xfId="4122" xr:uid="{00000000-0005-0000-0000-00005F100000}"/>
    <cellStyle name="Totale 2" xfId="4123" xr:uid="{00000000-0005-0000-0000-000060100000}"/>
    <cellStyle name="Totale 3" xfId="4124" xr:uid="{00000000-0005-0000-0000-000061100000}"/>
    <cellStyle name="Totale 4" xfId="4125" xr:uid="{00000000-0005-0000-0000-000062100000}"/>
    <cellStyle name="Totale 5" xfId="4126" xr:uid="{00000000-0005-0000-0000-000063100000}"/>
    <cellStyle name="Totale 6" xfId="4127" xr:uid="{00000000-0005-0000-0000-000064100000}"/>
    <cellStyle name="Totale 7" xfId="4128" xr:uid="{00000000-0005-0000-0000-000065100000}"/>
    <cellStyle name="Totale 8" xfId="4129" xr:uid="{00000000-0005-0000-0000-000066100000}"/>
    <cellStyle name="Totale 9" xfId="4130" xr:uid="{00000000-0005-0000-0000-000067100000}"/>
    <cellStyle name="Totale Dec" xfId="4131" xr:uid="{00000000-0005-0000-0000-000068100000}"/>
    <cellStyle name="Totale Dec 10" xfId="4132" xr:uid="{00000000-0005-0000-0000-000069100000}"/>
    <cellStyle name="Totale Dec 11" xfId="4133" xr:uid="{00000000-0005-0000-0000-00006A100000}"/>
    <cellStyle name="Totale Dec 12" xfId="4134" xr:uid="{00000000-0005-0000-0000-00006B100000}"/>
    <cellStyle name="Totale Dec 2" xfId="4135" xr:uid="{00000000-0005-0000-0000-00006C100000}"/>
    <cellStyle name="Totale Dec 3" xfId="4136" xr:uid="{00000000-0005-0000-0000-00006D100000}"/>
    <cellStyle name="Totale Dec 4" xfId="4137" xr:uid="{00000000-0005-0000-0000-00006E100000}"/>
    <cellStyle name="Totale Dec 5" xfId="4138" xr:uid="{00000000-0005-0000-0000-00006F100000}"/>
    <cellStyle name="Totale Dec 6" xfId="4139" xr:uid="{00000000-0005-0000-0000-000070100000}"/>
    <cellStyle name="Totale Dec 7" xfId="4140" xr:uid="{00000000-0005-0000-0000-000071100000}"/>
    <cellStyle name="Totale Dec 8" xfId="4141" xr:uid="{00000000-0005-0000-0000-000072100000}"/>
    <cellStyle name="Totale Dec 9" xfId="4142" xr:uid="{00000000-0005-0000-0000-000073100000}"/>
    <cellStyle name="Undefiniert" xfId="4143" xr:uid="{00000000-0005-0000-0000-000074100000}"/>
    <cellStyle name="Underline" xfId="4144" xr:uid="{00000000-0005-0000-0000-000075100000}"/>
    <cellStyle name="Unprot" xfId="4145" xr:uid="{00000000-0005-0000-0000-000076100000}"/>
    <cellStyle name="Unprot$" xfId="4146" xr:uid="{00000000-0005-0000-0000-000077100000}"/>
    <cellStyle name="Unprot_All BOMS Metro" xfId="4147" xr:uid="{00000000-0005-0000-0000-000078100000}"/>
    <cellStyle name="Unprotect" xfId="4148" xr:uid="{00000000-0005-0000-0000-000079100000}"/>
    <cellStyle name="UploadThisRowValue" xfId="4149" xr:uid="{00000000-0005-0000-0000-00007A100000}"/>
    <cellStyle name="User_Defined_A" xfId="4150" xr:uid="{00000000-0005-0000-0000-00007B100000}"/>
    <cellStyle name="ViewDate" xfId="4151" xr:uid="{00000000-0005-0000-0000-00007C100000}"/>
    <cellStyle name="ViewDetailDate" xfId="4152" xr:uid="{00000000-0005-0000-0000-00007D100000}"/>
    <cellStyle name="ViewDetailInt" xfId="4153" xr:uid="{00000000-0005-0000-0000-00007E100000}"/>
    <cellStyle name="ViewDetailPct" xfId="4154" xr:uid="{00000000-0005-0000-0000-00007F100000}"/>
    <cellStyle name="ViewGrndTotalInt" xfId="4155" xr:uid="{00000000-0005-0000-0000-000080100000}"/>
    <cellStyle name="ViewGrndTotalInt 10" xfId="4156" xr:uid="{00000000-0005-0000-0000-000081100000}"/>
    <cellStyle name="ViewGrndTotalInt 11" xfId="4157" xr:uid="{00000000-0005-0000-0000-000082100000}"/>
    <cellStyle name="ViewGrndTotalInt 12" xfId="4158" xr:uid="{00000000-0005-0000-0000-000083100000}"/>
    <cellStyle name="ViewGrndTotalInt 2" xfId="4159" xr:uid="{00000000-0005-0000-0000-000084100000}"/>
    <cellStyle name="ViewGrndTotalInt 3" xfId="4160" xr:uid="{00000000-0005-0000-0000-000085100000}"/>
    <cellStyle name="ViewGrndTotalInt 4" xfId="4161" xr:uid="{00000000-0005-0000-0000-000086100000}"/>
    <cellStyle name="ViewGrndTotalInt 5" xfId="4162" xr:uid="{00000000-0005-0000-0000-000087100000}"/>
    <cellStyle name="ViewGrndTotalInt 6" xfId="4163" xr:uid="{00000000-0005-0000-0000-000088100000}"/>
    <cellStyle name="ViewGrndTotalInt 7" xfId="4164" xr:uid="{00000000-0005-0000-0000-000089100000}"/>
    <cellStyle name="ViewGrndTotalInt 8" xfId="4165" xr:uid="{00000000-0005-0000-0000-00008A100000}"/>
    <cellStyle name="ViewGrndTotalInt 9" xfId="4166" xr:uid="{00000000-0005-0000-0000-00008B100000}"/>
    <cellStyle name="ViewGrndTotalPct" xfId="4167" xr:uid="{00000000-0005-0000-0000-00008C100000}"/>
    <cellStyle name="ViewGrndTotalPct 10" xfId="4168" xr:uid="{00000000-0005-0000-0000-00008D100000}"/>
    <cellStyle name="ViewGrndTotalPct 11" xfId="4169" xr:uid="{00000000-0005-0000-0000-00008E100000}"/>
    <cellStyle name="ViewGrndTotalPct 12" xfId="4170" xr:uid="{00000000-0005-0000-0000-00008F100000}"/>
    <cellStyle name="ViewGrndTotalPct 2" xfId="4171" xr:uid="{00000000-0005-0000-0000-000090100000}"/>
    <cellStyle name="ViewGrndTotalPct 3" xfId="4172" xr:uid="{00000000-0005-0000-0000-000091100000}"/>
    <cellStyle name="ViewGrndTotalPct 4" xfId="4173" xr:uid="{00000000-0005-0000-0000-000092100000}"/>
    <cellStyle name="ViewGrndTotalPct 5" xfId="4174" xr:uid="{00000000-0005-0000-0000-000093100000}"/>
    <cellStyle name="ViewGrndTotalPct 6" xfId="4175" xr:uid="{00000000-0005-0000-0000-000094100000}"/>
    <cellStyle name="ViewGrndTotalPct 7" xfId="4176" xr:uid="{00000000-0005-0000-0000-000095100000}"/>
    <cellStyle name="ViewGrndTotalPct 8" xfId="4177" xr:uid="{00000000-0005-0000-0000-000096100000}"/>
    <cellStyle name="ViewGrndTotalPct 9" xfId="4178" xr:uid="{00000000-0005-0000-0000-000097100000}"/>
    <cellStyle name="ViewHide" xfId="4179" xr:uid="{00000000-0005-0000-0000-000098100000}"/>
    <cellStyle name="ViewTotal" xfId="4180" xr:uid="{00000000-0005-0000-0000-000099100000}"/>
    <cellStyle name="ViewTotalHide" xfId="4181" xr:uid="{00000000-0005-0000-0000-00009A100000}"/>
    <cellStyle name="ViewTotalInt" xfId="4182" xr:uid="{00000000-0005-0000-0000-00009B100000}"/>
    <cellStyle name="ViewTotalPct" xfId="4183" xr:uid="{00000000-0005-0000-0000-00009C100000}"/>
    <cellStyle name="Währung [0]_Acquisition stats" xfId="4184" xr:uid="{00000000-0005-0000-0000-00009D100000}"/>
    <cellStyle name="Währung_Acquisition stats" xfId="4185" xr:uid="{00000000-0005-0000-0000-00009E100000}"/>
    <cellStyle name="Warning" xfId="4186" xr:uid="{00000000-0005-0000-0000-00009F100000}"/>
    <cellStyle name="Warning Text 10" xfId="4187" xr:uid="{00000000-0005-0000-0000-0000A0100000}"/>
    <cellStyle name="Warning Text 10 2" xfId="4188" xr:uid="{00000000-0005-0000-0000-0000A1100000}"/>
    <cellStyle name="Warning Text 10 3" xfId="4189" xr:uid="{00000000-0005-0000-0000-0000A2100000}"/>
    <cellStyle name="Warning Text 11" xfId="4190" xr:uid="{00000000-0005-0000-0000-0000A3100000}"/>
    <cellStyle name="Warning Text 11 2" xfId="4191" xr:uid="{00000000-0005-0000-0000-0000A4100000}"/>
    <cellStyle name="Warning Text 11 3" xfId="4192" xr:uid="{00000000-0005-0000-0000-0000A5100000}"/>
    <cellStyle name="Warning Text 12" xfId="4193" xr:uid="{00000000-0005-0000-0000-0000A6100000}"/>
    <cellStyle name="Warning Text 12 2" xfId="4194" xr:uid="{00000000-0005-0000-0000-0000A7100000}"/>
    <cellStyle name="Warning Text 12 3" xfId="4195" xr:uid="{00000000-0005-0000-0000-0000A8100000}"/>
    <cellStyle name="Warning Text 13" xfId="4196" xr:uid="{00000000-0005-0000-0000-0000A9100000}"/>
    <cellStyle name="Warning Text 13 2" xfId="4197" xr:uid="{00000000-0005-0000-0000-0000AA100000}"/>
    <cellStyle name="Warning Text 13 3" xfId="4198" xr:uid="{00000000-0005-0000-0000-0000AB100000}"/>
    <cellStyle name="Warning Text 14" xfId="4199" xr:uid="{00000000-0005-0000-0000-0000AC100000}"/>
    <cellStyle name="Warning Text 14 2" xfId="4200" xr:uid="{00000000-0005-0000-0000-0000AD100000}"/>
    <cellStyle name="Warning Text 14 3" xfId="4201" xr:uid="{00000000-0005-0000-0000-0000AE100000}"/>
    <cellStyle name="Warning Text 15" xfId="4202" xr:uid="{00000000-0005-0000-0000-0000AF100000}"/>
    <cellStyle name="Warning Text 15 2" xfId="4203" xr:uid="{00000000-0005-0000-0000-0000B0100000}"/>
    <cellStyle name="Warning Text 15 3" xfId="4204" xr:uid="{00000000-0005-0000-0000-0000B1100000}"/>
    <cellStyle name="Warning Text 16" xfId="4205" xr:uid="{00000000-0005-0000-0000-0000B2100000}"/>
    <cellStyle name="Warning Text 17" xfId="4206" xr:uid="{00000000-0005-0000-0000-0000B3100000}"/>
    <cellStyle name="Warning Text 18" xfId="4207" xr:uid="{00000000-0005-0000-0000-0000B4100000}"/>
    <cellStyle name="Warning Text 19" xfId="4208" xr:uid="{00000000-0005-0000-0000-0000B5100000}"/>
    <cellStyle name="Warning Text 2" xfId="4209" xr:uid="{00000000-0005-0000-0000-0000B6100000}"/>
    <cellStyle name="Warning Text 2 10" xfId="4210" xr:uid="{00000000-0005-0000-0000-0000B7100000}"/>
    <cellStyle name="Warning Text 2 11" xfId="4211" xr:uid="{00000000-0005-0000-0000-0000B8100000}"/>
    <cellStyle name="Warning Text 2 12" xfId="4212" xr:uid="{00000000-0005-0000-0000-0000B9100000}"/>
    <cellStyle name="Warning Text 2 13" xfId="4213" xr:uid="{00000000-0005-0000-0000-0000BA100000}"/>
    <cellStyle name="Warning Text 2 14" xfId="4214" xr:uid="{00000000-0005-0000-0000-0000BB100000}"/>
    <cellStyle name="Warning Text 2 15" xfId="4215" xr:uid="{00000000-0005-0000-0000-0000BC100000}"/>
    <cellStyle name="Warning Text 2 2" xfId="4216" xr:uid="{00000000-0005-0000-0000-0000BD100000}"/>
    <cellStyle name="Warning Text 2 3" xfId="4217" xr:uid="{00000000-0005-0000-0000-0000BE100000}"/>
    <cellStyle name="Warning Text 2 4" xfId="4218" xr:uid="{00000000-0005-0000-0000-0000BF100000}"/>
    <cellStyle name="Warning Text 2 5" xfId="4219" xr:uid="{00000000-0005-0000-0000-0000C0100000}"/>
    <cellStyle name="Warning Text 2 6" xfId="4220" xr:uid="{00000000-0005-0000-0000-0000C1100000}"/>
    <cellStyle name="Warning Text 2 7" xfId="4221" xr:uid="{00000000-0005-0000-0000-0000C2100000}"/>
    <cellStyle name="Warning Text 2 8" xfId="4222" xr:uid="{00000000-0005-0000-0000-0000C3100000}"/>
    <cellStyle name="Warning Text 2 9" xfId="4223" xr:uid="{00000000-0005-0000-0000-0000C4100000}"/>
    <cellStyle name="Warning Text 20" xfId="4357" xr:uid="{00000000-0005-0000-0000-0000C5100000}"/>
    <cellStyle name="Warning Text 3" xfId="4224" xr:uid="{00000000-0005-0000-0000-0000C6100000}"/>
    <cellStyle name="Warning Text 3 2" xfId="4225" xr:uid="{00000000-0005-0000-0000-0000C7100000}"/>
    <cellStyle name="Warning Text 3 3" xfId="4226" xr:uid="{00000000-0005-0000-0000-0000C8100000}"/>
    <cellStyle name="Warning Text 3 4" xfId="4227" xr:uid="{00000000-0005-0000-0000-0000C9100000}"/>
    <cellStyle name="Warning Text 3 5" xfId="4228" xr:uid="{00000000-0005-0000-0000-0000CA100000}"/>
    <cellStyle name="Warning Text 3 6" xfId="4229" xr:uid="{00000000-0005-0000-0000-0000CB100000}"/>
    <cellStyle name="Warning Text 3 7" xfId="4230" xr:uid="{00000000-0005-0000-0000-0000CC100000}"/>
    <cellStyle name="Warning Text 3 8" xfId="4231" xr:uid="{00000000-0005-0000-0000-0000CD100000}"/>
    <cellStyle name="Warning Text 4" xfId="4232" xr:uid="{00000000-0005-0000-0000-0000CE100000}"/>
    <cellStyle name="Warning Text 4 2" xfId="4233" xr:uid="{00000000-0005-0000-0000-0000CF100000}"/>
    <cellStyle name="Warning Text 5" xfId="4234" xr:uid="{00000000-0005-0000-0000-0000D0100000}"/>
    <cellStyle name="Warning Text 5 2" xfId="4235" xr:uid="{00000000-0005-0000-0000-0000D1100000}"/>
    <cellStyle name="Warning Text 6" xfId="4236" xr:uid="{00000000-0005-0000-0000-0000D2100000}"/>
    <cellStyle name="Warning Text 6 2" xfId="4237" xr:uid="{00000000-0005-0000-0000-0000D3100000}"/>
    <cellStyle name="Warning Text 7" xfId="4238" xr:uid="{00000000-0005-0000-0000-0000D4100000}"/>
    <cellStyle name="Warning Text 8" xfId="4239" xr:uid="{00000000-0005-0000-0000-0000D5100000}"/>
    <cellStyle name="Warning Text 9" xfId="4240" xr:uid="{00000000-0005-0000-0000-0000D6100000}"/>
    <cellStyle name="Warning Text 9 2" xfId="4241" xr:uid="{00000000-0005-0000-0000-0000D7100000}"/>
    <cellStyle name="Warning Text 9 3" xfId="4242" xr:uid="{00000000-0005-0000-0000-0000D8100000}"/>
    <cellStyle name="Warning Text 9 4" xfId="4243" xr:uid="{00000000-0005-0000-0000-0000D9100000}"/>
    <cellStyle name="web_ normal" xfId="4244" xr:uid="{00000000-0005-0000-0000-0000DA100000}"/>
    <cellStyle name="Work in progress" xfId="4245" xr:uid="{00000000-0005-0000-0000-0000DB100000}"/>
    <cellStyle name="x" xfId="4246" xr:uid="{00000000-0005-0000-0000-0000DC100000}"/>
    <cellStyle name="Year" xfId="4247" xr:uid="{00000000-0005-0000-0000-0000DD100000}"/>
    <cellStyle name="Yellow" xfId="4248" xr:uid="{00000000-0005-0000-0000-0000DE100000}"/>
    <cellStyle name="Yen" xfId="4249" xr:uid="{00000000-0005-0000-0000-0000DF100000}"/>
    <cellStyle name="똿뗦먛귟 [0.00]_laroux" xfId="4250" xr:uid="{00000000-0005-0000-0000-0000E0100000}"/>
    <cellStyle name="똿뗦먛귟_laroux" xfId="4251" xr:uid="{00000000-0005-0000-0000-0000E1100000}"/>
    <cellStyle name="믅됞 [0.00]_laroux" xfId="4252" xr:uid="{00000000-0005-0000-0000-0000E2100000}"/>
    <cellStyle name="믅됞_laroux" xfId="4253" xr:uid="{00000000-0005-0000-0000-0000E3100000}"/>
    <cellStyle name="백분율_95" xfId="4254" xr:uid="{00000000-0005-0000-0000-0000E4100000}"/>
    <cellStyle name="뷭?_BOOKSHIP" xfId="4255" xr:uid="{00000000-0005-0000-0000-0000E5100000}"/>
    <cellStyle name="콤마 [0]_1202" xfId="4262" xr:uid="{00000000-0005-0000-0000-0000E6100000}"/>
    <cellStyle name="콤마_1202" xfId="4263" xr:uid="{00000000-0005-0000-0000-0000E7100000}"/>
    <cellStyle name="통화 [0]_1202" xfId="4264" xr:uid="{00000000-0005-0000-0000-0000E8100000}"/>
    <cellStyle name="통화_1202" xfId="4265" xr:uid="{00000000-0005-0000-0000-0000E9100000}"/>
    <cellStyle name="표준_(정보부문)월별인원계획" xfId="4267" xr:uid="{00000000-0005-0000-0000-0000EA100000}"/>
    <cellStyle name="一般_Sheet1" xfId="4256" xr:uid="{00000000-0005-0000-0000-0000EB100000}"/>
    <cellStyle name="中等" xfId="4257" xr:uid="{00000000-0005-0000-0000-0000EC100000}"/>
    <cellStyle name="備註" xfId="4258" xr:uid="{00000000-0005-0000-0000-0000ED100000}"/>
    <cellStyle name="千位分隔[0]_BOM 3EC 37531 AAAA" xfId="4259" xr:uid="{00000000-0005-0000-0000-0000EE100000}"/>
    <cellStyle name="千位分隔_BOM 3EC 37531 AAAA" xfId="4260" xr:uid="{00000000-0005-0000-0000-0000EF100000}"/>
    <cellStyle name="合計" xfId="4261" xr:uid="{00000000-0005-0000-0000-0000F0100000}"/>
    <cellStyle name="壞" xfId="4266" xr:uid="{00000000-0005-0000-0000-0000F1100000}"/>
    <cellStyle name="好" xfId="4268" xr:uid="{00000000-0005-0000-0000-0000F2100000}"/>
    <cellStyle name="好_XBOX Total BI Q1'08 0310" xfId="4269" xr:uid="{00000000-0005-0000-0000-0000F3100000}"/>
    <cellStyle name="差" xfId="4270" xr:uid="{00000000-0005-0000-0000-0000F4100000}"/>
    <cellStyle name="常规_BOM 3EC 37531 AAAA" xfId="4271" xr:uid="{00000000-0005-0000-0000-0000F5100000}"/>
    <cellStyle name="强调文字颜色 1" xfId="4272" xr:uid="{00000000-0005-0000-0000-0000F6100000}"/>
    <cellStyle name="强调文字颜色 2" xfId="4273" xr:uid="{00000000-0005-0000-0000-0000F7100000}"/>
    <cellStyle name="强调文字颜色 3" xfId="4274" xr:uid="{00000000-0005-0000-0000-0000F8100000}"/>
    <cellStyle name="强调文字颜色 4" xfId="4275" xr:uid="{00000000-0005-0000-0000-0000F9100000}"/>
    <cellStyle name="强调文字颜色 5" xfId="4276" xr:uid="{00000000-0005-0000-0000-0000FA100000}"/>
    <cellStyle name="强调文字颜色 6" xfId="4277" xr:uid="{00000000-0005-0000-0000-0000FB100000}"/>
    <cellStyle name="标题" xfId="4278" xr:uid="{00000000-0005-0000-0000-0000FC100000}"/>
    <cellStyle name="标题 1" xfId="4279" xr:uid="{00000000-0005-0000-0000-0000FD100000}"/>
    <cellStyle name="标题 2" xfId="4280" xr:uid="{00000000-0005-0000-0000-0000FE100000}"/>
    <cellStyle name="标题 3" xfId="4281" xr:uid="{00000000-0005-0000-0000-0000FF100000}"/>
    <cellStyle name="标题 4" xfId="4282" xr:uid="{00000000-0005-0000-0000-000000110000}"/>
    <cellStyle name="检查单元格" xfId="4283" xr:uid="{00000000-0005-0000-0000-000001110000}"/>
    <cellStyle name="標題" xfId="4284" xr:uid="{00000000-0005-0000-0000-000002110000}"/>
    <cellStyle name="標題 1" xfId="4285" xr:uid="{00000000-0005-0000-0000-000003110000}"/>
    <cellStyle name="標題 2" xfId="4286" xr:uid="{00000000-0005-0000-0000-000004110000}"/>
    <cellStyle name="標題 3" xfId="4287" xr:uid="{00000000-0005-0000-0000-000005110000}"/>
    <cellStyle name="標題 4" xfId="4288" xr:uid="{00000000-0005-0000-0000-000006110000}"/>
    <cellStyle name="檢查儲存格" xfId="4289" xr:uid="{00000000-0005-0000-0000-000007110000}"/>
    <cellStyle name="汇总" xfId="4290" xr:uid="{00000000-0005-0000-0000-000008110000}"/>
    <cellStyle name="注释" xfId="4291" xr:uid="{00000000-0005-0000-0000-000009110000}"/>
    <cellStyle name="解释性文本" xfId="4292" xr:uid="{00000000-0005-0000-0000-00000A110000}"/>
    <cellStyle name="計算方式" xfId="4293" xr:uid="{00000000-0005-0000-0000-00000B110000}"/>
    <cellStyle name="說明文字" xfId="4294" xr:uid="{00000000-0005-0000-0000-00000C110000}"/>
    <cellStyle name="警告文字" xfId="4295" xr:uid="{00000000-0005-0000-0000-00000D110000}"/>
    <cellStyle name="警告文本" xfId="4296" xr:uid="{00000000-0005-0000-0000-00000E110000}"/>
    <cellStyle name="计算" xfId="4297" xr:uid="{00000000-0005-0000-0000-00000F110000}"/>
    <cellStyle name="货币[0]_BOM 3EC 37531 AAAA" xfId="4298" xr:uid="{00000000-0005-0000-0000-000010110000}"/>
    <cellStyle name="货币_BOM 3EC 37531 AAAA" xfId="4299" xr:uid="{00000000-0005-0000-0000-000011110000}"/>
    <cellStyle name="輔色1" xfId="4300" xr:uid="{00000000-0005-0000-0000-000012110000}"/>
    <cellStyle name="輔色2" xfId="4301" xr:uid="{00000000-0005-0000-0000-000013110000}"/>
    <cellStyle name="輔色3" xfId="4302" xr:uid="{00000000-0005-0000-0000-000014110000}"/>
    <cellStyle name="輔色4" xfId="4303" xr:uid="{00000000-0005-0000-0000-000015110000}"/>
    <cellStyle name="輔色5" xfId="4304" xr:uid="{00000000-0005-0000-0000-000016110000}"/>
    <cellStyle name="輔色6" xfId="4305" xr:uid="{00000000-0005-0000-0000-000017110000}"/>
    <cellStyle name="輸入" xfId="4306" xr:uid="{00000000-0005-0000-0000-000018110000}"/>
    <cellStyle name="輸出" xfId="4307" xr:uid="{00000000-0005-0000-0000-000019110000}"/>
    <cellStyle name="输入" xfId="4308" xr:uid="{00000000-0005-0000-0000-00001A110000}"/>
    <cellStyle name="输出" xfId="4309" xr:uid="{00000000-0005-0000-0000-00001B110000}"/>
    <cellStyle name="适中" xfId="4310" xr:uid="{00000000-0005-0000-0000-00001C110000}"/>
    <cellStyle name="連結的儲存格" xfId="4311" xr:uid="{00000000-0005-0000-0000-00001D110000}"/>
    <cellStyle name="链接单元格" xfId="4312" xr:uid="{00000000-0005-0000-0000-00001E11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DCF!$R$11</c:f>
              <c:strCache>
                <c:ptCount val="1"/>
                <c:pt idx="0">
                  <c:v>World-Consumer, Cyclical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DCF!$S$11:$AO$11</c:f>
              <c:numCache>
                <c:formatCode>0.00</c:formatCode>
                <c:ptCount val="23"/>
                <c:pt idx="0">
                  <c:v>50.193729443967264</c:v>
                </c:pt>
                <c:pt idx="1">
                  <c:v>12.626832281494556</c:v>
                </c:pt>
                <c:pt idx="2">
                  <c:v>9.1372159900795022</c:v>
                </c:pt>
                <c:pt idx="3">
                  <c:v>9.2045496825498425</c:v>
                </c:pt>
                <c:pt idx="4">
                  <c:v>8.605287658317943</c:v>
                </c:pt>
                <c:pt idx="5">
                  <c:v>8.5205411300041725</c:v>
                </c:pt>
                <c:pt idx="6">
                  <c:v>7.5450656703112937</c:v>
                </c:pt>
                <c:pt idx="7">
                  <c:v>9.6210886196234515</c:v>
                </c:pt>
                <c:pt idx="8">
                  <c:v>12.106896259880505</c:v>
                </c:pt>
                <c:pt idx="9">
                  <c:v>12.588865851883696</c:v>
                </c:pt>
                <c:pt idx="10">
                  <c:v>15.037805305204124</c:v>
                </c:pt>
                <c:pt idx="11">
                  <c:v>12.095509806116453</c:v>
                </c:pt>
                <c:pt idx="12">
                  <c:v>12.363307235511565</c:v>
                </c:pt>
                <c:pt idx="13">
                  <c:v>6.2440247551393346</c:v>
                </c:pt>
                <c:pt idx="14">
                  <c:v>9.5259269039364387</c:v>
                </c:pt>
                <c:pt idx="15">
                  <c:v>11.870298169161902</c:v>
                </c:pt>
                <c:pt idx="16">
                  <c:v>11.794868876123138</c:v>
                </c:pt>
                <c:pt idx="17">
                  <c:v>12.60623361256669</c:v>
                </c:pt>
                <c:pt idx="18">
                  <c:v>12.806290402606066</c:v>
                </c:pt>
                <c:pt idx="19">
                  <c:v>13.437645135726289</c:v>
                </c:pt>
                <c:pt idx="20">
                  <c:v>12.103629698920271</c:v>
                </c:pt>
                <c:pt idx="21">
                  <c:v>12.376292303385718</c:v>
                </c:pt>
                <c:pt idx="22">
                  <c:v>12.367682419294173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5-4C79-92F7-B4A2330FF31A}"/>
            </c:ext>
          </c:extLst>
        </c:ser>
        <c:ser>
          <c:idx val="1"/>
          <c:order val="1"/>
          <c:tx>
            <c:strRef>
              <c:f>DCF!$R$12</c:f>
              <c:strCache>
                <c:ptCount val="1"/>
                <c:pt idx="0">
                  <c:v>UNITED STATES-Consumer, Cyclical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DCF!$S$12:$AO$12</c:f>
              <c:numCache>
                <c:formatCode>0.00</c:formatCode>
                <c:ptCount val="23"/>
                <c:pt idx="0">
                  <c:v>12.270458057754485</c:v>
                </c:pt>
                <c:pt idx="1">
                  <c:v>13.040282238947619</c:v>
                </c:pt>
                <c:pt idx="2">
                  <c:v>12.700225601558477</c:v>
                </c:pt>
                <c:pt idx="3">
                  <c:v>12.234493941336973</c:v>
                </c:pt>
                <c:pt idx="4">
                  <c:v>12.407645010004318</c:v>
                </c:pt>
                <c:pt idx="5">
                  <c:v>10.991690611774731</c:v>
                </c:pt>
                <c:pt idx="6">
                  <c:v>7.5403368376426387</c:v>
                </c:pt>
                <c:pt idx="7">
                  <c:v>12.022010781976284</c:v>
                </c:pt>
                <c:pt idx="8">
                  <c:v>15.548215523559447</c:v>
                </c:pt>
                <c:pt idx="9">
                  <c:v>14.735856874141936</c:v>
                </c:pt>
                <c:pt idx="10">
                  <c:v>15.437015582335663</c:v>
                </c:pt>
                <c:pt idx="11">
                  <c:v>13.810267181702597</c:v>
                </c:pt>
                <c:pt idx="12">
                  <c:v>4.6135465046174922</c:v>
                </c:pt>
                <c:pt idx="13">
                  <c:v>10.281157271213115</c:v>
                </c:pt>
                <c:pt idx="14">
                  <c:v>11.3496892380661</c:v>
                </c:pt>
                <c:pt idx="15">
                  <c:v>15.944426969329047</c:v>
                </c:pt>
                <c:pt idx="16">
                  <c:v>16.37637853459907</c:v>
                </c:pt>
                <c:pt idx="17">
                  <c:v>17.029399746676077</c:v>
                </c:pt>
                <c:pt idx="18">
                  <c:v>16.160081961802675</c:v>
                </c:pt>
                <c:pt idx="19">
                  <c:v>18.198735348922121</c:v>
                </c:pt>
                <c:pt idx="20">
                  <c:v>14.305613437203961</c:v>
                </c:pt>
                <c:pt idx="21">
                  <c:v>13.857168496008109</c:v>
                </c:pt>
                <c:pt idx="22">
                  <c:v>15.291544373205301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5-4C79-92F7-B4A2330FF31A}"/>
            </c:ext>
          </c:extLst>
        </c:ser>
        <c:ser>
          <c:idx val="2"/>
          <c:order val="2"/>
          <c:tx>
            <c:strRef>
              <c:f>DCF!$R$13</c:f>
              <c:strCache>
                <c:ptCount val="1"/>
                <c:pt idx="0">
                  <c:v>World-Retail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DCF!$S$13:$AO$13</c:f>
              <c:numCache>
                <c:formatCode>0.00</c:formatCode>
                <c:ptCount val="23"/>
                <c:pt idx="0">
                  <c:v>9.4887328969132216</c:v>
                </c:pt>
                <c:pt idx="1">
                  <c:v>13.679211228433809</c:v>
                </c:pt>
                <c:pt idx="2">
                  <c:v>9.9832273952921575</c:v>
                </c:pt>
                <c:pt idx="3">
                  <c:v>11.041506466647286</c:v>
                </c:pt>
                <c:pt idx="4">
                  <c:v>10.080741851806195</c:v>
                </c:pt>
                <c:pt idx="5">
                  <c:v>9.51872076996532</c:v>
                </c:pt>
                <c:pt idx="6">
                  <c:v>11.711392212363309</c:v>
                </c:pt>
                <c:pt idx="7">
                  <c:v>11.689429457364104</c:v>
                </c:pt>
                <c:pt idx="8">
                  <c:v>12.559230388284695</c:v>
                </c:pt>
                <c:pt idx="9">
                  <c:v>14.894431927057639</c:v>
                </c:pt>
                <c:pt idx="10">
                  <c:v>16.282045556955765</c:v>
                </c:pt>
                <c:pt idx="11">
                  <c:v>13.985420825351213</c:v>
                </c:pt>
                <c:pt idx="12">
                  <c:v>13.407793079164046</c:v>
                </c:pt>
                <c:pt idx="13">
                  <c:v>12.454332418717071</c:v>
                </c:pt>
                <c:pt idx="14">
                  <c:v>14.544960667958167</c:v>
                </c:pt>
                <c:pt idx="15">
                  <c:v>15.349706018294842</c:v>
                </c:pt>
                <c:pt idx="16">
                  <c:v>15.478215166462268</c:v>
                </c:pt>
                <c:pt idx="17">
                  <c:v>15.452968136277882</c:v>
                </c:pt>
                <c:pt idx="18">
                  <c:v>16.143355900189814</c:v>
                </c:pt>
                <c:pt idx="19">
                  <c:v>16.975683652324328</c:v>
                </c:pt>
                <c:pt idx="20">
                  <c:v>15.790479284660822</c:v>
                </c:pt>
                <c:pt idx="21">
                  <c:v>16.657087735335043</c:v>
                </c:pt>
                <c:pt idx="22">
                  <c:v>17.661964391325135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5-4C79-92F7-B4A2330FF31A}"/>
            </c:ext>
          </c:extLst>
        </c:ser>
        <c:ser>
          <c:idx val="3"/>
          <c:order val="3"/>
          <c:tx>
            <c:strRef>
              <c:f>DCF!$R$14</c:f>
              <c:strCache>
                <c:ptCount val="1"/>
                <c:pt idx="0">
                  <c:v>UNITED STATES-Retail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DCF!$S$14:$AO$14</c:f>
              <c:numCache>
                <c:formatCode>0.00</c:formatCode>
                <c:ptCount val="23"/>
                <c:pt idx="0">
                  <c:v>11.441943167999483</c:v>
                </c:pt>
                <c:pt idx="1">
                  <c:v>12.323718986891127</c:v>
                </c:pt>
                <c:pt idx="2">
                  <c:v>12.746270328951917</c:v>
                </c:pt>
                <c:pt idx="3">
                  <c:v>14.342529876013945</c:v>
                </c:pt>
                <c:pt idx="4">
                  <c:v>16.716142268159576</c:v>
                </c:pt>
                <c:pt idx="5">
                  <c:v>12.916850058274552</c:v>
                </c:pt>
                <c:pt idx="6">
                  <c:v>12.821398321044798</c:v>
                </c:pt>
                <c:pt idx="7">
                  <c:v>13.415223254756047</c:v>
                </c:pt>
                <c:pt idx="8">
                  <c:v>13.824616064354831</c:v>
                </c:pt>
                <c:pt idx="9">
                  <c:v>15.868815523271854</c:v>
                </c:pt>
                <c:pt idx="10">
                  <c:v>16.693003631872532</c:v>
                </c:pt>
                <c:pt idx="11">
                  <c:v>15.286396303556769</c:v>
                </c:pt>
                <c:pt idx="12">
                  <c:v>14.739713886103029</c:v>
                </c:pt>
                <c:pt idx="13">
                  <c:v>13.455896242584105</c:v>
                </c:pt>
                <c:pt idx="14">
                  <c:v>15.517895892883388</c:v>
                </c:pt>
                <c:pt idx="15">
                  <c:v>17.321956986602579</c:v>
                </c:pt>
                <c:pt idx="16">
                  <c:v>16.384633901483284</c:v>
                </c:pt>
                <c:pt idx="17">
                  <c:v>16.166641398324934</c:v>
                </c:pt>
                <c:pt idx="18">
                  <c:v>18.34439789400226</c:v>
                </c:pt>
                <c:pt idx="19">
                  <c:v>19.037053506016125</c:v>
                </c:pt>
                <c:pt idx="20">
                  <c:v>17.499752954387546</c:v>
                </c:pt>
                <c:pt idx="21">
                  <c:v>19.549359793642573</c:v>
                </c:pt>
                <c:pt idx="22">
                  <c:v>24.049235775719406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15-4C79-92F7-B4A2330F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528768"/>
        <c:axId val="516538752"/>
      </c:lineChart>
      <c:catAx>
        <c:axId val="516528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516538752"/>
        <c:crosses val="autoZero"/>
        <c:auto val="1"/>
        <c:lblAlgn val="ctr"/>
        <c:lblOffset val="100"/>
        <c:noMultiLvlLbl val="0"/>
      </c:catAx>
      <c:valAx>
        <c:axId val="51653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516528768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212912</xdr:colOff>
      <xdr:row>6</xdr:row>
      <xdr:rowOff>152400</xdr:rowOff>
    </xdr:from>
    <xdr:to>
      <xdr:col>51</xdr:col>
      <xdr:colOff>67235</xdr:colOff>
      <xdr:row>28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221FF7-99C9-47DE-AFA9-309EACFBC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6" tint="-0.499984740745262"/>
  </sheetPr>
  <dimension ref="B2:XFC169"/>
  <sheetViews>
    <sheetView showGridLines="0" zoomScale="85" zoomScaleNormal="85" workbookViewId="0">
      <selection activeCell="O22" sqref="O22"/>
    </sheetView>
  </sheetViews>
  <sheetFormatPr defaultRowHeight="14.5" outlineLevelRow="1" outlineLevelCol="1"/>
  <cols>
    <col min="2" max="2" width="25.26953125" bestFit="1" customWidth="1"/>
    <col min="3" max="13" width="9.7265625" customWidth="1"/>
    <col min="15" max="15" width="15.7265625" customWidth="1"/>
    <col min="16" max="16" width="28.54296875" customWidth="1"/>
    <col min="18" max="18" width="24.26953125" hidden="1" customWidth="1" outlineLevel="1"/>
    <col min="19" max="41" width="9.1796875" hidden="1" customWidth="1" outlineLevel="1"/>
    <col min="42" max="42" width="9.1796875" collapsed="1"/>
  </cols>
  <sheetData>
    <row r="2" spans="2:41">
      <c r="B2" s="52" t="s">
        <v>101</v>
      </c>
      <c r="C2" s="52"/>
      <c r="D2" s="52"/>
      <c r="E2" s="52"/>
    </row>
    <row r="3" spans="2:41" ht="5.15" customHeight="1"/>
    <row r="4" spans="2:41">
      <c r="B4" s="3" t="s">
        <v>92</v>
      </c>
      <c r="C4" s="346">
        <v>44348</v>
      </c>
    </row>
    <row r="5" spans="2:41">
      <c r="B5" s="3" t="s">
        <v>93</v>
      </c>
      <c r="C5" s="164" t="s">
        <v>239</v>
      </c>
    </row>
    <row r="6" spans="2:41">
      <c r="B6" s="3" t="s">
        <v>94</v>
      </c>
      <c r="C6" s="164" t="s">
        <v>240</v>
      </c>
    </row>
    <row r="7" spans="2:41" ht="5.15" customHeight="1"/>
    <row r="8" spans="2:41">
      <c r="B8" s="52" t="s">
        <v>89</v>
      </c>
      <c r="C8" s="52"/>
      <c r="D8" s="52"/>
      <c r="E8" s="52"/>
      <c r="G8" s="52" t="s">
        <v>58</v>
      </c>
      <c r="H8" s="53"/>
      <c r="I8" s="53"/>
      <c r="J8" s="53"/>
      <c r="K8" s="53"/>
      <c r="L8" s="53"/>
      <c r="M8" s="53"/>
      <c r="O8" s="52" t="s">
        <v>87</v>
      </c>
      <c r="P8" s="53"/>
      <c r="Q8" s="53"/>
      <c r="R8" s="16" t="s">
        <v>86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2:41" ht="5.15" customHeight="1"/>
    <row r="10" spans="2:41">
      <c r="C10" s="21" t="s">
        <v>65</v>
      </c>
      <c r="D10" s="21" t="s">
        <v>65</v>
      </c>
      <c r="E10" s="21" t="s">
        <v>64</v>
      </c>
      <c r="G10" s="40"/>
      <c r="J10" s="21" t="s">
        <v>88</v>
      </c>
      <c r="K10" s="31" t="s">
        <v>59</v>
      </c>
      <c r="L10" s="31" t="s">
        <v>59</v>
      </c>
      <c r="M10" s="31" t="s">
        <v>59</v>
      </c>
      <c r="O10" s="3" t="s">
        <v>68</v>
      </c>
      <c r="P10" s="6" t="s">
        <v>76</v>
      </c>
      <c r="Q10" s="6"/>
      <c r="S10" s="6">
        <v>1996</v>
      </c>
      <c r="T10">
        <f>+S10+1</f>
        <v>1997</v>
      </c>
      <c r="U10">
        <f t="shared" ref="U10:AO10" si="0">+T10+1</f>
        <v>1998</v>
      </c>
      <c r="V10">
        <f t="shared" si="0"/>
        <v>1999</v>
      </c>
      <c r="W10">
        <f t="shared" si="0"/>
        <v>2000</v>
      </c>
      <c r="X10">
        <f t="shared" si="0"/>
        <v>2001</v>
      </c>
      <c r="Y10">
        <f t="shared" si="0"/>
        <v>2002</v>
      </c>
      <c r="Z10">
        <f t="shared" si="0"/>
        <v>2003</v>
      </c>
      <c r="AA10">
        <f t="shared" si="0"/>
        <v>2004</v>
      </c>
      <c r="AB10">
        <f t="shared" si="0"/>
        <v>2005</v>
      </c>
      <c r="AC10">
        <f t="shared" si="0"/>
        <v>2006</v>
      </c>
      <c r="AD10">
        <f t="shared" si="0"/>
        <v>2007</v>
      </c>
      <c r="AE10">
        <f t="shared" si="0"/>
        <v>2008</v>
      </c>
      <c r="AF10">
        <f t="shared" si="0"/>
        <v>2009</v>
      </c>
      <c r="AG10">
        <f t="shared" si="0"/>
        <v>2010</v>
      </c>
      <c r="AH10">
        <f t="shared" si="0"/>
        <v>2011</v>
      </c>
      <c r="AI10">
        <f t="shared" si="0"/>
        <v>2012</v>
      </c>
      <c r="AJ10">
        <f t="shared" si="0"/>
        <v>2013</v>
      </c>
      <c r="AK10">
        <f t="shared" si="0"/>
        <v>2014</v>
      </c>
      <c r="AL10">
        <f t="shared" si="0"/>
        <v>2015</v>
      </c>
      <c r="AM10">
        <f t="shared" si="0"/>
        <v>2016</v>
      </c>
      <c r="AN10">
        <f t="shared" si="0"/>
        <v>2017</v>
      </c>
      <c r="AO10">
        <f t="shared" si="0"/>
        <v>2018</v>
      </c>
    </row>
    <row r="11" spans="2:41">
      <c r="C11" s="21" t="s">
        <v>0</v>
      </c>
      <c r="D11" s="21" t="s">
        <v>66</v>
      </c>
      <c r="E11" s="34">
        <f ca="1">+C82</f>
        <v>192.91791555772798</v>
      </c>
      <c r="G11" s="40"/>
      <c r="J11" s="21" t="s">
        <v>54</v>
      </c>
      <c r="K11" s="21" t="s">
        <v>57</v>
      </c>
      <c r="L11" s="21" t="s">
        <v>56</v>
      </c>
      <c r="M11" s="21" t="s">
        <v>99</v>
      </c>
      <c r="O11" s="3" t="s">
        <v>69</v>
      </c>
      <c r="P11" s="6" t="s">
        <v>248</v>
      </c>
      <c r="Q11" s="6"/>
      <c r="R11" s="5" t="str">
        <f>("World-"&amp;$P$10)</f>
        <v>World-Consumer, Cyclical</v>
      </c>
      <c r="S11" s="4">
        <v>50.193729443967264</v>
      </c>
      <c r="T11" s="4">
        <v>12.626832281494556</v>
      </c>
      <c r="U11" s="4">
        <v>9.1372159900795022</v>
      </c>
      <c r="V11" s="4">
        <v>9.2045496825498425</v>
      </c>
      <c r="W11" s="4">
        <v>8.605287658317943</v>
      </c>
      <c r="X11" s="4">
        <v>8.5205411300041725</v>
      </c>
      <c r="Y11" s="4">
        <v>7.5450656703112937</v>
      </c>
      <c r="Z11" s="4">
        <v>9.6210886196234515</v>
      </c>
      <c r="AA11" s="4">
        <v>12.106896259880505</v>
      </c>
      <c r="AB11" s="4">
        <v>12.588865851883696</v>
      </c>
      <c r="AC11" s="4">
        <v>15.037805305204124</v>
      </c>
      <c r="AD11" s="4">
        <v>12.095509806116453</v>
      </c>
      <c r="AE11" s="4">
        <v>12.363307235511565</v>
      </c>
      <c r="AF11" s="4">
        <v>6.2440247551393346</v>
      </c>
      <c r="AG11" s="4">
        <v>9.5259269039364387</v>
      </c>
      <c r="AH11" s="4">
        <v>11.870298169161902</v>
      </c>
      <c r="AI11" s="4">
        <v>11.794868876123138</v>
      </c>
      <c r="AJ11" s="4">
        <v>12.60623361256669</v>
      </c>
      <c r="AK11" s="4">
        <v>12.806290402606066</v>
      </c>
      <c r="AL11" s="4">
        <v>13.437645135726289</v>
      </c>
      <c r="AM11" s="4">
        <v>12.103629698920271</v>
      </c>
      <c r="AN11" s="4">
        <v>12.376292303385718</v>
      </c>
      <c r="AO11" s="4">
        <v>12.367682419294173</v>
      </c>
    </row>
    <row r="12" spans="2:41" ht="15" thickBot="1">
      <c r="B12" s="3" t="s">
        <v>61</v>
      </c>
      <c r="C12" s="32">
        <f t="array" ref="C12:C14">TRANSPOSE(J23:L23)</f>
        <v>21.462469315134136</v>
      </c>
      <c r="D12" s="33">
        <f t="array" ref="D12:D14">TRANSPOSE(J36:L36)</f>
        <v>3.5000000000000003E-2</v>
      </c>
      <c r="E12" s="48">
        <f t="dataTable" ref="E12:E14" dt2D="0" dtr="0" r1="L85" ca="1"/>
        <v>169.80405937543972</v>
      </c>
      <c r="G12" s="3" t="str">
        <f>("World-"&amp;$P$10)</f>
        <v>World-Consumer, Cyclical</v>
      </c>
      <c r="J12" s="42">
        <v>232.30434782608697</v>
      </c>
      <c r="K12" s="43">
        <v>0.13959944077420991</v>
      </c>
      <c r="L12" s="43">
        <v>0.12816503791817582</v>
      </c>
      <c r="M12" s="43">
        <v>0.58406343998581367</v>
      </c>
      <c r="O12" s="3" t="s">
        <v>70</v>
      </c>
      <c r="P12" s="6" t="s">
        <v>81</v>
      </c>
      <c r="Q12" s="6"/>
      <c r="R12" s="5" t="str">
        <f>($P$12&amp;"-"&amp;$P$10)</f>
        <v>UNITED STATES-Consumer, Cyclical</v>
      </c>
      <c r="S12" s="4">
        <v>12.270458057754485</v>
      </c>
      <c r="T12" s="4">
        <v>13.040282238947619</v>
      </c>
      <c r="U12" s="4">
        <v>12.700225601558477</v>
      </c>
      <c r="V12" s="4">
        <v>12.234493941336973</v>
      </c>
      <c r="W12" s="4">
        <v>12.407645010004318</v>
      </c>
      <c r="X12" s="4">
        <v>10.991690611774731</v>
      </c>
      <c r="Y12" s="4">
        <v>7.5403368376426387</v>
      </c>
      <c r="Z12" s="4">
        <v>12.022010781976284</v>
      </c>
      <c r="AA12" s="4">
        <v>15.548215523559447</v>
      </c>
      <c r="AB12" s="4">
        <v>14.735856874141936</v>
      </c>
      <c r="AC12" s="4">
        <v>15.437015582335663</v>
      </c>
      <c r="AD12" s="4">
        <v>13.810267181702597</v>
      </c>
      <c r="AE12" s="4">
        <v>4.6135465046174922</v>
      </c>
      <c r="AF12" s="4">
        <v>10.281157271213115</v>
      </c>
      <c r="AG12" s="4">
        <v>11.3496892380661</v>
      </c>
      <c r="AH12" s="4">
        <v>15.944426969329047</v>
      </c>
      <c r="AI12" s="4">
        <v>16.37637853459907</v>
      </c>
      <c r="AJ12" s="4">
        <v>17.029399746676077</v>
      </c>
      <c r="AK12" s="4">
        <v>16.160081961802675</v>
      </c>
      <c r="AL12" s="4">
        <v>18.198735348922121</v>
      </c>
      <c r="AM12" s="4">
        <v>14.305613437203961</v>
      </c>
      <c r="AN12" s="4">
        <v>13.857168496008109</v>
      </c>
      <c r="AO12" s="4">
        <v>15.291544373205301</v>
      </c>
    </row>
    <row r="13" spans="2:41" ht="15" thickBot="1">
      <c r="B13" s="3" t="s">
        <v>63</v>
      </c>
      <c r="C13" s="32">
        <v>24.68023890259143</v>
      </c>
      <c r="D13" s="33">
        <v>0.04</v>
      </c>
      <c r="E13" s="144">
        <v>192.91791555772798</v>
      </c>
      <c r="G13" s="3" t="str">
        <f>($P$12&amp;"-"&amp;$P$10)</f>
        <v>UNITED STATES-Consumer, Cyclical</v>
      </c>
      <c r="J13" s="42">
        <v>69.086956521739125</v>
      </c>
      <c r="K13" s="43">
        <v>0.19116856254316492</v>
      </c>
      <c r="L13" s="43">
        <v>0.13310706092364272</v>
      </c>
      <c r="M13" s="43">
        <v>0.21957157165601782</v>
      </c>
      <c r="O13" s="3" t="s">
        <v>72</v>
      </c>
      <c r="P13" s="6" t="s">
        <v>55</v>
      </c>
      <c r="Q13" s="6"/>
      <c r="R13" s="5" t="str">
        <f>("World-"&amp;$P$11)</f>
        <v>World-Retail</v>
      </c>
      <c r="S13" s="4">
        <v>9.4887328969132216</v>
      </c>
      <c r="T13" s="4">
        <v>13.679211228433809</v>
      </c>
      <c r="U13" s="4">
        <v>9.9832273952921575</v>
      </c>
      <c r="V13" s="4">
        <v>11.041506466647286</v>
      </c>
      <c r="W13" s="4">
        <v>10.080741851806195</v>
      </c>
      <c r="X13" s="4">
        <v>9.51872076996532</v>
      </c>
      <c r="Y13" s="4">
        <v>11.711392212363309</v>
      </c>
      <c r="Z13" s="4">
        <v>11.689429457364104</v>
      </c>
      <c r="AA13" s="4">
        <v>12.559230388284695</v>
      </c>
      <c r="AB13" s="4">
        <v>14.894431927057639</v>
      </c>
      <c r="AC13" s="4">
        <v>16.282045556955765</v>
      </c>
      <c r="AD13" s="4">
        <v>13.985420825351213</v>
      </c>
      <c r="AE13" s="4">
        <v>13.407793079164046</v>
      </c>
      <c r="AF13" s="4">
        <v>12.454332418717071</v>
      </c>
      <c r="AG13" s="4">
        <v>14.544960667958167</v>
      </c>
      <c r="AH13" s="4">
        <v>15.349706018294842</v>
      </c>
      <c r="AI13" s="4">
        <v>15.478215166462268</v>
      </c>
      <c r="AJ13" s="4">
        <v>15.452968136277882</v>
      </c>
      <c r="AK13" s="4">
        <v>16.143355900189814</v>
      </c>
      <c r="AL13" s="4">
        <v>16.975683652324328</v>
      </c>
      <c r="AM13" s="4">
        <v>15.790479284660822</v>
      </c>
      <c r="AN13" s="4">
        <v>16.657087735335043</v>
      </c>
      <c r="AO13" s="4">
        <v>17.661964391325135</v>
      </c>
    </row>
    <row r="14" spans="2:41">
      <c r="B14" s="3" t="s">
        <v>62</v>
      </c>
      <c r="C14" s="32">
        <v>28.709302685973984</v>
      </c>
      <c r="D14" s="33">
        <v>4.4999999999999998E-2</v>
      </c>
      <c r="E14" s="48">
        <v>221.91692409653749</v>
      </c>
      <c r="G14" s="3" t="str">
        <f>("World-"&amp;$P$11)</f>
        <v>World-Retail</v>
      </c>
      <c r="J14" s="42">
        <v>74.304347826086953</v>
      </c>
      <c r="K14" s="43">
        <v>0.18084317318247131</v>
      </c>
      <c r="L14" s="43">
        <v>0.13688288583788874</v>
      </c>
      <c r="M14" s="43">
        <v>0.30059551527872613</v>
      </c>
      <c r="R14" s="5" t="str">
        <f>($P$12&amp;"-"&amp;$P$11)</f>
        <v>UNITED STATES-Retail</v>
      </c>
      <c r="S14" s="4">
        <v>11.441943167999483</v>
      </c>
      <c r="T14" s="4">
        <v>12.323718986891127</v>
      </c>
      <c r="U14" s="4">
        <v>12.746270328951917</v>
      </c>
      <c r="V14" s="4">
        <v>14.342529876013945</v>
      </c>
      <c r="W14" s="4">
        <v>16.716142268159576</v>
      </c>
      <c r="X14" s="4">
        <v>12.916850058274552</v>
      </c>
      <c r="Y14" s="4">
        <v>12.821398321044798</v>
      </c>
      <c r="Z14" s="4">
        <v>13.415223254756047</v>
      </c>
      <c r="AA14" s="4">
        <v>13.824616064354831</v>
      </c>
      <c r="AB14" s="4">
        <v>15.868815523271854</v>
      </c>
      <c r="AC14" s="4">
        <v>16.693003631872532</v>
      </c>
      <c r="AD14" s="4">
        <v>15.286396303556769</v>
      </c>
      <c r="AE14" s="4">
        <v>14.739713886103029</v>
      </c>
      <c r="AF14" s="4">
        <v>13.455896242584105</v>
      </c>
      <c r="AG14" s="4">
        <v>15.517895892883388</v>
      </c>
      <c r="AH14" s="4">
        <v>17.321956986602579</v>
      </c>
      <c r="AI14" s="4">
        <v>16.384633901483284</v>
      </c>
      <c r="AJ14" s="4">
        <v>16.166641398324934</v>
      </c>
      <c r="AK14" s="4">
        <v>18.34439789400226</v>
      </c>
      <c r="AL14" s="4">
        <v>19.037053506016125</v>
      </c>
      <c r="AM14" s="4">
        <v>17.499752954387546</v>
      </c>
      <c r="AN14" s="4">
        <v>19.549359793642573</v>
      </c>
      <c r="AO14" s="4">
        <v>24.049235775719406</v>
      </c>
    </row>
    <row r="15" spans="2:41">
      <c r="G15" s="3" t="str">
        <f>($P$12&amp;"-"&amp;$P$11)</f>
        <v>UNITED STATES-Retail</v>
      </c>
      <c r="J15" s="42">
        <v>32.260869565217391</v>
      </c>
      <c r="K15" s="43">
        <v>0.21826970310844346</v>
      </c>
      <c r="L15" s="43">
        <v>0.15672323739865071</v>
      </c>
      <c r="M15" s="43">
        <v>4.9968020946565661E-2</v>
      </c>
    </row>
    <row r="16" spans="2:41">
      <c r="G16" s="3" t="s">
        <v>60</v>
      </c>
      <c r="J16" s="125" t="s">
        <v>41</v>
      </c>
      <c r="K16" s="126" t="s">
        <v>41</v>
      </c>
      <c r="L16" s="126" t="s">
        <v>41</v>
      </c>
      <c r="M16" s="127" t="s">
        <v>41</v>
      </c>
    </row>
    <row r="17" spans="2:22">
      <c r="G17" s="3" t="s">
        <v>85</v>
      </c>
      <c r="J17" s="151" t="s">
        <v>41</v>
      </c>
      <c r="K17" s="151" t="s">
        <v>41</v>
      </c>
      <c r="L17" s="49">
        <f>+K40</f>
        <v>0.153421268588741</v>
      </c>
      <c r="M17" s="49">
        <f ca="1">IFERROR(-M65/M61,"na")</f>
        <v>0.27008667143502174</v>
      </c>
    </row>
    <row r="18" spans="2:22" ht="5.15" customHeight="1"/>
    <row r="19" spans="2:22">
      <c r="B19" s="52" t="s">
        <v>11</v>
      </c>
      <c r="C19" s="53"/>
      <c r="D19" s="53"/>
      <c r="E19" s="53"/>
      <c r="G19" s="52" t="s">
        <v>48</v>
      </c>
      <c r="H19" s="53"/>
      <c r="I19" s="53"/>
      <c r="J19" s="53"/>
      <c r="K19" s="53"/>
      <c r="L19" s="53"/>
      <c r="M19" s="53"/>
    </row>
    <row r="20" spans="2:22" ht="5.15" customHeight="1"/>
    <row r="21" spans="2:22">
      <c r="B21" t="s">
        <v>30</v>
      </c>
      <c r="C21" s="40">
        <v>2021</v>
      </c>
      <c r="J21" s="21" t="s">
        <v>42</v>
      </c>
      <c r="K21" s="215" t="s">
        <v>43</v>
      </c>
      <c r="L21" s="215" t="s">
        <v>44</v>
      </c>
    </row>
    <row r="22" spans="2:22">
      <c r="B22" t="s">
        <v>31</v>
      </c>
      <c r="C22" s="51">
        <v>0.02</v>
      </c>
      <c r="G22" t="s">
        <v>53</v>
      </c>
      <c r="J22" s="35">
        <f>+J36</f>
        <v>3.5000000000000003E-2</v>
      </c>
      <c r="K22" s="216">
        <f>+K36</f>
        <v>0.04</v>
      </c>
      <c r="L22" s="216">
        <f>+L36</f>
        <v>4.4999999999999998E-2</v>
      </c>
    </row>
    <row r="23" spans="2:22">
      <c r="B23" t="s">
        <v>32</v>
      </c>
      <c r="C23" s="51">
        <v>0.06</v>
      </c>
      <c r="G23" s="36" t="s">
        <v>0</v>
      </c>
      <c r="H23" s="36"/>
      <c r="I23" s="37">
        <f ca="1">+$L$83</f>
        <v>24.680238668894152</v>
      </c>
      <c r="J23" s="38">
        <f t="dataTable" ref="J23:L23" dt2D="0" dtr="1" r1="L85" ca="1"/>
        <v>21.462469315134136</v>
      </c>
      <c r="K23" s="217">
        <v>24.68023890259143</v>
      </c>
      <c r="L23" s="217">
        <v>28.709302685973984</v>
      </c>
    </row>
    <row r="24" spans="2:22">
      <c r="B24" t="s">
        <v>3</v>
      </c>
      <c r="C24" s="173">
        <v>1</v>
      </c>
      <c r="G24" s="36"/>
      <c r="H24" s="36"/>
      <c r="I24" s="36"/>
      <c r="J24" s="39"/>
      <c r="K24" s="39"/>
      <c r="L24" s="39"/>
    </row>
    <row r="25" spans="2:22">
      <c r="B25" t="s">
        <v>2</v>
      </c>
      <c r="C25" s="1">
        <f>+C22+C23*C24</f>
        <v>0.08</v>
      </c>
      <c r="G25" s="52" t="s">
        <v>227</v>
      </c>
      <c r="H25" s="53"/>
      <c r="I25" s="53"/>
      <c r="J25" s="53"/>
      <c r="K25" s="53"/>
      <c r="L25" s="53"/>
      <c r="M25" s="53"/>
    </row>
    <row r="26" spans="2:22">
      <c r="B26" t="s">
        <v>33</v>
      </c>
      <c r="C26" s="17">
        <v>5.5E-2</v>
      </c>
      <c r="G26" s="155" t="s">
        <v>228</v>
      </c>
      <c r="H26" s="36"/>
      <c r="I26" s="36"/>
      <c r="J26" s="36"/>
      <c r="K26" s="38">
        <f>+Model!AK359</f>
        <v>1.5</v>
      </c>
      <c r="L26" s="36"/>
      <c r="M26" s="36"/>
    </row>
    <row r="27" spans="2:22">
      <c r="B27" t="s">
        <v>98</v>
      </c>
      <c r="C27" s="51">
        <v>0.02</v>
      </c>
      <c r="G27" s="155" t="s">
        <v>229</v>
      </c>
      <c r="H27" s="36"/>
      <c r="I27" s="36"/>
      <c r="J27" s="36"/>
      <c r="K27" s="43">
        <f ca="1">IFERROR((-L76)/L75,0.1)</f>
        <v>0.17320799095343137</v>
      </c>
      <c r="L27" s="36"/>
      <c r="M27" s="36"/>
    </row>
    <row r="28" spans="2:22">
      <c r="B28" t="s">
        <v>100</v>
      </c>
      <c r="C28" s="17">
        <v>2.5000000000000001E-2</v>
      </c>
      <c r="G28" s="155" t="s">
        <v>226</v>
      </c>
      <c r="H28" s="36"/>
      <c r="I28" s="36"/>
      <c r="J28" s="36"/>
      <c r="K28" s="210">
        <f ca="1">+K27*C33+D37*C26+(1-K27-D37)*C25</f>
        <v>7.2145017610261875E-2</v>
      </c>
      <c r="L28" s="36"/>
      <c r="M28" s="36"/>
    </row>
    <row r="29" spans="2:22">
      <c r="B29" t="s">
        <v>34</v>
      </c>
      <c r="C29" s="47">
        <f>+C27+C28</f>
        <v>4.4999999999999998E-2</v>
      </c>
      <c r="G29" s="36"/>
      <c r="H29" s="36"/>
      <c r="I29" s="36"/>
      <c r="J29" s="36"/>
      <c r="K29" s="36"/>
      <c r="L29" s="36"/>
      <c r="M29" s="36"/>
      <c r="O29" s="3"/>
      <c r="P29" s="24"/>
      <c r="Q29" s="24"/>
      <c r="R29" s="24"/>
      <c r="S29" s="24"/>
      <c r="T29" s="24"/>
      <c r="U29" s="24"/>
      <c r="V29" s="24"/>
    </row>
    <row r="30" spans="2:22" ht="5.15" customHeight="1">
      <c r="C30" s="116"/>
      <c r="G30" s="36"/>
      <c r="H30" s="36"/>
      <c r="I30" s="36"/>
      <c r="J30" s="36"/>
      <c r="K30" s="36"/>
      <c r="L30" s="36"/>
      <c r="M30" s="36"/>
      <c r="P30" s="24"/>
    </row>
    <row r="31" spans="2:22">
      <c r="B31" t="s">
        <v>5</v>
      </c>
      <c r="C31" s="165">
        <v>0.23</v>
      </c>
      <c r="G31" s="52" t="s">
        <v>49</v>
      </c>
      <c r="H31" s="53"/>
      <c r="I31" s="53"/>
      <c r="J31" s="53"/>
      <c r="K31" s="53"/>
      <c r="L31" s="53"/>
      <c r="M31" s="53"/>
      <c r="O31" s="3"/>
      <c r="P31" s="24"/>
      <c r="Q31" s="24"/>
      <c r="R31" s="24"/>
      <c r="S31" s="24"/>
      <c r="T31" s="24"/>
      <c r="U31" s="24"/>
      <c r="V31" s="24"/>
    </row>
    <row r="32" spans="2:22" ht="5.15" customHeight="1"/>
    <row r="33" spans="2:22">
      <c r="B33" t="s">
        <v>35</v>
      </c>
      <c r="C33" s="128">
        <f>+C29*(1-C31)</f>
        <v>3.465E-2</v>
      </c>
      <c r="J33" s="21" t="s">
        <v>42</v>
      </c>
      <c r="K33" s="22" t="s">
        <v>43</v>
      </c>
      <c r="L33" s="21" t="s">
        <v>44</v>
      </c>
    </row>
    <row r="34" spans="2:22">
      <c r="B34" t="s">
        <v>22</v>
      </c>
      <c r="C34" s="129">
        <f>+C81</f>
        <v>175.56</v>
      </c>
      <c r="D34" s="14"/>
      <c r="G34" t="s">
        <v>31</v>
      </c>
      <c r="I34" s="29"/>
      <c r="J34" s="30">
        <f>+$C$22</f>
        <v>0.02</v>
      </c>
      <c r="K34" s="25">
        <f t="shared" ref="K34:L34" si="1">+$C$22</f>
        <v>0.02</v>
      </c>
      <c r="L34" s="30">
        <f t="shared" si="1"/>
        <v>0.02</v>
      </c>
      <c r="M34" s="27"/>
    </row>
    <row r="35" spans="2:22">
      <c r="B35" t="s">
        <v>36</v>
      </c>
      <c r="C35" s="206">
        <v>272</v>
      </c>
      <c r="D35" s="14"/>
      <c r="E35" s="192"/>
      <c r="G35" t="s">
        <v>97</v>
      </c>
      <c r="I35" s="29"/>
      <c r="J35" s="171">
        <v>1.4999999999999999E-2</v>
      </c>
      <c r="K35" s="172">
        <v>0.02</v>
      </c>
      <c r="L35" s="171">
        <v>2.5000000000000001E-2</v>
      </c>
      <c r="M35" s="27"/>
    </row>
    <row r="36" spans="2:22">
      <c r="B36" t="s">
        <v>21</v>
      </c>
      <c r="C36" s="7">
        <f>+C35*C34</f>
        <v>47752.32</v>
      </c>
      <c r="D36" s="14">
        <f>+C36/SUM($C$36:$C$38)</f>
        <v>0.96518784098657084</v>
      </c>
      <c r="G36" t="s">
        <v>53</v>
      </c>
      <c r="I36" s="29"/>
      <c r="J36" s="166">
        <f>+J34+J35</f>
        <v>3.5000000000000003E-2</v>
      </c>
      <c r="K36" s="167">
        <f t="shared" ref="K36:L36" si="2">+K34+K35</f>
        <v>0.04</v>
      </c>
      <c r="L36" s="166">
        <f t="shared" si="2"/>
        <v>4.4999999999999998E-2</v>
      </c>
      <c r="M36" s="27"/>
    </row>
    <row r="37" spans="2:22">
      <c r="B37" t="s">
        <v>37</v>
      </c>
      <c r="C37" s="130">
        <f>-C77</f>
        <v>0</v>
      </c>
      <c r="D37" s="14">
        <f>+C37/SUM($C$36:$C$38)</f>
        <v>0</v>
      </c>
      <c r="G37" t="s">
        <v>90</v>
      </c>
      <c r="I37" s="27"/>
      <c r="J37" s="44">
        <f>+J36/J40</f>
        <v>0.27254052529324213</v>
      </c>
      <c r="K37" s="45">
        <f>+K36/K40</f>
        <v>0.26072004467140386</v>
      </c>
      <c r="L37" s="46">
        <f>+L36/L40</f>
        <v>0.25221208410822643</v>
      </c>
      <c r="M37" s="27"/>
    </row>
    <row r="38" spans="2:22">
      <c r="B38" t="s">
        <v>38</v>
      </c>
      <c r="C38" s="131">
        <f>-C76</f>
        <v>1722.3190000000002</v>
      </c>
      <c r="D38" s="14">
        <f>+C38/SUM($C$36:$C$38)</f>
        <v>3.4812159013429086E-2</v>
      </c>
      <c r="G38" t="s">
        <v>51</v>
      </c>
      <c r="I38" s="27"/>
      <c r="J38" s="28">
        <f>+$C$42</f>
        <v>7.8421268588740989E-2</v>
      </c>
      <c r="K38" s="25">
        <f>+$C$42</f>
        <v>7.8421268588740989E-2</v>
      </c>
      <c r="L38" s="26">
        <f>+$C$42</f>
        <v>7.8421268588740989E-2</v>
      </c>
      <c r="M38" s="27"/>
    </row>
    <row r="39" spans="2:22" ht="15.75" customHeight="1">
      <c r="G39" t="s">
        <v>52</v>
      </c>
      <c r="I39" s="27"/>
      <c r="J39" s="168">
        <v>0.05</v>
      </c>
      <c r="K39" s="169">
        <v>7.4999999999999997E-2</v>
      </c>
      <c r="L39" s="170">
        <v>0.1</v>
      </c>
      <c r="M39" s="27"/>
    </row>
    <row r="40" spans="2:22" ht="15" thickBot="1">
      <c r="B40" t="s">
        <v>11</v>
      </c>
      <c r="C40" s="18">
        <f>+(D36*C25)+(D37*C26)+(C33*D38)</f>
        <v>7.8421268588740989E-2</v>
      </c>
      <c r="G40" s="2" t="s">
        <v>67</v>
      </c>
      <c r="H40" s="2"/>
      <c r="I40" s="2"/>
      <c r="J40" s="23">
        <f>+J39+J38</f>
        <v>0.12842126858874098</v>
      </c>
      <c r="K40" s="23">
        <f>+K39+K38</f>
        <v>0.153421268588741</v>
      </c>
      <c r="L40" s="23">
        <f>+L39+L38</f>
        <v>0.17842126858874099</v>
      </c>
    </row>
    <row r="41" spans="2:22" ht="15" thickBot="1">
      <c r="B41" t="s">
        <v>39</v>
      </c>
      <c r="C41" s="19"/>
      <c r="G41" s="3" t="s">
        <v>91</v>
      </c>
      <c r="J41" s="35">
        <f t="shared" ref="J41" ca="1" si="3">(18.94-23.62*(-$M$65/$M$61)+12.19*((-$M$65/$M$61)^2))/100</f>
        <v>0.13449774435663481</v>
      </c>
      <c r="K41" s="35">
        <f ca="1">(18.94-23.62*(-$M$65/$M$61)+12.19*((-$M$65/$M$61)^2))/100</f>
        <v>0.13449774435663481</v>
      </c>
      <c r="L41" s="35">
        <f t="shared" ref="L41" ca="1" si="4">(18.94-23.62*(-$M$65/$M$61)+12.19*((-$M$65/$M$61)^2))/100</f>
        <v>0.13449774435663481</v>
      </c>
    </row>
    <row r="42" spans="2:22">
      <c r="B42" t="s">
        <v>40</v>
      </c>
      <c r="C42" s="20">
        <f>+IF(ISBLANK(C41)=TRUE,C40,C41)</f>
        <v>7.8421268588740989E-2</v>
      </c>
      <c r="O42" s="3"/>
      <c r="P42" s="24"/>
      <c r="Q42" s="24"/>
      <c r="R42" s="24"/>
      <c r="S42" s="24"/>
      <c r="T42" s="24"/>
      <c r="U42" s="24"/>
      <c r="V42" s="24"/>
    </row>
    <row r="43" spans="2:22" ht="5.15" customHeight="1"/>
    <row r="44" spans="2:22">
      <c r="B44" s="52" t="s">
        <v>29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</row>
    <row r="45" spans="2:22" ht="5.15" customHeight="1"/>
    <row r="46" spans="2:22">
      <c r="B46" s="5" t="s">
        <v>11</v>
      </c>
      <c r="C46" s="209">
        <f>+C42</f>
        <v>7.8421268588740989E-2</v>
      </c>
      <c r="D46" s="209">
        <f ca="1">C46-($C$46-$L$46)/8</f>
        <v>7.7636737216431106E-2</v>
      </c>
      <c r="E46" s="209">
        <f t="shared" ref="E46:K46" ca="1" si="5">D46-($C$46-$L$46)/8</f>
        <v>7.6852205844121224E-2</v>
      </c>
      <c r="F46" s="209">
        <f t="shared" ca="1" si="5"/>
        <v>7.6067674471811342E-2</v>
      </c>
      <c r="G46" s="209">
        <f t="shared" ca="1" si="5"/>
        <v>7.5283143099501459E-2</v>
      </c>
      <c r="H46" s="209">
        <f t="shared" ca="1" si="5"/>
        <v>7.4498611727191577E-2</v>
      </c>
      <c r="I46" s="209">
        <f t="shared" ca="1" si="5"/>
        <v>7.3714080354881695E-2</v>
      </c>
      <c r="J46" s="209">
        <f t="shared" ca="1" si="5"/>
        <v>7.2929548982571812E-2</v>
      </c>
      <c r="K46" s="209">
        <f t="shared" ca="1" si="5"/>
        <v>7.214501761026193E-2</v>
      </c>
      <c r="L46" s="51">
        <f ca="1">+K28</f>
        <v>7.2145017610261875E-2</v>
      </c>
      <c r="M46" s="209">
        <f ca="1">+L46</f>
        <v>7.2145017610261875E-2</v>
      </c>
    </row>
    <row r="47" spans="2:22">
      <c r="B47" s="5" t="s">
        <v>14</v>
      </c>
      <c r="C47" s="211">
        <f ca="1">IF($C$21&lt;YEAR(TODAY()),1+(DAY(TODAY())+MONTH(TODAY())*30-30)/365,(DAY(TODAY())+MONTH(TODAY())*30-30)/365)</f>
        <v>0.41369863013698632</v>
      </c>
      <c r="D47" s="36"/>
    </row>
    <row r="48" spans="2:22">
      <c r="B48" t="s">
        <v>13</v>
      </c>
      <c r="C48" s="212">
        <v>0.5</v>
      </c>
      <c r="D48" s="36"/>
      <c r="O48" s="15"/>
      <c r="P48" s="15"/>
      <c r="Q48" s="15"/>
      <c r="R48" s="15"/>
      <c r="S48" s="15"/>
      <c r="T48" s="15"/>
      <c r="U48" s="15"/>
      <c r="V48" s="15"/>
    </row>
    <row r="49" spans="2:16383" ht="5.15" customHeight="1"/>
    <row r="50" spans="2:16383">
      <c r="B50" s="54" t="s">
        <v>9</v>
      </c>
      <c r="C50" s="54">
        <v>1</v>
      </c>
      <c r="D50" s="54">
        <f>+C50+1</f>
        <v>2</v>
      </c>
      <c r="E50" s="54">
        <f>+D50+1</f>
        <v>3</v>
      </c>
      <c r="F50" s="54">
        <f>+E50+1</f>
        <v>4</v>
      </c>
      <c r="G50" s="54">
        <f>+F50+1</f>
        <v>5</v>
      </c>
      <c r="H50" s="54">
        <f>+G50+1</f>
        <v>6</v>
      </c>
      <c r="I50" s="54">
        <f t="shared" ref="I50:M50" si="6">+H50+1</f>
        <v>7</v>
      </c>
      <c r="J50" s="54">
        <f t="shared" si="6"/>
        <v>8</v>
      </c>
      <c r="K50" s="54">
        <f t="shared" si="6"/>
        <v>9</v>
      </c>
      <c r="L50" s="54">
        <f t="shared" si="6"/>
        <v>10</v>
      </c>
      <c r="M50" s="54">
        <f t="shared" si="6"/>
        <v>11</v>
      </c>
    </row>
    <row r="51" spans="2:16383">
      <c r="B51" s="54" t="s">
        <v>8</v>
      </c>
      <c r="C51" s="54">
        <f>+C21</f>
        <v>2021</v>
      </c>
      <c r="D51" s="54">
        <f>+C51+1</f>
        <v>2022</v>
      </c>
      <c r="E51" s="54">
        <f t="shared" ref="E51:L51" si="7">+D51+1</f>
        <v>2023</v>
      </c>
      <c r="F51" s="54">
        <f t="shared" si="7"/>
        <v>2024</v>
      </c>
      <c r="G51" s="54">
        <f>+F51+1</f>
        <v>2025</v>
      </c>
      <c r="H51" s="54">
        <f t="shared" si="7"/>
        <v>2026</v>
      </c>
      <c r="I51" s="54">
        <f t="shared" si="7"/>
        <v>2027</v>
      </c>
      <c r="J51" s="54">
        <f t="shared" si="7"/>
        <v>2028</v>
      </c>
      <c r="K51" s="54">
        <f t="shared" si="7"/>
        <v>2029</v>
      </c>
      <c r="L51" s="54">
        <f t="shared" si="7"/>
        <v>2030</v>
      </c>
      <c r="M51" s="54">
        <f>+L51+1</f>
        <v>2031</v>
      </c>
      <c r="O51" s="15"/>
      <c r="P51" s="15"/>
      <c r="Q51" s="15"/>
      <c r="R51" s="15"/>
      <c r="S51" s="15"/>
      <c r="T51" s="15"/>
      <c r="U51" s="15"/>
      <c r="V51" s="15"/>
    </row>
    <row r="52" spans="2:16383" ht="5.15" customHeight="1"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2:16383">
      <c r="B53" t="s">
        <v>25</v>
      </c>
      <c r="C53" s="120">
        <f ca="1">+INDEX(Model!$A:$AP,MATCH("EPS",Model!$A:$A,0),MATCH(DCF!C$51,Model!$3:$3,0))</f>
        <v>-2.5999732358805763</v>
      </c>
      <c r="D53" s="120">
        <f ca="1">+INDEX(Model!$A:$AP,MATCH("EPS",Model!$A:$A,0),MATCH(DCF!D$51,Model!$3:$3,0))</f>
        <v>-1.9626904869683426</v>
      </c>
      <c r="E53" s="120">
        <f ca="1">+INDEX(Model!$A:$AP,MATCH("EPS",Model!$A:$A,0),MATCH(DCF!E$51,Model!$3:$3,0))</f>
        <v>-1.1426445406291843</v>
      </c>
      <c r="F53" s="120">
        <f ca="1">+INDEX(Model!$A:$AP,MATCH("EPS",Model!$A:$A,0),MATCH(DCF!F$51,Model!$3:$3,0))</f>
        <v>0.12721560203435944</v>
      </c>
      <c r="G53" s="120">
        <f ca="1">+INDEX(Model!$A:$AP,MATCH("EPS",Model!$A:$A,0),MATCH(DCF!G$51,Model!$3:$3,0))</f>
        <v>1.4262220816772229</v>
      </c>
      <c r="H53" s="120">
        <f ca="1">+INDEX(Model!$A:$AP,MATCH("EPS",Model!$A:$A,0),MATCH(DCF!H$51,Model!$3:$3,0))</f>
        <v>3.1238823249326821</v>
      </c>
      <c r="I53" s="120">
        <f ca="1">+INDEX(Model!$A:$AP,MATCH("EPS",Model!$A:$A,0),MATCH(DCF!I$51,Model!$3:$3,0))</f>
        <v>5.2061340371284412</v>
      </c>
      <c r="J53" s="120">
        <f ca="1">+INDEX(Model!$A:$AP,MATCH("EPS",Model!$A:$A,0),MATCH(DCF!J$51,Model!$3:$3,0))</f>
        <v>7.5088038017783632</v>
      </c>
      <c r="K53" s="120">
        <f ca="1">+INDEX(Model!$A:$AP,MATCH("EPS",Model!$A:$A,0),MATCH(DCF!K$51,Model!$3:$3,0))</f>
        <v>10.246979278168075</v>
      </c>
      <c r="L53" s="120">
        <f ca="1">+INDEX(Model!$A:$AP,MATCH("EPS",Model!$A:$A,0),MATCH(DCF!L$51,Model!$3:$3,0))</f>
        <v>13.434159995070241</v>
      </c>
      <c r="M53" s="191">
        <f ca="1">+L53*(1+$K$36)</f>
        <v>13.971526394873051</v>
      </c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15"/>
      <c r="AMR53" s="15"/>
      <c r="AMS53" s="15"/>
      <c r="AMT53" s="15"/>
      <c r="AMU53" s="15"/>
      <c r="AMV53" s="15"/>
      <c r="AMW53" s="15"/>
      <c r="AMX53" s="15"/>
      <c r="AMY53" s="15"/>
      <c r="AMZ53" s="15"/>
      <c r="ANA53" s="15"/>
      <c r="ANB53" s="15"/>
      <c r="ANC53" s="15"/>
      <c r="AND53" s="15"/>
      <c r="ANE53" s="15"/>
      <c r="ANF53" s="15"/>
      <c r="ANG53" s="15"/>
      <c r="ANH53" s="15"/>
      <c r="ANI53" s="15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15"/>
      <c r="ANV53" s="15"/>
      <c r="ANW53" s="15"/>
      <c r="ANX53" s="15"/>
      <c r="ANY53" s="15"/>
      <c r="ANZ53" s="15"/>
      <c r="AOA53" s="15"/>
      <c r="AOB53" s="15"/>
      <c r="AOC53" s="15"/>
      <c r="AOD53" s="15"/>
      <c r="AOE53" s="15"/>
      <c r="AOF53" s="15"/>
      <c r="AOG53" s="15"/>
      <c r="AOH53" s="15"/>
      <c r="AOI53" s="15"/>
      <c r="AOJ53" s="15"/>
      <c r="AOK53" s="15"/>
      <c r="AOL53" s="15"/>
      <c r="AOM53" s="15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15"/>
      <c r="AOZ53" s="15"/>
      <c r="APA53" s="15"/>
      <c r="APB53" s="15"/>
      <c r="APC53" s="15"/>
      <c r="APD53" s="15"/>
      <c r="APE53" s="15"/>
      <c r="APF53" s="15"/>
      <c r="APG53" s="15"/>
      <c r="APH53" s="15"/>
      <c r="API53" s="15"/>
      <c r="APJ53" s="15"/>
      <c r="APK53" s="15"/>
      <c r="APL53" s="15"/>
      <c r="APM53" s="15"/>
      <c r="APN53" s="15"/>
      <c r="APO53" s="15"/>
      <c r="APP53" s="15"/>
      <c r="APQ53" s="15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15"/>
      <c r="AQD53" s="15"/>
      <c r="AQE53" s="15"/>
      <c r="AQF53" s="15"/>
      <c r="AQG53" s="15"/>
      <c r="AQH53" s="15"/>
      <c r="AQI53" s="15"/>
      <c r="AQJ53" s="15"/>
      <c r="AQK53" s="15"/>
      <c r="AQL53" s="15"/>
      <c r="AQM53" s="15"/>
      <c r="AQN53" s="15"/>
      <c r="AQO53" s="15"/>
      <c r="AQP53" s="15"/>
      <c r="AQQ53" s="15"/>
      <c r="AQR53" s="15"/>
      <c r="AQS53" s="15"/>
      <c r="AQT53" s="15"/>
      <c r="AQU53" s="15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15"/>
      <c r="ARH53" s="15"/>
      <c r="ARI53" s="15"/>
      <c r="ARJ53" s="15"/>
      <c r="ARK53" s="15"/>
      <c r="ARL53" s="15"/>
      <c r="ARM53" s="15"/>
      <c r="ARN53" s="15"/>
      <c r="ARO53" s="15"/>
      <c r="ARP53" s="15"/>
      <c r="ARQ53" s="15"/>
      <c r="ARR53" s="15"/>
      <c r="ARS53" s="15"/>
      <c r="ART53" s="15"/>
      <c r="ARU53" s="15"/>
      <c r="ARV53" s="15"/>
      <c r="ARW53" s="15"/>
      <c r="ARX53" s="15"/>
      <c r="ARY53" s="15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15"/>
      <c r="ASL53" s="15"/>
      <c r="ASM53" s="15"/>
      <c r="ASN53" s="15"/>
      <c r="ASO53" s="15"/>
      <c r="ASP53" s="15"/>
      <c r="ASQ53" s="15"/>
      <c r="ASR53" s="15"/>
      <c r="ASS53" s="15"/>
      <c r="AST53" s="15"/>
      <c r="ASU53" s="15"/>
      <c r="ASV53" s="15"/>
      <c r="ASW53" s="15"/>
      <c r="ASX53" s="15"/>
      <c r="ASY53" s="15"/>
      <c r="ASZ53" s="15"/>
      <c r="ATA53" s="15"/>
      <c r="ATB53" s="15"/>
      <c r="ATC53" s="15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15"/>
      <c r="ATP53" s="15"/>
      <c r="ATQ53" s="15"/>
      <c r="ATR53" s="15"/>
      <c r="ATS53" s="15"/>
      <c r="ATT53" s="15"/>
      <c r="ATU53" s="15"/>
      <c r="ATV53" s="15"/>
      <c r="ATW53" s="15"/>
      <c r="ATX53" s="15"/>
      <c r="ATY53" s="15"/>
      <c r="ATZ53" s="15"/>
      <c r="AUA53" s="15"/>
      <c r="AUB53" s="15"/>
      <c r="AUC53" s="15"/>
      <c r="AUD53" s="15"/>
      <c r="AUE53" s="15"/>
      <c r="AUF53" s="15"/>
      <c r="AUG53" s="15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15"/>
      <c r="AUT53" s="15"/>
      <c r="AUU53" s="15"/>
      <c r="AUV53" s="15"/>
      <c r="AUW53" s="15"/>
      <c r="AUX53" s="15"/>
      <c r="AUY53" s="15"/>
      <c r="AUZ53" s="15"/>
      <c r="AVA53" s="15"/>
      <c r="AVB53" s="15"/>
      <c r="AVC53" s="15"/>
      <c r="AVD53" s="15"/>
      <c r="AVE53" s="15"/>
      <c r="AVF53" s="15"/>
      <c r="AVG53" s="15"/>
      <c r="AVH53" s="15"/>
      <c r="AVI53" s="15"/>
      <c r="AVJ53" s="15"/>
      <c r="AVK53" s="15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15"/>
      <c r="AVX53" s="15"/>
      <c r="AVY53" s="15"/>
      <c r="AVZ53" s="15"/>
      <c r="AWA53" s="15"/>
      <c r="AWB53" s="15"/>
      <c r="AWC53" s="15"/>
      <c r="AWD53" s="15"/>
      <c r="AWE53" s="15"/>
      <c r="AWF53" s="15"/>
      <c r="AWG53" s="15"/>
      <c r="AWH53" s="15"/>
      <c r="AWI53" s="15"/>
      <c r="AWJ53" s="15"/>
      <c r="AWK53" s="15"/>
      <c r="AWL53" s="15"/>
      <c r="AWM53" s="15"/>
      <c r="AWN53" s="15"/>
      <c r="AWO53" s="15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15"/>
      <c r="AXB53" s="15"/>
      <c r="AXC53" s="15"/>
      <c r="AXD53" s="15"/>
      <c r="AXE53" s="15"/>
      <c r="AXF53" s="15"/>
      <c r="AXG53" s="15"/>
      <c r="AXH53" s="15"/>
      <c r="AXI53" s="15"/>
      <c r="AXJ53" s="15"/>
      <c r="AXK53" s="15"/>
      <c r="AXL53" s="15"/>
      <c r="AXM53" s="15"/>
      <c r="AXN53" s="15"/>
      <c r="AXO53" s="15"/>
      <c r="AXP53" s="15"/>
      <c r="AXQ53" s="15"/>
      <c r="AXR53" s="15"/>
      <c r="AXS53" s="15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15"/>
      <c r="AYF53" s="15"/>
      <c r="AYG53" s="15"/>
      <c r="AYH53" s="15"/>
      <c r="AYI53" s="15"/>
      <c r="AYJ53" s="15"/>
      <c r="AYK53" s="15"/>
      <c r="AYL53" s="15"/>
      <c r="AYM53" s="15"/>
      <c r="AYN53" s="15"/>
      <c r="AYO53" s="15"/>
      <c r="AYP53" s="15"/>
      <c r="AYQ53" s="15"/>
      <c r="AYR53" s="15"/>
      <c r="AYS53" s="15"/>
      <c r="AYT53" s="15"/>
      <c r="AYU53" s="15"/>
      <c r="AYV53" s="15"/>
      <c r="AYW53" s="15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15"/>
      <c r="AZJ53" s="15"/>
      <c r="AZK53" s="15"/>
      <c r="AZL53" s="15"/>
      <c r="AZM53" s="15"/>
      <c r="AZN53" s="15"/>
      <c r="AZO53" s="15"/>
      <c r="AZP53" s="15"/>
      <c r="AZQ53" s="15"/>
      <c r="AZR53" s="15"/>
      <c r="AZS53" s="15"/>
      <c r="AZT53" s="15"/>
      <c r="AZU53" s="15"/>
      <c r="AZV53" s="15"/>
      <c r="AZW53" s="15"/>
      <c r="AZX53" s="15"/>
      <c r="AZY53" s="15"/>
      <c r="AZZ53" s="15"/>
      <c r="BAA53" s="15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15"/>
      <c r="BAN53" s="15"/>
      <c r="BAO53" s="15"/>
      <c r="BAP53" s="15"/>
      <c r="BAQ53" s="15"/>
      <c r="BAR53" s="15"/>
      <c r="BAS53" s="15"/>
      <c r="BAT53" s="15"/>
      <c r="BAU53" s="15"/>
      <c r="BAV53" s="15"/>
      <c r="BAW53" s="15"/>
      <c r="BAX53" s="15"/>
      <c r="BAY53" s="15"/>
      <c r="BAZ53" s="15"/>
      <c r="BBA53" s="15"/>
      <c r="BBB53" s="15"/>
      <c r="BBC53" s="15"/>
      <c r="BBD53" s="15"/>
      <c r="BBE53" s="15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15"/>
      <c r="BBR53" s="15"/>
      <c r="BBS53" s="15"/>
      <c r="BBT53" s="15"/>
      <c r="BBU53" s="15"/>
      <c r="BBV53" s="15"/>
      <c r="BBW53" s="15"/>
      <c r="BBX53" s="15"/>
      <c r="BBY53" s="15"/>
      <c r="BBZ53" s="15"/>
      <c r="BCA53" s="15"/>
      <c r="BCB53" s="15"/>
      <c r="BCC53" s="15"/>
      <c r="BCD53" s="15"/>
      <c r="BCE53" s="15"/>
      <c r="BCF53" s="15"/>
      <c r="BCG53" s="15"/>
      <c r="BCH53" s="15"/>
      <c r="BCI53" s="15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15"/>
      <c r="BCV53" s="15"/>
      <c r="BCW53" s="15"/>
      <c r="BCX53" s="15"/>
      <c r="BCY53" s="15"/>
      <c r="BCZ53" s="15"/>
      <c r="BDA53" s="15"/>
      <c r="BDB53" s="15"/>
      <c r="BDC53" s="15"/>
      <c r="BDD53" s="15"/>
      <c r="BDE53" s="15"/>
      <c r="BDF53" s="15"/>
      <c r="BDG53" s="15"/>
      <c r="BDH53" s="15"/>
      <c r="BDI53" s="15"/>
      <c r="BDJ53" s="15"/>
      <c r="BDK53" s="15"/>
      <c r="BDL53" s="15"/>
      <c r="BDM53" s="15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15"/>
      <c r="BDZ53" s="15"/>
      <c r="BEA53" s="15"/>
      <c r="BEB53" s="15"/>
      <c r="BEC53" s="15"/>
      <c r="BED53" s="15"/>
      <c r="BEE53" s="15"/>
      <c r="BEF53" s="15"/>
      <c r="BEG53" s="15"/>
      <c r="BEH53" s="15"/>
      <c r="BEI53" s="15"/>
      <c r="BEJ53" s="15"/>
      <c r="BEK53" s="15"/>
      <c r="BEL53" s="15"/>
      <c r="BEM53" s="15"/>
      <c r="BEN53" s="15"/>
      <c r="BEO53" s="15"/>
      <c r="BEP53" s="15"/>
      <c r="BEQ53" s="15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15"/>
      <c r="BFD53" s="15"/>
      <c r="BFE53" s="15"/>
      <c r="BFF53" s="15"/>
      <c r="BFG53" s="15"/>
      <c r="BFH53" s="15"/>
      <c r="BFI53" s="15"/>
      <c r="BFJ53" s="15"/>
      <c r="BFK53" s="15"/>
      <c r="BFL53" s="15"/>
      <c r="BFM53" s="15"/>
      <c r="BFN53" s="15"/>
      <c r="BFO53" s="15"/>
      <c r="BFP53" s="15"/>
      <c r="BFQ53" s="15"/>
      <c r="BFR53" s="15"/>
      <c r="BFS53" s="15"/>
      <c r="BFT53" s="15"/>
      <c r="BFU53" s="15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15"/>
      <c r="BGH53" s="15"/>
      <c r="BGI53" s="15"/>
      <c r="BGJ53" s="15"/>
      <c r="BGK53" s="15"/>
      <c r="BGL53" s="15"/>
      <c r="BGM53" s="15"/>
      <c r="BGN53" s="15"/>
      <c r="BGO53" s="15"/>
      <c r="BGP53" s="15"/>
      <c r="BGQ53" s="15"/>
      <c r="BGR53" s="15"/>
      <c r="BGS53" s="15"/>
      <c r="BGT53" s="15"/>
      <c r="BGU53" s="15"/>
      <c r="BGV53" s="15"/>
      <c r="BGW53" s="15"/>
      <c r="BGX53" s="15"/>
      <c r="BGY53" s="15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15"/>
      <c r="BHL53" s="15"/>
      <c r="BHM53" s="15"/>
      <c r="BHN53" s="15"/>
      <c r="BHO53" s="15"/>
      <c r="BHP53" s="15"/>
      <c r="BHQ53" s="15"/>
      <c r="BHR53" s="15"/>
      <c r="BHS53" s="15"/>
      <c r="BHT53" s="15"/>
      <c r="BHU53" s="15"/>
      <c r="BHV53" s="15"/>
      <c r="BHW53" s="15"/>
      <c r="BHX53" s="15"/>
      <c r="BHY53" s="15"/>
      <c r="BHZ53" s="15"/>
      <c r="BIA53" s="15"/>
      <c r="BIB53" s="15"/>
      <c r="BIC53" s="15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15"/>
      <c r="BIP53" s="15"/>
      <c r="BIQ53" s="15"/>
      <c r="BIR53" s="15"/>
      <c r="BIS53" s="15"/>
      <c r="BIT53" s="15"/>
      <c r="BIU53" s="15"/>
      <c r="BIV53" s="15"/>
      <c r="BIW53" s="15"/>
      <c r="BIX53" s="15"/>
      <c r="BIY53" s="15"/>
      <c r="BIZ53" s="15"/>
      <c r="BJA53" s="15"/>
      <c r="BJB53" s="15"/>
      <c r="BJC53" s="15"/>
      <c r="BJD53" s="15"/>
      <c r="BJE53" s="15"/>
      <c r="BJF53" s="15"/>
      <c r="BJG53" s="15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15"/>
      <c r="BJT53" s="15"/>
      <c r="BJU53" s="15"/>
      <c r="BJV53" s="15"/>
      <c r="BJW53" s="15"/>
      <c r="BJX53" s="15"/>
      <c r="BJY53" s="15"/>
      <c r="BJZ53" s="15"/>
      <c r="BKA53" s="15"/>
      <c r="BKB53" s="15"/>
      <c r="BKC53" s="15"/>
      <c r="BKD53" s="15"/>
      <c r="BKE53" s="15"/>
      <c r="BKF53" s="15"/>
      <c r="BKG53" s="15"/>
      <c r="BKH53" s="15"/>
      <c r="BKI53" s="15"/>
      <c r="BKJ53" s="15"/>
      <c r="BKK53" s="15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15"/>
      <c r="BKX53" s="15"/>
      <c r="BKY53" s="15"/>
      <c r="BKZ53" s="15"/>
      <c r="BLA53" s="15"/>
      <c r="BLB53" s="15"/>
      <c r="BLC53" s="15"/>
      <c r="BLD53" s="15"/>
      <c r="BLE53" s="15"/>
      <c r="BLF53" s="15"/>
      <c r="BLG53" s="15"/>
      <c r="BLH53" s="15"/>
      <c r="BLI53" s="15"/>
      <c r="BLJ53" s="15"/>
      <c r="BLK53" s="15"/>
      <c r="BLL53" s="15"/>
      <c r="BLM53" s="15"/>
      <c r="BLN53" s="15"/>
      <c r="BLO53" s="15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15"/>
      <c r="BMB53" s="15"/>
      <c r="BMC53" s="15"/>
      <c r="BMD53" s="15"/>
      <c r="BME53" s="15"/>
      <c r="BMF53" s="15"/>
      <c r="BMG53" s="15"/>
      <c r="BMH53" s="15"/>
      <c r="BMI53" s="15"/>
      <c r="BMJ53" s="15"/>
      <c r="BMK53" s="15"/>
      <c r="BML53" s="15"/>
      <c r="BMM53" s="15"/>
      <c r="BMN53" s="15"/>
      <c r="BMO53" s="15"/>
      <c r="BMP53" s="15"/>
      <c r="BMQ53" s="15"/>
      <c r="BMR53" s="15"/>
      <c r="BMS53" s="15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15"/>
      <c r="BNF53" s="15"/>
      <c r="BNG53" s="15"/>
      <c r="BNH53" s="15"/>
      <c r="BNI53" s="15"/>
      <c r="BNJ53" s="15"/>
      <c r="BNK53" s="15"/>
      <c r="BNL53" s="15"/>
      <c r="BNM53" s="15"/>
      <c r="BNN53" s="15"/>
      <c r="BNO53" s="15"/>
      <c r="BNP53" s="15"/>
      <c r="BNQ53" s="15"/>
      <c r="BNR53" s="15"/>
      <c r="BNS53" s="15"/>
      <c r="BNT53" s="15"/>
      <c r="BNU53" s="15"/>
      <c r="BNV53" s="15"/>
      <c r="BNW53" s="15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15"/>
      <c r="BOJ53" s="15"/>
      <c r="BOK53" s="15"/>
      <c r="BOL53" s="15"/>
      <c r="BOM53" s="15"/>
      <c r="BON53" s="15"/>
      <c r="BOO53" s="15"/>
      <c r="BOP53" s="15"/>
      <c r="BOQ53" s="15"/>
      <c r="BOR53" s="15"/>
      <c r="BOS53" s="15"/>
      <c r="BOT53" s="15"/>
      <c r="BOU53" s="15"/>
      <c r="BOV53" s="15"/>
      <c r="BOW53" s="15"/>
      <c r="BOX53" s="15"/>
      <c r="BOY53" s="15"/>
      <c r="BOZ53" s="15"/>
      <c r="BPA53" s="15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15"/>
      <c r="BPN53" s="15"/>
      <c r="BPO53" s="15"/>
      <c r="BPP53" s="15"/>
      <c r="BPQ53" s="15"/>
      <c r="BPR53" s="15"/>
      <c r="BPS53" s="15"/>
      <c r="BPT53" s="15"/>
      <c r="BPU53" s="15"/>
      <c r="BPV53" s="15"/>
      <c r="BPW53" s="15"/>
      <c r="BPX53" s="15"/>
      <c r="BPY53" s="15"/>
      <c r="BPZ53" s="15"/>
      <c r="BQA53" s="15"/>
      <c r="BQB53" s="15"/>
      <c r="BQC53" s="15"/>
      <c r="BQD53" s="15"/>
      <c r="BQE53" s="15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15"/>
      <c r="BQR53" s="15"/>
      <c r="BQS53" s="15"/>
      <c r="BQT53" s="15"/>
      <c r="BQU53" s="15"/>
      <c r="BQV53" s="15"/>
      <c r="BQW53" s="15"/>
      <c r="BQX53" s="15"/>
      <c r="BQY53" s="15"/>
      <c r="BQZ53" s="15"/>
      <c r="BRA53" s="15"/>
      <c r="BRB53" s="15"/>
      <c r="BRC53" s="15"/>
      <c r="BRD53" s="15"/>
      <c r="BRE53" s="15"/>
      <c r="BRF53" s="15"/>
      <c r="BRG53" s="15"/>
      <c r="BRH53" s="15"/>
      <c r="BRI53" s="15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15"/>
      <c r="BRV53" s="15"/>
      <c r="BRW53" s="15"/>
      <c r="BRX53" s="15"/>
      <c r="BRY53" s="15"/>
      <c r="BRZ53" s="15"/>
      <c r="BSA53" s="15"/>
      <c r="BSB53" s="15"/>
      <c r="BSC53" s="15"/>
      <c r="BSD53" s="15"/>
      <c r="BSE53" s="15"/>
      <c r="BSF53" s="15"/>
      <c r="BSG53" s="15"/>
      <c r="BSH53" s="15"/>
      <c r="BSI53" s="15"/>
      <c r="BSJ53" s="15"/>
      <c r="BSK53" s="15"/>
      <c r="BSL53" s="15"/>
      <c r="BSM53" s="15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15"/>
      <c r="BSZ53" s="15"/>
      <c r="BTA53" s="15"/>
      <c r="BTB53" s="15"/>
      <c r="BTC53" s="15"/>
      <c r="BTD53" s="15"/>
      <c r="BTE53" s="15"/>
      <c r="BTF53" s="15"/>
      <c r="BTG53" s="15"/>
      <c r="BTH53" s="15"/>
      <c r="BTI53" s="15"/>
      <c r="BTJ53" s="15"/>
      <c r="BTK53" s="15"/>
      <c r="BTL53" s="15"/>
      <c r="BTM53" s="15"/>
      <c r="BTN53" s="15"/>
      <c r="BTO53" s="15"/>
      <c r="BTP53" s="15"/>
      <c r="BTQ53" s="15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15"/>
      <c r="BUD53" s="15"/>
      <c r="BUE53" s="15"/>
      <c r="BUF53" s="15"/>
      <c r="BUG53" s="15"/>
      <c r="BUH53" s="15"/>
      <c r="BUI53" s="15"/>
      <c r="BUJ53" s="15"/>
      <c r="BUK53" s="15"/>
      <c r="BUL53" s="15"/>
      <c r="BUM53" s="15"/>
      <c r="BUN53" s="15"/>
      <c r="BUO53" s="15"/>
      <c r="BUP53" s="15"/>
      <c r="BUQ53" s="15"/>
      <c r="BUR53" s="15"/>
      <c r="BUS53" s="15"/>
      <c r="BUT53" s="15"/>
      <c r="BUU53" s="15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15"/>
      <c r="BVH53" s="15"/>
      <c r="BVI53" s="15"/>
      <c r="BVJ53" s="15"/>
      <c r="BVK53" s="15"/>
      <c r="BVL53" s="15"/>
      <c r="BVM53" s="15"/>
      <c r="BVN53" s="15"/>
      <c r="BVO53" s="15"/>
      <c r="BVP53" s="15"/>
      <c r="BVQ53" s="15"/>
      <c r="BVR53" s="15"/>
      <c r="BVS53" s="15"/>
      <c r="BVT53" s="15"/>
      <c r="BVU53" s="15"/>
      <c r="BVV53" s="15"/>
      <c r="BVW53" s="15"/>
      <c r="BVX53" s="15"/>
      <c r="BVY53" s="15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15"/>
      <c r="BWL53" s="15"/>
      <c r="BWM53" s="15"/>
      <c r="BWN53" s="15"/>
      <c r="BWO53" s="15"/>
      <c r="BWP53" s="15"/>
      <c r="BWQ53" s="15"/>
      <c r="BWR53" s="15"/>
      <c r="BWS53" s="15"/>
      <c r="BWT53" s="15"/>
      <c r="BWU53" s="15"/>
      <c r="BWV53" s="15"/>
      <c r="BWW53" s="15"/>
      <c r="BWX53" s="15"/>
      <c r="BWY53" s="15"/>
      <c r="BWZ53" s="15"/>
      <c r="BXA53" s="15"/>
      <c r="BXB53" s="15"/>
      <c r="BXC53" s="15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15"/>
      <c r="BXP53" s="15"/>
      <c r="BXQ53" s="15"/>
      <c r="BXR53" s="15"/>
      <c r="BXS53" s="15"/>
      <c r="BXT53" s="15"/>
      <c r="BXU53" s="15"/>
      <c r="BXV53" s="15"/>
      <c r="BXW53" s="15"/>
      <c r="BXX53" s="15"/>
      <c r="BXY53" s="15"/>
      <c r="BXZ53" s="15"/>
      <c r="BYA53" s="15"/>
      <c r="BYB53" s="15"/>
      <c r="BYC53" s="15"/>
      <c r="BYD53" s="15"/>
      <c r="BYE53" s="15"/>
      <c r="BYF53" s="15"/>
      <c r="BYG53" s="15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15"/>
      <c r="BYT53" s="15"/>
      <c r="BYU53" s="15"/>
      <c r="BYV53" s="15"/>
      <c r="BYW53" s="15"/>
      <c r="BYX53" s="15"/>
      <c r="BYY53" s="15"/>
      <c r="BYZ53" s="15"/>
      <c r="BZA53" s="15"/>
      <c r="BZB53" s="15"/>
      <c r="BZC53" s="15"/>
      <c r="BZD53" s="15"/>
      <c r="BZE53" s="15"/>
      <c r="BZF53" s="15"/>
      <c r="BZG53" s="15"/>
      <c r="BZH53" s="15"/>
      <c r="BZI53" s="15"/>
      <c r="BZJ53" s="15"/>
      <c r="BZK53" s="15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15"/>
      <c r="BZX53" s="15"/>
      <c r="BZY53" s="15"/>
      <c r="BZZ53" s="15"/>
      <c r="CAA53" s="15"/>
      <c r="CAB53" s="15"/>
      <c r="CAC53" s="15"/>
      <c r="CAD53" s="15"/>
      <c r="CAE53" s="15"/>
      <c r="CAF53" s="15"/>
      <c r="CAG53" s="15"/>
      <c r="CAH53" s="15"/>
      <c r="CAI53" s="15"/>
      <c r="CAJ53" s="15"/>
      <c r="CAK53" s="15"/>
      <c r="CAL53" s="15"/>
      <c r="CAM53" s="15"/>
      <c r="CAN53" s="15"/>
      <c r="CAO53" s="15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15"/>
      <c r="CBB53" s="15"/>
      <c r="CBC53" s="15"/>
      <c r="CBD53" s="15"/>
      <c r="CBE53" s="15"/>
      <c r="CBF53" s="15"/>
      <c r="CBG53" s="15"/>
      <c r="CBH53" s="15"/>
      <c r="CBI53" s="15"/>
      <c r="CBJ53" s="15"/>
      <c r="CBK53" s="15"/>
      <c r="CBL53" s="15"/>
      <c r="CBM53" s="15"/>
      <c r="CBN53" s="15"/>
      <c r="CBO53" s="15"/>
      <c r="CBP53" s="15"/>
      <c r="CBQ53" s="15"/>
      <c r="CBR53" s="15"/>
      <c r="CBS53" s="15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15"/>
      <c r="CCF53" s="15"/>
      <c r="CCG53" s="15"/>
      <c r="CCH53" s="15"/>
      <c r="CCI53" s="15"/>
      <c r="CCJ53" s="15"/>
      <c r="CCK53" s="15"/>
      <c r="CCL53" s="15"/>
      <c r="CCM53" s="15"/>
      <c r="CCN53" s="15"/>
      <c r="CCO53" s="15"/>
      <c r="CCP53" s="15"/>
      <c r="CCQ53" s="15"/>
      <c r="CCR53" s="15"/>
      <c r="CCS53" s="15"/>
      <c r="CCT53" s="15"/>
      <c r="CCU53" s="15"/>
      <c r="CCV53" s="15"/>
      <c r="CCW53" s="15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15"/>
      <c r="CDJ53" s="15"/>
      <c r="CDK53" s="15"/>
      <c r="CDL53" s="15"/>
      <c r="CDM53" s="15"/>
      <c r="CDN53" s="15"/>
      <c r="CDO53" s="15"/>
      <c r="CDP53" s="15"/>
      <c r="CDQ53" s="15"/>
      <c r="CDR53" s="15"/>
      <c r="CDS53" s="15"/>
      <c r="CDT53" s="15"/>
      <c r="CDU53" s="15"/>
      <c r="CDV53" s="15"/>
      <c r="CDW53" s="15"/>
      <c r="CDX53" s="15"/>
      <c r="CDY53" s="15"/>
      <c r="CDZ53" s="15"/>
      <c r="CEA53" s="15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15"/>
      <c r="CEN53" s="15"/>
      <c r="CEO53" s="15"/>
      <c r="CEP53" s="15"/>
      <c r="CEQ53" s="15"/>
      <c r="CER53" s="15"/>
      <c r="CES53" s="15"/>
      <c r="CET53" s="15"/>
      <c r="CEU53" s="15"/>
      <c r="CEV53" s="15"/>
      <c r="CEW53" s="15"/>
      <c r="CEX53" s="15"/>
      <c r="CEY53" s="15"/>
      <c r="CEZ53" s="15"/>
      <c r="CFA53" s="15"/>
      <c r="CFB53" s="15"/>
      <c r="CFC53" s="15"/>
      <c r="CFD53" s="15"/>
      <c r="CFE53" s="15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15"/>
      <c r="CFR53" s="15"/>
      <c r="CFS53" s="15"/>
      <c r="CFT53" s="15"/>
      <c r="CFU53" s="15"/>
      <c r="CFV53" s="15"/>
      <c r="CFW53" s="15"/>
      <c r="CFX53" s="15"/>
      <c r="CFY53" s="15"/>
      <c r="CFZ53" s="15"/>
      <c r="CGA53" s="15"/>
      <c r="CGB53" s="15"/>
      <c r="CGC53" s="15"/>
      <c r="CGD53" s="15"/>
      <c r="CGE53" s="15"/>
      <c r="CGF53" s="15"/>
      <c r="CGG53" s="15"/>
      <c r="CGH53" s="15"/>
      <c r="CGI53" s="15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15"/>
      <c r="CGV53" s="15"/>
      <c r="CGW53" s="15"/>
      <c r="CGX53" s="15"/>
      <c r="CGY53" s="15"/>
      <c r="CGZ53" s="15"/>
      <c r="CHA53" s="15"/>
      <c r="CHB53" s="15"/>
      <c r="CHC53" s="15"/>
      <c r="CHD53" s="15"/>
      <c r="CHE53" s="15"/>
      <c r="CHF53" s="15"/>
      <c r="CHG53" s="15"/>
      <c r="CHH53" s="15"/>
      <c r="CHI53" s="15"/>
      <c r="CHJ53" s="15"/>
      <c r="CHK53" s="15"/>
      <c r="CHL53" s="15"/>
      <c r="CHM53" s="15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15"/>
      <c r="CHZ53" s="15"/>
      <c r="CIA53" s="15"/>
      <c r="CIB53" s="15"/>
      <c r="CIC53" s="15"/>
      <c r="CID53" s="15"/>
      <c r="CIE53" s="15"/>
      <c r="CIF53" s="15"/>
      <c r="CIG53" s="15"/>
      <c r="CIH53" s="15"/>
      <c r="CII53" s="15"/>
      <c r="CIJ53" s="15"/>
      <c r="CIK53" s="15"/>
      <c r="CIL53" s="15"/>
      <c r="CIM53" s="15"/>
      <c r="CIN53" s="15"/>
      <c r="CIO53" s="15"/>
      <c r="CIP53" s="15"/>
      <c r="CIQ53" s="15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15"/>
      <c r="CJD53" s="15"/>
      <c r="CJE53" s="15"/>
      <c r="CJF53" s="15"/>
      <c r="CJG53" s="15"/>
      <c r="CJH53" s="15"/>
      <c r="CJI53" s="15"/>
      <c r="CJJ53" s="15"/>
      <c r="CJK53" s="15"/>
      <c r="CJL53" s="15"/>
      <c r="CJM53" s="15"/>
      <c r="CJN53" s="15"/>
      <c r="CJO53" s="15"/>
      <c r="CJP53" s="15"/>
      <c r="CJQ53" s="15"/>
      <c r="CJR53" s="15"/>
      <c r="CJS53" s="15"/>
      <c r="CJT53" s="15"/>
      <c r="CJU53" s="15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15"/>
      <c r="CKH53" s="15"/>
      <c r="CKI53" s="15"/>
      <c r="CKJ53" s="15"/>
      <c r="CKK53" s="15"/>
      <c r="CKL53" s="15"/>
      <c r="CKM53" s="15"/>
      <c r="CKN53" s="15"/>
      <c r="CKO53" s="15"/>
      <c r="CKP53" s="15"/>
      <c r="CKQ53" s="15"/>
      <c r="CKR53" s="15"/>
      <c r="CKS53" s="15"/>
      <c r="CKT53" s="15"/>
      <c r="CKU53" s="15"/>
      <c r="CKV53" s="15"/>
      <c r="CKW53" s="15"/>
      <c r="CKX53" s="15"/>
      <c r="CKY53" s="15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15"/>
      <c r="CLL53" s="15"/>
      <c r="CLM53" s="15"/>
      <c r="CLN53" s="15"/>
      <c r="CLO53" s="15"/>
      <c r="CLP53" s="15"/>
      <c r="CLQ53" s="15"/>
      <c r="CLR53" s="15"/>
      <c r="CLS53" s="15"/>
      <c r="CLT53" s="15"/>
      <c r="CLU53" s="15"/>
      <c r="CLV53" s="15"/>
      <c r="CLW53" s="15"/>
      <c r="CLX53" s="15"/>
      <c r="CLY53" s="15"/>
      <c r="CLZ53" s="15"/>
      <c r="CMA53" s="15"/>
      <c r="CMB53" s="15"/>
      <c r="CMC53" s="15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15"/>
      <c r="CMP53" s="15"/>
      <c r="CMQ53" s="15"/>
      <c r="CMR53" s="15"/>
      <c r="CMS53" s="15"/>
      <c r="CMT53" s="15"/>
      <c r="CMU53" s="15"/>
      <c r="CMV53" s="15"/>
      <c r="CMW53" s="15"/>
      <c r="CMX53" s="15"/>
      <c r="CMY53" s="15"/>
      <c r="CMZ53" s="15"/>
      <c r="CNA53" s="15"/>
      <c r="CNB53" s="15"/>
      <c r="CNC53" s="15"/>
      <c r="CND53" s="15"/>
      <c r="CNE53" s="15"/>
      <c r="CNF53" s="15"/>
      <c r="CNG53" s="15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15"/>
      <c r="CNT53" s="15"/>
      <c r="CNU53" s="15"/>
      <c r="CNV53" s="15"/>
      <c r="CNW53" s="15"/>
      <c r="CNX53" s="15"/>
      <c r="CNY53" s="15"/>
      <c r="CNZ53" s="15"/>
      <c r="COA53" s="15"/>
      <c r="COB53" s="15"/>
      <c r="COC53" s="15"/>
      <c r="COD53" s="15"/>
      <c r="COE53" s="15"/>
      <c r="COF53" s="15"/>
      <c r="COG53" s="15"/>
      <c r="COH53" s="15"/>
      <c r="COI53" s="15"/>
      <c r="COJ53" s="15"/>
      <c r="COK53" s="15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15"/>
      <c r="COX53" s="15"/>
      <c r="COY53" s="15"/>
      <c r="COZ53" s="15"/>
      <c r="CPA53" s="15"/>
      <c r="CPB53" s="15"/>
      <c r="CPC53" s="15"/>
      <c r="CPD53" s="15"/>
      <c r="CPE53" s="15"/>
      <c r="CPF53" s="15"/>
      <c r="CPG53" s="15"/>
      <c r="CPH53" s="15"/>
      <c r="CPI53" s="15"/>
      <c r="CPJ53" s="15"/>
      <c r="CPK53" s="15"/>
      <c r="CPL53" s="15"/>
      <c r="CPM53" s="15"/>
      <c r="CPN53" s="15"/>
      <c r="CPO53" s="15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15"/>
      <c r="CQB53" s="15"/>
      <c r="CQC53" s="15"/>
      <c r="CQD53" s="15"/>
      <c r="CQE53" s="15"/>
      <c r="CQF53" s="15"/>
      <c r="CQG53" s="15"/>
      <c r="CQH53" s="15"/>
      <c r="CQI53" s="15"/>
      <c r="CQJ53" s="15"/>
      <c r="CQK53" s="15"/>
      <c r="CQL53" s="15"/>
      <c r="CQM53" s="15"/>
      <c r="CQN53" s="15"/>
      <c r="CQO53" s="15"/>
      <c r="CQP53" s="15"/>
      <c r="CQQ53" s="15"/>
      <c r="CQR53" s="15"/>
      <c r="CQS53" s="15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15"/>
      <c r="CRF53" s="15"/>
      <c r="CRG53" s="15"/>
      <c r="CRH53" s="15"/>
      <c r="CRI53" s="15"/>
      <c r="CRJ53" s="15"/>
      <c r="CRK53" s="15"/>
      <c r="CRL53" s="15"/>
      <c r="CRM53" s="15"/>
      <c r="CRN53" s="15"/>
      <c r="CRO53" s="15"/>
      <c r="CRP53" s="15"/>
      <c r="CRQ53" s="15"/>
      <c r="CRR53" s="15"/>
      <c r="CRS53" s="15"/>
      <c r="CRT53" s="15"/>
      <c r="CRU53" s="15"/>
      <c r="CRV53" s="15"/>
      <c r="CRW53" s="15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15"/>
      <c r="CSJ53" s="15"/>
      <c r="CSK53" s="15"/>
      <c r="CSL53" s="15"/>
      <c r="CSM53" s="15"/>
      <c r="CSN53" s="15"/>
      <c r="CSO53" s="15"/>
      <c r="CSP53" s="15"/>
      <c r="CSQ53" s="15"/>
      <c r="CSR53" s="15"/>
      <c r="CSS53" s="15"/>
      <c r="CST53" s="15"/>
      <c r="CSU53" s="15"/>
      <c r="CSV53" s="15"/>
      <c r="CSW53" s="15"/>
      <c r="CSX53" s="15"/>
      <c r="CSY53" s="15"/>
      <c r="CSZ53" s="15"/>
      <c r="CTA53" s="15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15"/>
      <c r="CTN53" s="15"/>
      <c r="CTO53" s="15"/>
      <c r="CTP53" s="15"/>
      <c r="CTQ53" s="15"/>
      <c r="CTR53" s="15"/>
      <c r="CTS53" s="15"/>
      <c r="CTT53" s="15"/>
      <c r="CTU53" s="15"/>
      <c r="CTV53" s="15"/>
      <c r="CTW53" s="15"/>
      <c r="CTX53" s="15"/>
      <c r="CTY53" s="15"/>
      <c r="CTZ53" s="15"/>
      <c r="CUA53" s="15"/>
      <c r="CUB53" s="15"/>
      <c r="CUC53" s="15"/>
      <c r="CUD53" s="15"/>
      <c r="CUE53" s="15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15"/>
      <c r="CUR53" s="15"/>
      <c r="CUS53" s="15"/>
      <c r="CUT53" s="15"/>
      <c r="CUU53" s="15"/>
      <c r="CUV53" s="15"/>
      <c r="CUW53" s="15"/>
      <c r="CUX53" s="15"/>
      <c r="CUY53" s="15"/>
      <c r="CUZ53" s="15"/>
      <c r="CVA53" s="15"/>
      <c r="CVB53" s="15"/>
      <c r="CVC53" s="15"/>
      <c r="CVD53" s="15"/>
      <c r="CVE53" s="15"/>
      <c r="CVF53" s="15"/>
      <c r="CVG53" s="15"/>
      <c r="CVH53" s="15"/>
      <c r="CVI53" s="15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15"/>
      <c r="CVV53" s="15"/>
      <c r="CVW53" s="15"/>
      <c r="CVX53" s="15"/>
      <c r="CVY53" s="15"/>
      <c r="CVZ53" s="15"/>
      <c r="CWA53" s="15"/>
      <c r="CWB53" s="15"/>
      <c r="CWC53" s="15"/>
      <c r="CWD53" s="15"/>
      <c r="CWE53" s="15"/>
      <c r="CWF53" s="15"/>
      <c r="CWG53" s="15"/>
      <c r="CWH53" s="15"/>
      <c r="CWI53" s="15"/>
      <c r="CWJ53" s="15"/>
      <c r="CWK53" s="15"/>
      <c r="CWL53" s="15"/>
      <c r="CWM53" s="15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15"/>
      <c r="CWZ53" s="15"/>
      <c r="CXA53" s="15"/>
      <c r="CXB53" s="15"/>
      <c r="CXC53" s="15"/>
      <c r="CXD53" s="15"/>
      <c r="CXE53" s="15"/>
      <c r="CXF53" s="15"/>
      <c r="CXG53" s="15"/>
      <c r="CXH53" s="15"/>
      <c r="CXI53" s="15"/>
      <c r="CXJ53" s="15"/>
      <c r="CXK53" s="15"/>
      <c r="CXL53" s="15"/>
      <c r="CXM53" s="15"/>
      <c r="CXN53" s="15"/>
      <c r="CXO53" s="15"/>
      <c r="CXP53" s="15"/>
      <c r="CXQ53" s="15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15"/>
      <c r="CYD53" s="15"/>
      <c r="CYE53" s="15"/>
      <c r="CYF53" s="15"/>
      <c r="CYG53" s="15"/>
      <c r="CYH53" s="15"/>
      <c r="CYI53" s="15"/>
      <c r="CYJ53" s="15"/>
      <c r="CYK53" s="15"/>
      <c r="CYL53" s="15"/>
      <c r="CYM53" s="15"/>
      <c r="CYN53" s="15"/>
      <c r="CYO53" s="15"/>
      <c r="CYP53" s="15"/>
      <c r="CYQ53" s="15"/>
      <c r="CYR53" s="15"/>
      <c r="CYS53" s="15"/>
      <c r="CYT53" s="15"/>
      <c r="CYU53" s="15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15"/>
      <c r="CZH53" s="15"/>
      <c r="CZI53" s="15"/>
      <c r="CZJ53" s="15"/>
      <c r="CZK53" s="15"/>
      <c r="CZL53" s="15"/>
      <c r="CZM53" s="15"/>
      <c r="CZN53" s="15"/>
      <c r="CZO53" s="15"/>
      <c r="CZP53" s="15"/>
      <c r="CZQ53" s="15"/>
      <c r="CZR53" s="15"/>
      <c r="CZS53" s="15"/>
      <c r="CZT53" s="15"/>
      <c r="CZU53" s="15"/>
      <c r="CZV53" s="15"/>
      <c r="CZW53" s="15"/>
      <c r="CZX53" s="15"/>
      <c r="CZY53" s="15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15"/>
      <c r="DAL53" s="15"/>
      <c r="DAM53" s="15"/>
      <c r="DAN53" s="15"/>
      <c r="DAO53" s="15"/>
      <c r="DAP53" s="15"/>
      <c r="DAQ53" s="15"/>
      <c r="DAR53" s="15"/>
      <c r="DAS53" s="15"/>
      <c r="DAT53" s="15"/>
      <c r="DAU53" s="15"/>
      <c r="DAV53" s="15"/>
      <c r="DAW53" s="15"/>
      <c r="DAX53" s="15"/>
      <c r="DAY53" s="15"/>
      <c r="DAZ53" s="15"/>
      <c r="DBA53" s="15"/>
      <c r="DBB53" s="15"/>
      <c r="DBC53" s="15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15"/>
      <c r="DBP53" s="15"/>
      <c r="DBQ53" s="15"/>
      <c r="DBR53" s="15"/>
      <c r="DBS53" s="15"/>
      <c r="DBT53" s="15"/>
      <c r="DBU53" s="15"/>
      <c r="DBV53" s="15"/>
      <c r="DBW53" s="15"/>
      <c r="DBX53" s="15"/>
      <c r="DBY53" s="15"/>
      <c r="DBZ53" s="15"/>
      <c r="DCA53" s="15"/>
      <c r="DCB53" s="15"/>
      <c r="DCC53" s="15"/>
      <c r="DCD53" s="15"/>
      <c r="DCE53" s="15"/>
      <c r="DCF53" s="15"/>
      <c r="DCG53" s="15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15"/>
      <c r="DCT53" s="15"/>
      <c r="DCU53" s="15"/>
      <c r="DCV53" s="15"/>
      <c r="DCW53" s="15"/>
      <c r="DCX53" s="15"/>
      <c r="DCY53" s="15"/>
      <c r="DCZ53" s="15"/>
      <c r="DDA53" s="15"/>
      <c r="DDB53" s="15"/>
      <c r="DDC53" s="15"/>
      <c r="DDD53" s="15"/>
      <c r="DDE53" s="15"/>
      <c r="DDF53" s="15"/>
      <c r="DDG53" s="15"/>
      <c r="DDH53" s="15"/>
      <c r="DDI53" s="15"/>
      <c r="DDJ53" s="15"/>
      <c r="DDK53" s="15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15"/>
      <c r="DDX53" s="15"/>
      <c r="DDY53" s="15"/>
      <c r="DDZ53" s="15"/>
      <c r="DEA53" s="15"/>
      <c r="DEB53" s="15"/>
      <c r="DEC53" s="15"/>
      <c r="DED53" s="15"/>
      <c r="DEE53" s="15"/>
      <c r="DEF53" s="15"/>
      <c r="DEG53" s="15"/>
      <c r="DEH53" s="15"/>
      <c r="DEI53" s="15"/>
      <c r="DEJ53" s="15"/>
      <c r="DEK53" s="15"/>
      <c r="DEL53" s="15"/>
      <c r="DEM53" s="15"/>
      <c r="DEN53" s="15"/>
      <c r="DEO53" s="15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15"/>
      <c r="DFB53" s="15"/>
      <c r="DFC53" s="15"/>
      <c r="DFD53" s="15"/>
      <c r="DFE53" s="15"/>
      <c r="DFF53" s="15"/>
      <c r="DFG53" s="15"/>
      <c r="DFH53" s="15"/>
      <c r="DFI53" s="15"/>
      <c r="DFJ53" s="15"/>
      <c r="DFK53" s="15"/>
      <c r="DFL53" s="15"/>
      <c r="DFM53" s="15"/>
      <c r="DFN53" s="15"/>
      <c r="DFO53" s="15"/>
      <c r="DFP53" s="15"/>
      <c r="DFQ53" s="15"/>
      <c r="DFR53" s="15"/>
      <c r="DFS53" s="15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15"/>
      <c r="DGF53" s="15"/>
      <c r="DGG53" s="15"/>
      <c r="DGH53" s="15"/>
      <c r="DGI53" s="15"/>
      <c r="DGJ53" s="15"/>
      <c r="DGK53" s="15"/>
      <c r="DGL53" s="15"/>
      <c r="DGM53" s="15"/>
      <c r="DGN53" s="15"/>
      <c r="DGO53" s="15"/>
      <c r="DGP53" s="15"/>
      <c r="DGQ53" s="15"/>
      <c r="DGR53" s="15"/>
      <c r="DGS53" s="15"/>
      <c r="DGT53" s="15"/>
      <c r="DGU53" s="15"/>
      <c r="DGV53" s="15"/>
      <c r="DGW53" s="15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15"/>
      <c r="DHJ53" s="15"/>
      <c r="DHK53" s="15"/>
      <c r="DHL53" s="15"/>
      <c r="DHM53" s="15"/>
      <c r="DHN53" s="15"/>
      <c r="DHO53" s="15"/>
      <c r="DHP53" s="15"/>
      <c r="DHQ53" s="15"/>
      <c r="DHR53" s="15"/>
      <c r="DHS53" s="15"/>
      <c r="DHT53" s="15"/>
      <c r="DHU53" s="15"/>
      <c r="DHV53" s="15"/>
      <c r="DHW53" s="15"/>
      <c r="DHX53" s="15"/>
      <c r="DHY53" s="15"/>
      <c r="DHZ53" s="15"/>
      <c r="DIA53" s="15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15"/>
      <c r="DIN53" s="15"/>
      <c r="DIO53" s="15"/>
      <c r="DIP53" s="15"/>
      <c r="DIQ53" s="15"/>
      <c r="DIR53" s="15"/>
      <c r="DIS53" s="15"/>
      <c r="DIT53" s="15"/>
      <c r="DIU53" s="15"/>
      <c r="DIV53" s="15"/>
      <c r="DIW53" s="15"/>
      <c r="DIX53" s="15"/>
      <c r="DIY53" s="15"/>
      <c r="DIZ53" s="15"/>
      <c r="DJA53" s="15"/>
      <c r="DJB53" s="15"/>
      <c r="DJC53" s="15"/>
      <c r="DJD53" s="15"/>
      <c r="DJE53" s="15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15"/>
      <c r="DJR53" s="15"/>
      <c r="DJS53" s="15"/>
      <c r="DJT53" s="15"/>
      <c r="DJU53" s="15"/>
      <c r="DJV53" s="15"/>
      <c r="DJW53" s="15"/>
      <c r="DJX53" s="15"/>
      <c r="DJY53" s="15"/>
      <c r="DJZ53" s="15"/>
      <c r="DKA53" s="15"/>
      <c r="DKB53" s="15"/>
      <c r="DKC53" s="15"/>
      <c r="DKD53" s="15"/>
      <c r="DKE53" s="15"/>
      <c r="DKF53" s="15"/>
      <c r="DKG53" s="15"/>
      <c r="DKH53" s="15"/>
      <c r="DKI53" s="15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15"/>
      <c r="DKV53" s="15"/>
      <c r="DKW53" s="15"/>
      <c r="DKX53" s="15"/>
      <c r="DKY53" s="15"/>
      <c r="DKZ53" s="15"/>
      <c r="DLA53" s="15"/>
      <c r="DLB53" s="15"/>
      <c r="DLC53" s="15"/>
      <c r="DLD53" s="15"/>
      <c r="DLE53" s="15"/>
      <c r="DLF53" s="15"/>
      <c r="DLG53" s="15"/>
      <c r="DLH53" s="15"/>
      <c r="DLI53" s="15"/>
      <c r="DLJ53" s="15"/>
      <c r="DLK53" s="15"/>
      <c r="DLL53" s="15"/>
      <c r="DLM53" s="15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15"/>
      <c r="DLZ53" s="15"/>
      <c r="DMA53" s="15"/>
      <c r="DMB53" s="15"/>
      <c r="DMC53" s="15"/>
      <c r="DMD53" s="15"/>
      <c r="DME53" s="15"/>
      <c r="DMF53" s="15"/>
      <c r="DMG53" s="15"/>
      <c r="DMH53" s="15"/>
      <c r="DMI53" s="15"/>
      <c r="DMJ53" s="15"/>
      <c r="DMK53" s="15"/>
      <c r="DML53" s="15"/>
      <c r="DMM53" s="15"/>
      <c r="DMN53" s="15"/>
      <c r="DMO53" s="15"/>
      <c r="DMP53" s="15"/>
      <c r="DMQ53" s="15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15"/>
      <c r="DND53" s="15"/>
      <c r="DNE53" s="15"/>
      <c r="DNF53" s="15"/>
      <c r="DNG53" s="15"/>
      <c r="DNH53" s="15"/>
      <c r="DNI53" s="15"/>
      <c r="DNJ53" s="15"/>
      <c r="DNK53" s="15"/>
      <c r="DNL53" s="15"/>
      <c r="DNM53" s="15"/>
      <c r="DNN53" s="15"/>
      <c r="DNO53" s="15"/>
      <c r="DNP53" s="15"/>
      <c r="DNQ53" s="15"/>
      <c r="DNR53" s="15"/>
      <c r="DNS53" s="15"/>
      <c r="DNT53" s="15"/>
      <c r="DNU53" s="15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15"/>
      <c r="DOH53" s="15"/>
      <c r="DOI53" s="15"/>
      <c r="DOJ53" s="15"/>
      <c r="DOK53" s="15"/>
      <c r="DOL53" s="15"/>
      <c r="DOM53" s="15"/>
      <c r="DON53" s="15"/>
      <c r="DOO53" s="15"/>
      <c r="DOP53" s="15"/>
      <c r="DOQ53" s="15"/>
      <c r="DOR53" s="15"/>
      <c r="DOS53" s="15"/>
      <c r="DOT53" s="15"/>
      <c r="DOU53" s="15"/>
      <c r="DOV53" s="15"/>
      <c r="DOW53" s="15"/>
      <c r="DOX53" s="15"/>
      <c r="DOY53" s="15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15"/>
      <c r="DPL53" s="15"/>
      <c r="DPM53" s="15"/>
      <c r="DPN53" s="15"/>
      <c r="DPO53" s="15"/>
      <c r="DPP53" s="15"/>
      <c r="DPQ53" s="15"/>
      <c r="DPR53" s="15"/>
      <c r="DPS53" s="15"/>
      <c r="DPT53" s="15"/>
      <c r="DPU53" s="15"/>
      <c r="DPV53" s="15"/>
      <c r="DPW53" s="15"/>
      <c r="DPX53" s="15"/>
      <c r="DPY53" s="15"/>
      <c r="DPZ53" s="15"/>
      <c r="DQA53" s="15"/>
      <c r="DQB53" s="15"/>
      <c r="DQC53" s="15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15"/>
      <c r="DQP53" s="15"/>
      <c r="DQQ53" s="15"/>
      <c r="DQR53" s="15"/>
      <c r="DQS53" s="15"/>
      <c r="DQT53" s="15"/>
      <c r="DQU53" s="15"/>
      <c r="DQV53" s="15"/>
      <c r="DQW53" s="15"/>
      <c r="DQX53" s="15"/>
      <c r="DQY53" s="15"/>
      <c r="DQZ53" s="15"/>
      <c r="DRA53" s="15"/>
      <c r="DRB53" s="15"/>
      <c r="DRC53" s="15"/>
      <c r="DRD53" s="15"/>
      <c r="DRE53" s="15"/>
      <c r="DRF53" s="15"/>
      <c r="DRG53" s="15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15"/>
      <c r="DRT53" s="15"/>
      <c r="DRU53" s="15"/>
      <c r="DRV53" s="15"/>
      <c r="DRW53" s="15"/>
      <c r="DRX53" s="15"/>
      <c r="DRY53" s="15"/>
      <c r="DRZ53" s="15"/>
      <c r="DSA53" s="15"/>
      <c r="DSB53" s="15"/>
      <c r="DSC53" s="15"/>
      <c r="DSD53" s="15"/>
      <c r="DSE53" s="15"/>
      <c r="DSF53" s="15"/>
      <c r="DSG53" s="15"/>
      <c r="DSH53" s="15"/>
      <c r="DSI53" s="15"/>
      <c r="DSJ53" s="15"/>
      <c r="DSK53" s="15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15"/>
      <c r="DSX53" s="15"/>
      <c r="DSY53" s="15"/>
      <c r="DSZ53" s="15"/>
      <c r="DTA53" s="15"/>
      <c r="DTB53" s="15"/>
      <c r="DTC53" s="15"/>
      <c r="DTD53" s="15"/>
      <c r="DTE53" s="15"/>
      <c r="DTF53" s="15"/>
      <c r="DTG53" s="15"/>
      <c r="DTH53" s="15"/>
      <c r="DTI53" s="15"/>
      <c r="DTJ53" s="15"/>
      <c r="DTK53" s="15"/>
      <c r="DTL53" s="15"/>
      <c r="DTM53" s="15"/>
      <c r="DTN53" s="15"/>
      <c r="DTO53" s="15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15"/>
      <c r="DUB53" s="15"/>
      <c r="DUC53" s="15"/>
      <c r="DUD53" s="15"/>
      <c r="DUE53" s="15"/>
      <c r="DUF53" s="15"/>
      <c r="DUG53" s="15"/>
      <c r="DUH53" s="15"/>
      <c r="DUI53" s="15"/>
      <c r="DUJ53" s="15"/>
      <c r="DUK53" s="15"/>
      <c r="DUL53" s="15"/>
      <c r="DUM53" s="15"/>
      <c r="DUN53" s="15"/>
      <c r="DUO53" s="15"/>
      <c r="DUP53" s="15"/>
      <c r="DUQ53" s="15"/>
      <c r="DUR53" s="15"/>
      <c r="DUS53" s="15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15"/>
      <c r="DVF53" s="15"/>
      <c r="DVG53" s="15"/>
      <c r="DVH53" s="15"/>
      <c r="DVI53" s="15"/>
      <c r="DVJ53" s="15"/>
      <c r="DVK53" s="15"/>
      <c r="DVL53" s="15"/>
      <c r="DVM53" s="15"/>
      <c r="DVN53" s="15"/>
      <c r="DVO53" s="15"/>
      <c r="DVP53" s="15"/>
      <c r="DVQ53" s="15"/>
      <c r="DVR53" s="15"/>
      <c r="DVS53" s="15"/>
      <c r="DVT53" s="15"/>
      <c r="DVU53" s="15"/>
      <c r="DVV53" s="15"/>
      <c r="DVW53" s="15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15"/>
      <c r="DWJ53" s="15"/>
      <c r="DWK53" s="15"/>
      <c r="DWL53" s="15"/>
      <c r="DWM53" s="15"/>
      <c r="DWN53" s="15"/>
      <c r="DWO53" s="15"/>
      <c r="DWP53" s="15"/>
      <c r="DWQ53" s="15"/>
      <c r="DWR53" s="15"/>
      <c r="DWS53" s="15"/>
      <c r="DWT53" s="15"/>
      <c r="DWU53" s="15"/>
      <c r="DWV53" s="15"/>
      <c r="DWW53" s="15"/>
      <c r="DWX53" s="15"/>
      <c r="DWY53" s="15"/>
      <c r="DWZ53" s="15"/>
      <c r="DXA53" s="15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15"/>
      <c r="DXN53" s="15"/>
      <c r="DXO53" s="15"/>
      <c r="DXP53" s="15"/>
      <c r="DXQ53" s="15"/>
      <c r="DXR53" s="15"/>
      <c r="DXS53" s="15"/>
      <c r="DXT53" s="15"/>
      <c r="DXU53" s="15"/>
      <c r="DXV53" s="15"/>
      <c r="DXW53" s="15"/>
      <c r="DXX53" s="15"/>
      <c r="DXY53" s="15"/>
      <c r="DXZ53" s="15"/>
      <c r="DYA53" s="15"/>
      <c r="DYB53" s="15"/>
      <c r="DYC53" s="15"/>
      <c r="DYD53" s="15"/>
      <c r="DYE53" s="15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15"/>
      <c r="DYR53" s="15"/>
      <c r="DYS53" s="15"/>
      <c r="DYT53" s="15"/>
      <c r="DYU53" s="15"/>
      <c r="DYV53" s="15"/>
      <c r="DYW53" s="15"/>
      <c r="DYX53" s="15"/>
      <c r="DYY53" s="15"/>
      <c r="DYZ53" s="15"/>
      <c r="DZA53" s="15"/>
      <c r="DZB53" s="15"/>
      <c r="DZC53" s="15"/>
      <c r="DZD53" s="15"/>
      <c r="DZE53" s="15"/>
      <c r="DZF53" s="15"/>
      <c r="DZG53" s="15"/>
      <c r="DZH53" s="15"/>
      <c r="DZI53" s="15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15"/>
      <c r="DZV53" s="15"/>
      <c r="DZW53" s="15"/>
      <c r="DZX53" s="15"/>
      <c r="DZY53" s="15"/>
      <c r="DZZ53" s="15"/>
      <c r="EAA53" s="15"/>
      <c r="EAB53" s="15"/>
      <c r="EAC53" s="15"/>
      <c r="EAD53" s="15"/>
      <c r="EAE53" s="15"/>
      <c r="EAF53" s="15"/>
      <c r="EAG53" s="15"/>
      <c r="EAH53" s="15"/>
      <c r="EAI53" s="15"/>
      <c r="EAJ53" s="15"/>
      <c r="EAK53" s="15"/>
      <c r="EAL53" s="15"/>
      <c r="EAM53" s="15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15"/>
      <c r="EAZ53" s="15"/>
      <c r="EBA53" s="15"/>
      <c r="EBB53" s="15"/>
      <c r="EBC53" s="15"/>
      <c r="EBD53" s="15"/>
      <c r="EBE53" s="15"/>
      <c r="EBF53" s="15"/>
      <c r="EBG53" s="15"/>
      <c r="EBH53" s="15"/>
      <c r="EBI53" s="15"/>
      <c r="EBJ53" s="15"/>
      <c r="EBK53" s="15"/>
      <c r="EBL53" s="15"/>
      <c r="EBM53" s="15"/>
      <c r="EBN53" s="15"/>
      <c r="EBO53" s="15"/>
      <c r="EBP53" s="15"/>
      <c r="EBQ53" s="15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15"/>
      <c r="ECD53" s="15"/>
      <c r="ECE53" s="15"/>
      <c r="ECF53" s="15"/>
      <c r="ECG53" s="15"/>
      <c r="ECH53" s="15"/>
      <c r="ECI53" s="15"/>
      <c r="ECJ53" s="15"/>
      <c r="ECK53" s="15"/>
      <c r="ECL53" s="15"/>
      <c r="ECM53" s="15"/>
      <c r="ECN53" s="15"/>
      <c r="ECO53" s="15"/>
      <c r="ECP53" s="15"/>
      <c r="ECQ53" s="15"/>
      <c r="ECR53" s="15"/>
      <c r="ECS53" s="15"/>
      <c r="ECT53" s="15"/>
      <c r="ECU53" s="15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15"/>
      <c r="EDH53" s="15"/>
      <c r="EDI53" s="15"/>
      <c r="EDJ53" s="15"/>
      <c r="EDK53" s="15"/>
      <c r="EDL53" s="15"/>
      <c r="EDM53" s="15"/>
      <c r="EDN53" s="15"/>
      <c r="EDO53" s="15"/>
      <c r="EDP53" s="15"/>
      <c r="EDQ53" s="15"/>
      <c r="EDR53" s="15"/>
      <c r="EDS53" s="15"/>
      <c r="EDT53" s="15"/>
      <c r="EDU53" s="15"/>
      <c r="EDV53" s="15"/>
      <c r="EDW53" s="15"/>
      <c r="EDX53" s="15"/>
      <c r="EDY53" s="15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15"/>
      <c r="EEL53" s="15"/>
      <c r="EEM53" s="15"/>
      <c r="EEN53" s="15"/>
      <c r="EEO53" s="15"/>
      <c r="EEP53" s="15"/>
      <c r="EEQ53" s="15"/>
      <c r="EER53" s="15"/>
      <c r="EES53" s="15"/>
      <c r="EET53" s="15"/>
      <c r="EEU53" s="15"/>
      <c r="EEV53" s="15"/>
      <c r="EEW53" s="15"/>
      <c r="EEX53" s="15"/>
      <c r="EEY53" s="15"/>
      <c r="EEZ53" s="15"/>
      <c r="EFA53" s="15"/>
      <c r="EFB53" s="15"/>
      <c r="EFC53" s="15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15"/>
      <c r="EFP53" s="15"/>
      <c r="EFQ53" s="15"/>
      <c r="EFR53" s="15"/>
      <c r="EFS53" s="15"/>
      <c r="EFT53" s="15"/>
      <c r="EFU53" s="15"/>
      <c r="EFV53" s="15"/>
      <c r="EFW53" s="15"/>
      <c r="EFX53" s="15"/>
      <c r="EFY53" s="15"/>
      <c r="EFZ53" s="15"/>
      <c r="EGA53" s="15"/>
      <c r="EGB53" s="15"/>
      <c r="EGC53" s="15"/>
      <c r="EGD53" s="15"/>
      <c r="EGE53" s="15"/>
      <c r="EGF53" s="15"/>
      <c r="EGG53" s="15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15"/>
      <c r="EGT53" s="15"/>
      <c r="EGU53" s="15"/>
      <c r="EGV53" s="15"/>
      <c r="EGW53" s="15"/>
      <c r="EGX53" s="15"/>
      <c r="EGY53" s="15"/>
      <c r="EGZ53" s="15"/>
      <c r="EHA53" s="15"/>
      <c r="EHB53" s="15"/>
      <c r="EHC53" s="15"/>
      <c r="EHD53" s="15"/>
      <c r="EHE53" s="15"/>
      <c r="EHF53" s="15"/>
      <c r="EHG53" s="15"/>
      <c r="EHH53" s="15"/>
      <c r="EHI53" s="15"/>
      <c r="EHJ53" s="15"/>
      <c r="EHK53" s="15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15"/>
      <c r="EHX53" s="15"/>
      <c r="EHY53" s="15"/>
      <c r="EHZ53" s="15"/>
      <c r="EIA53" s="15"/>
      <c r="EIB53" s="15"/>
      <c r="EIC53" s="15"/>
      <c r="EID53" s="15"/>
      <c r="EIE53" s="15"/>
      <c r="EIF53" s="15"/>
      <c r="EIG53" s="15"/>
      <c r="EIH53" s="15"/>
      <c r="EII53" s="15"/>
      <c r="EIJ53" s="15"/>
      <c r="EIK53" s="15"/>
      <c r="EIL53" s="15"/>
      <c r="EIM53" s="15"/>
      <c r="EIN53" s="15"/>
      <c r="EIO53" s="15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15"/>
      <c r="EJB53" s="15"/>
      <c r="EJC53" s="15"/>
      <c r="EJD53" s="15"/>
      <c r="EJE53" s="15"/>
      <c r="EJF53" s="15"/>
      <c r="EJG53" s="15"/>
      <c r="EJH53" s="15"/>
      <c r="EJI53" s="15"/>
      <c r="EJJ53" s="15"/>
      <c r="EJK53" s="15"/>
      <c r="EJL53" s="15"/>
      <c r="EJM53" s="15"/>
      <c r="EJN53" s="15"/>
      <c r="EJO53" s="15"/>
      <c r="EJP53" s="15"/>
      <c r="EJQ53" s="15"/>
      <c r="EJR53" s="15"/>
      <c r="EJS53" s="15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15"/>
      <c r="EKF53" s="15"/>
      <c r="EKG53" s="15"/>
      <c r="EKH53" s="15"/>
      <c r="EKI53" s="15"/>
      <c r="EKJ53" s="15"/>
      <c r="EKK53" s="15"/>
      <c r="EKL53" s="15"/>
      <c r="EKM53" s="15"/>
      <c r="EKN53" s="15"/>
      <c r="EKO53" s="15"/>
      <c r="EKP53" s="15"/>
      <c r="EKQ53" s="15"/>
      <c r="EKR53" s="15"/>
      <c r="EKS53" s="15"/>
      <c r="EKT53" s="15"/>
      <c r="EKU53" s="15"/>
      <c r="EKV53" s="15"/>
      <c r="EKW53" s="15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15"/>
      <c r="ELJ53" s="15"/>
      <c r="ELK53" s="15"/>
      <c r="ELL53" s="15"/>
      <c r="ELM53" s="15"/>
      <c r="ELN53" s="15"/>
      <c r="ELO53" s="15"/>
      <c r="ELP53" s="15"/>
      <c r="ELQ53" s="15"/>
      <c r="ELR53" s="15"/>
      <c r="ELS53" s="15"/>
      <c r="ELT53" s="15"/>
      <c r="ELU53" s="15"/>
      <c r="ELV53" s="15"/>
      <c r="ELW53" s="15"/>
      <c r="ELX53" s="15"/>
      <c r="ELY53" s="15"/>
      <c r="ELZ53" s="15"/>
      <c r="EMA53" s="15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15"/>
      <c r="EMN53" s="15"/>
      <c r="EMO53" s="15"/>
      <c r="EMP53" s="15"/>
      <c r="EMQ53" s="15"/>
      <c r="EMR53" s="15"/>
      <c r="EMS53" s="15"/>
      <c r="EMT53" s="15"/>
      <c r="EMU53" s="15"/>
      <c r="EMV53" s="15"/>
      <c r="EMW53" s="15"/>
      <c r="EMX53" s="15"/>
      <c r="EMY53" s="15"/>
      <c r="EMZ53" s="15"/>
      <c r="ENA53" s="15"/>
      <c r="ENB53" s="15"/>
      <c r="ENC53" s="15"/>
      <c r="END53" s="15"/>
      <c r="ENE53" s="15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15"/>
      <c r="ENR53" s="15"/>
      <c r="ENS53" s="15"/>
      <c r="ENT53" s="15"/>
      <c r="ENU53" s="15"/>
      <c r="ENV53" s="15"/>
      <c r="ENW53" s="15"/>
      <c r="ENX53" s="15"/>
      <c r="ENY53" s="15"/>
      <c r="ENZ53" s="15"/>
      <c r="EOA53" s="15"/>
      <c r="EOB53" s="15"/>
      <c r="EOC53" s="15"/>
      <c r="EOD53" s="15"/>
      <c r="EOE53" s="15"/>
      <c r="EOF53" s="15"/>
      <c r="EOG53" s="15"/>
      <c r="EOH53" s="15"/>
      <c r="EOI53" s="15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15"/>
      <c r="EOV53" s="15"/>
      <c r="EOW53" s="15"/>
      <c r="EOX53" s="15"/>
      <c r="EOY53" s="15"/>
      <c r="EOZ53" s="15"/>
      <c r="EPA53" s="15"/>
      <c r="EPB53" s="15"/>
      <c r="EPC53" s="15"/>
      <c r="EPD53" s="15"/>
      <c r="EPE53" s="15"/>
      <c r="EPF53" s="15"/>
      <c r="EPG53" s="15"/>
      <c r="EPH53" s="15"/>
      <c r="EPI53" s="15"/>
      <c r="EPJ53" s="15"/>
      <c r="EPK53" s="15"/>
      <c r="EPL53" s="15"/>
      <c r="EPM53" s="15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15"/>
      <c r="EPZ53" s="15"/>
      <c r="EQA53" s="15"/>
      <c r="EQB53" s="15"/>
      <c r="EQC53" s="15"/>
      <c r="EQD53" s="15"/>
      <c r="EQE53" s="15"/>
      <c r="EQF53" s="15"/>
      <c r="EQG53" s="15"/>
      <c r="EQH53" s="15"/>
      <c r="EQI53" s="15"/>
      <c r="EQJ53" s="15"/>
      <c r="EQK53" s="15"/>
      <c r="EQL53" s="15"/>
      <c r="EQM53" s="15"/>
      <c r="EQN53" s="15"/>
      <c r="EQO53" s="15"/>
      <c r="EQP53" s="15"/>
      <c r="EQQ53" s="15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15"/>
      <c r="ERD53" s="15"/>
      <c r="ERE53" s="15"/>
      <c r="ERF53" s="15"/>
      <c r="ERG53" s="15"/>
      <c r="ERH53" s="15"/>
      <c r="ERI53" s="15"/>
      <c r="ERJ53" s="15"/>
      <c r="ERK53" s="15"/>
      <c r="ERL53" s="15"/>
      <c r="ERM53" s="15"/>
      <c r="ERN53" s="15"/>
      <c r="ERO53" s="15"/>
      <c r="ERP53" s="15"/>
      <c r="ERQ53" s="15"/>
      <c r="ERR53" s="15"/>
      <c r="ERS53" s="15"/>
      <c r="ERT53" s="15"/>
      <c r="ERU53" s="15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15"/>
      <c r="ESH53" s="15"/>
      <c r="ESI53" s="15"/>
      <c r="ESJ53" s="15"/>
      <c r="ESK53" s="15"/>
      <c r="ESL53" s="15"/>
      <c r="ESM53" s="15"/>
      <c r="ESN53" s="15"/>
      <c r="ESO53" s="15"/>
      <c r="ESP53" s="15"/>
      <c r="ESQ53" s="15"/>
      <c r="ESR53" s="15"/>
      <c r="ESS53" s="15"/>
      <c r="EST53" s="15"/>
      <c r="ESU53" s="15"/>
      <c r="ESV53" s="15"/>
      <c r="ESW53" s="15"/>
      <c r="ESX53" s="15"/>
      <c r="ESY53" s="15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15"/>
      <c r="ETL53" s="15"/>
      <c r="ETM53" s="15"/>
      <c r="ETN53" s="15"/>
      <c r="ETO53" s="15"/>
      <c r="ETP53" s="15"/>
      <c r="ETQ53" s="15"/>
      <c r="ETR53" s="15"/>
      <c r="ETS53" s="15"/>
      <c r="ETT53" s="15"/>
      <c r="ETU53" s="15"/>
      <c r="ETV53" s="15"/>
      <c r="ETW53" s="15"/>
      <c r="ETX53" s="15"/>
      <c r="ETY53" s="15"/>
      <c r="ETZ53" s="15"/>
      <c r="EUA53" s="15"/>
      <c r="EUB53" s="15"/>
      <c r="EUC53" s="15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15"/>
      <c r="EUP53" s="15"/>
      <c r="EUQ53" s="15"/>
      <c r="EUR53" s="15"/>
      <c r="EUS53" s="15"/>
      <c r="EUT53" s="15"/>
      <c r="EUU53" s="15"/>
      <c r="EUV53" s="15"/>
      <c r="EUW53" s="15"/>
      <c r="EUX53" s="15"/>
      <c r="EUY53" s="15"/>
      <c r="EUZ53" s="15"/>
      <c r="EVA53" s="15"/>
      <c r="EVB53" s="15"/>
      <c r="EVC53" s="15"/>
      <c r="EVD53" s="15"/>
      <c r="EVE53" s="15"/>
      <c r="EVF53" s="15"/>
      <c r="EVG53" s="15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15"/>
      <c r="EVT53" s="15"/>
      <c r="EVU53" s="15"/>
      <c r="EVV53" s="15"/>
      <c r="EVW53" s="15"/>
      <c r="EVX53" s="15"/>
      <c r="EVY53" s="15"/>
      <c r="EVZ53" s="15"/>
      <c r="EWA53" s="15"/>
      <c r="EWB53" s="15"/>
      <c r="EWC53" s="15"/>
      <c r="EWD53" s="15"/>
      <c r="EWE53" s="15"/>
      <c r="EWF53" s="15"/>
      <c r="EWG53" s="15"/>
      <c r="EWH53" s="15"/>
      <c r="EWI53" s="15"/>
      <c r="EWJ53" s="15"/>
      <c r="EWK53" s="15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15"/>
      <c r="EWX53" s="15"/>
      <c r="EWY53" s="15"/>
      <c r="EWZ53" s="15"/>
      <c r="EXA53" s="15"/>
      <c r="EXB53" s="15"/>
      <c r="EXC53" s="15"/>
      <c r="EXD53" s="15"/>
      <c r="EXE53" s="15"/>
      <c r="EXF53" s="15"/>
      <c r="EXG53" s="15"/>
      <c r="EXH53" s="15"/>
      <c r="EXI53" s="15"/>
      <c r="EXJ53" s="15"/>
      <c r="EXK53" s="15"/>
      <c r="EXL53" s="15"/>
      <c r="EXM53" s="15"/>
      <c r="EXN53" s="15"/>
      <c r="EXO53" s="15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15"/>
      <c r="EYB53" s="15"/>
      <c r="EYC53" s="15"/>
      <c r="EYD53" s="15"/>
      <c r="EYE53" s="15"/>
      <c r="EYF53" s="15"/>
      <c r="EYG53" s="15"/>
      <c r="EYH53" s="15"/>
      <c r="EYI53" s="15"/>
      <c r="EYJ53" s="15"/>
      <c r="EYK53" s="15"/>
      <c r="EYL53" s="15"/>
      <c r="EYM53" s="15"/>
      <c r="EYN53" s="15"/>
      <c r="EYO53" s="15"/>
      <c r="EYP53" s="15"/>
      <c r="EYQ53" s="15"/>
      <c r="EYR53" s="15"/>
      <c r="EYS53" s="15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15"/>
      <c r="EZF53" s="15"/>
      <c r="EZG53" s="15"/>
      <c r="EZH53" s="15"/>
      <c r="EZI53" s="15"/>
      <c r="EZJ53" s="15"/>
      <c r="EZK53" s="15"/>
      <c r="EZL53" s="15"/>
      <c r="EZM53" s="15"/>
      <c r="EZN53" s="15"/>
      <c r="EZO53" s="15"/>
      <c r="EZP53" s="15"/>
      <c r="EZQ53" s="15"/>
      <c r="EZR53" s="15"/>
      <c r="EZS53" s="15"/>
      <c r="EZT53" s="15"/>
      <c r="EZU53" s="15"/>
      <c r="EZV53" s="15"/>
      <c r="EZW53" s="15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15"/>
      <c r="FAJ53" s="15"/>
      <c r="FAK53" s="15"/>
      <c r="FAL53" s="15"/>
      <c r="FAM53" s="15"/>
      <c r="FAN53" s="15"/>
      <c r="FAO53" s="15"/>
      <c r="FAP53" s="15"/>
      <c r="FAQ53" s="15"/>
      <c r="FAR53" s="15"/>
      <c r="FAS53" s="15"/>
      <c r="FAT53" s="15"/>
      <c r="FAU53" s="15"/>
      <c r="FAV53" s="15"/>
      <c r="FAW53" s="15"/>
      <c r="FAX53" s="15"/>
      <c r="FAY53" s="15"/>
      <c r="FAZ53" s="15"/>
      <c r="FBA53" s="15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15"/>
      <c r="FBN53" s="15"/>
      <c r="FBO53" s="15"/>
      <c r="FBP53" s="15"/>
      <c r="FBQ53" s="15"/>
      <c r="FBR53" s="15"/>
      <c r="FBS53" s="15"/>
      <c r="FBT53" s="15"/>
      <c r="FBU53" s="15"/>
      <c r="FBV53" s="15"/>
      <c r="FBW53" s="15"/>
      <c r="FBX53" s="15"/>
      <c r="FBY53" s="15"/>
      <c r="FBZ53" s="15"/>
      <c r="FCA53" s="15"/>
      <c r="FCB53" s="15"/>
      <c r="FCC53" s="15"/>
      <c r="FCD53" s="15"/>
      <c r="FCE53" s="15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15"/>
      <c r="FCR53" s="15"/>
      <c r="FCS53" s="15"/>
      <c r="FCT53" s="15"/>
      <c r="FCU53" s="15"/>
      <c r="FCV53" s="15"/>
      <c r="FCW53" s="15"/>
      <c r="FCX53" s="15"/>
      <c r="FCY53" s="15"/>
      <c r="FCZ53" s="15"/>
      <c r="FDA53" s="15"/>
      <c r="FDB53" s="15"/>
      <c r="FDC53" s="15"/>
      <c r="FDD53" s="15"/>
      <c r="FDE53" s="15"/>
      <c r="FDF53" s="15"/>
      <c r="FDG53" s="15"/>
      <c r="FDH53" s="15"/>
      <c r="FDI53" s="15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15"/>
      <c r="FDV53" s="15"/>
      <c r="FDW53" s="15"/>
      <c r="FDX53" s="15"/>
      <c r="FDY53" s="15"/>
      <c r="FDZ53" s="15"/>
      <c r="FEA53" s="15"/>
      <c r="FEB53" s="15"/>
      <c r="FEC53" s="15"/>
      <c r="FED53" s="15"/>
      <c r="FEE53" s="15"/>
      <c r="FEF53" s="15"/>
      <c r="FEG53" s="15"/>
      <c r="FEH53" s="15"/>
      <c r="FEI53" s="15"/>
      <c r="FEJ53" s="15"/>
      <c r="FEK53" s="15"/>
      <c r="FEL53" s="15"/>
      <c r="FEM53" s="15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15"/>
      <c r="FEZ53" s="15"/>
      <c r="FFA53" s="15"/>
      <c r="FFB53" s="15"/>
      <c r="FFC53" s="15"/>
      <c r="FFD53" s="15"/>
      <c r="FFE53" s="15"/>
      <c r="FFF53" s="15"/>
      <c r="FFG53" s="15"/>
      <c r="FFH53" s="15"/>
      <c r="FFI53" s="15"/>
      <c r="FFJ53" s="15"/>
      <c r="FFK53" s="15"/>
      <c r="FFL53" s="15"/>
      <c r="FFM53" s="15"/>
      <c r="FFN53" s="15"/>
      <c r="FFO53" s="15"/>
      <c r="FFP53" s="15"/>
      <c r="FFQ53" s="15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15"/>
      <c r="FGD53" s="15"/>
      <c r="FGE53" s="15"/>
      <c r="FGF53" s="15"/>
      <c r="FGG53" s="15"/>
      <c r="FGH53" s="15"/>
      <c r="FGI53" s="15"/>
      <c r="FGJ53" s="15"/>
      <c r="FGK53" s="15"/>
      <c r="FGL53" s="15"/>
      <c r="FGM53" s="15"/>
      <c r="FGN53" s="15"/>
      <c r="FGO53" s="15"/>
      <c r="FGP53" s="15"/>
      <c r="FGQ53" s="15"/>
      <c r="FGR53" s="15"/>
      <c r="FGS53" s="15"/>
      <c r="FGT53" s="15"/>
      <c r="FGU53" s="15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15"/>
      <c r="FHH53" s="15"/>
      <c r="FHI53" s="15"/>
      <c r="FHJ53" s="15"/>
      <c r="FHK53" s="15"/>
      <c r="FHL53" s="15"/>
      <c r="FHM53" s="15"/>
      <c r="FHN53" s="15"/>
      <c r="FHO53" s="15"/>
      <c r="FHP53" s="15"/>
      <c r="FHQ53" s="15"/>
      <c r="FHR53" s="15"/>
      <c r="FHS53" s="15"/>
      <c r="FHT53" s="15"/>
      <c r="FHU53" s="15"/>
      <c r="FHV53" s="15"/>
      <c r="FHW53" s="15"/>
      <c r="FHX53" s="15"/>
      <c r="FHY53" s="15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15"/>
      <c r="FIL53" s="15"/>
      <c r="FIM53" s="15"/>
      <c r="FIN53" s="15"/>
      <c r="FIO53" s="15"/>
      <c r="FIP53" s="15"/>
      <c r="FIQ53" s="15"/>
      <c r="FIR53" s="15"/>
      <c r="FIS53" s="15"/>
      <c r="FIT53" s="15"/>
      <c r="FIU53" s="15"/>
      <c r="FIV53" s="15"/>
      <c r="FIW53" s="15"/>
      <c r="FIX53" s="15"/>
      <c r="FIY53" s="15"/>
      <c r="FIZ53" s="15"/>
      <c r="FJA53" s="15"/>
      <c r="FJB53" s="15"/>
      <c r="FJC53" s="15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15"/>
      <c r="FJP53" s="15"/>
      <c r="FJQ53" s="15"/>
      <c r="FJR53" s="15"/>
      <c r="FJS53" s="15"/>
      <c r="FJT53" s="15"/>
      <c r="FJU53" s="15"/>
      <c r="FJV53" s="15"/>
      <c r="FJW53" s="15"/>
      <c r="FJX53" s="15"/>
      <c r="FJY53" s="15"/>
      <c r="FJZ53" s="15"/>
      <c r="FKA53" s="15"/>
      <c r="FKB53" s="15"/>
      <c r="FKC53" s="15"/>
      <c r="FKD53" s="15"/>
      <c r="FKE53" s="15"/>
      <c r="FKF53" s="15"/>
      <c r="FKG53" s="15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15"/>
      <c r="FKT53" s="15"/>
      <c r="FKU53" s="15"/>
      <c r="FKV53" s="15"/>
      <c r="FKW53" s="15"/>
      <c r="FKX53" s="15"/>
      <c r="FKY53" s="15"/>
      <c r="FKZ53" s="15"/>
      <c r="FLA53" s="15"/>
      <c r="FLB53" s="15"/>
      <c r="FLC53" s="15"/>
      <c r="FLD53" s="15"/>
      <c r="FLE53" s="15"/>
      <c r="FLF53" s="15"/>
      <c r="FLG53" s="15"/>
      <c r="FLH53" s="15"/>
      <c r="FLI53" s="15"/>
      <c r="FLJ53" s="15"/>
      <c r="FLK53" s="15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15"/>
      <c r="FLX53" s="15"/>
      <c r="FLY53" s="15"/>
      <c r="FLZ53" s="15"/>
      <c r="FMA53" s="15"/>
      <c r="FMB53" s="15"/>
      <c r="FMC53" s="15"/>
      <c r="FMD53" s="15"/>
      <c r="FME53" s="15"/>
      <c r="FMF53" s="15"/>
      <c r="FMG53" s="15"/>
      <c r="FMH53" s="15"/>
      <c r="FMI53" s="15"/>
      <c r="FMJ53" s="15"/>
      <c r="FMK53" s="15"/>
      <c r="FML53" s="15"/>
      <c r="FMM53" s="15"/>
      <c r="FMN53" s="15"/>
      <c r="FMO53" s="15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15"/>
      <c r="FNB53" s="15"/>
      <c r="FNC53" s="15"/>
      <c r="FND53" s="15"/>
      <c r="FNE53" s="15"/>
      <c r="FNF53" s="15"/>
      <c r="FNG53" s="15"/>
      <c r="FNH53" s="15"/>
      <c r="FNI53" s="15"/>
      <c r="FNJ53" s="15"/>
      <c r="FNK53" s="15"/>
      <c r="FNL53" s="15"/>
      <c r="FNM53" s="15"/>
      <c r="FNN53" s="15"/>
      <c r="FNO53" s="15"/>
      <c r="FNP53" s="15"/>
      <c r="FNQ53" s="15"/>
      <c r="FNR53" s="15"/>
      <c r="FNS53" s="15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15"/>
      <c r="FOF53" s="15"/>
      <c r="FOG53" s="15"/>
      <c r="FOH53" s="15"/>
      <c r="FOI53" s="15"/>
      <c r="FOJ53" s="15"/>
      <c r="FOK53" s="15"/>
      <c r="FOL53" s="15"/>
      <c r="FOM53" s="15"/>
      <c r="FON53" s="15"/>
      <c r="FOO53" s="15"/>
      <c r="FOP53" s="15"/>
      <c r="FOQ53" s="15"/>
      <c r="FOR53" s="15"/>
      <c r="FOS53" s="15"/>
      <c r="FOT53" s="15"/>
      <c r="FOU53" s="15"/>
      <c r="FOV53" s="15"/>
      <c r="FOW53" s="15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15"/>
      <c r="FPJ53" s="15"/>
      <c r="FPK53" s="15"/>
      <c r="FPL53" s="15"/>
      <c r="FPM53" s="15"/>
      <c r="FPN53" s="15"/>
      <c r="FPO53" s="15"/>
      <c r="FPP53" s="15"/>
      <c r="FPQ53" s="15"/>
      <c r="FPR53" s="15"/>
      <c r="FPS53" s="15"/>
      <c r="FPT53" s="15"/>
      <c r="FPU53" s="15"/>
      <c r="FPV53" s="15"/>
      <c r="FPW53" s="15"/>
      <c r="FPX53" s="15"/>
      <c r="FPY53" s="15"/>
      <c r="FPZ53" s="15"/>
      <c r="FQA53" s="15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15"/>
      <c r="FQN53" s="15"/>
      <c r="FQO53" s="15"/>
      <c r="FQP53" s="15"/>
      <c r="FQQ53" s="15"/>
      <c r="FQR53" s="15"/>
      <c r="FQS53" s="15"/>
      <c r="FQT53" s="15"/>
      <c r="FQU53" s="15"/>
      <c r="FQV53" s="15"/>
      <c r="FQW53" s="15"/>
      <c r="FQX53" s="15"/>
      <c r="FQY53" s="15"/>
      <c r="FQZ53" s="15"/>
      <c r="FRA53" s="15"/>
      <c r="FRB53" s="15"/>
      <c r="FRC53" s="15"/>
      <c r="FRD53" s="15"/>
      <c r="FRE53" s="15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15"/>
      <c r="FRR53" s="15"/>
      <c r="FRS53" s="15"/>
      <c r="FRT53" s="15"/>
      <c r="FRU53" s="15"/>
      <c r="FRV53" s="15"/>
      <c r="FRW53" s="15"/>
      <c r="FRX53" s="15"/>
      <c r="FRY53" s="15"/>
      <c r="FRZ53" s="15"/>
      <c r="FSA53" s="15"/>
      <c r="FSB53" s="15"/>
      <c r="FSC53" s="15"/>
      <c r="FSD53" s="15"/>
      <c r="FSE53" s="15"/>
      <c r="FSF53" s="15"/>
      <c r="FSG53" s="15"/>
      <c r="FSH53" s="15"/>
      <c r="FSI53" s="15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15"/>
      <c r="FSV53" s="15"/>
      <c r="FSW53" s="15"/>
      <c r="FSX53" s="15"/>
      <c r="FSY53" s="15"/>
      <c r="FSZ53" s="15"/>
      <c r="FTA53" s="15"/>
      <c r="FTB53" s="15"/>
      <c r="FTC53" s="15"/>
      <c r="FTD53" s="15"/>
      <c r="FTE53" s="15"/>
      <c r="FTF53" s="15"/>
      <c r="FTG53" s="15"/>
      <c r="FTH53" s="15"/>
      <c r="FTI53" s="15"/>
      <c r="FTJ53" s="15"/>
      <c r="FTK53" s="15"/>
      <c r="FTL53" s="15"/>
      <c r="FTM53" s="15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15"/>
      <c r="FTZ53" s="15"/>
      <c r="FUA53" s="15"/>
      <c r="FUB53" s="15"/>
      <c r="FUC53" s="15"/>
      <c r="FUD53" s="15"/>
      <c r="FUE53" s="15"/>
      <c r="FUF53" s="15"/>
      <c r="FUG53" s="15"/>
      <c r="FUH53" s="15"/>
      <c r="FUI53" s="15"/>
      <c r="FUJ53" s="15"/>
      <c r="FUK53" s="15"/>
      <c r="FUL53" s="15"/>
      <c r="FUM53" s="15"/>
      <c r="FUN53" s="15"/>
      <c r="FUO53" s="15"/>
      <c r="FUP53" s="15"/>
      <c r="FUQ53" s="15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15"/>
      <c r="FVD53" s="15"/>
      <c r="FVE53" s="15"/>
      <c r="FVF53" s="15"/>
      <c r="FVG53" s="15"/>
      <c r="FVH53" s="15"/>
      <c r="FVI53" s="15"/>
      <c r="FVJ53" s="15"/>
      <c r="FVK53" s="15"/>
      <c r="FVL53" s="15"/>
      <c r="FVM53" s="15"/>
      <c r="FVN53" s="15"/>
      <c r="FVO53" s="15"/>
      <c r="FVP53" s="15"/>
      <c r="FVQ53" s="15"/>
      <c r="FVR53" s="15"/>
      <c r="FVS53" s="15"/>
      <c r="FVT53" s="15"/>
      <c r="FVU53" s="15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15"/>
      <c r="FWH53" s="15"/>
      <c r="FWI53" s="15"/>
      <c r="FWJ53" s="15"/>
      <c r="FWK53" s="15"/>
      <c r="FWL53" s="15"/>
      <c r="FWM53" s="15"/>
      <c r="FWN53" s="15"/>
      <c r="FWO53" s="15"/>
      <c r="FWP53" s="15"/>
      <c r="FWQ53" s="15"/>
      <c r="FWR53" s="15"/>
      <c r="FWS53" s="15"/>
      <c r="FWT53" s="15"/>
      <c r="FWU53" s="15"/>
      <c r="FWV53" s="15"/>
      <c r="FWW53" s="15"/>
      <c r="FWX53" s="15"/>
      <c r="FWY53" s="15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15"/>
      <c r="FXL53" s="15"/>
      <c r="FXM53" s="15"/>
      <c r="FXN53" s="15"/>
      <c r="FXO53" s="15"/>
      <c r="FXP53" s="15"/>
      <c r="FXQ53" s="15"/>
      <c r="FXR53" s="15"/>
      <c r="FXS53" s="15"/>
      <c r="FXT53" s="15"/>
      <c r="FXU53" s="15"/>
      <c r="FXV53" s="15"/>
      <c r="FXW53" s="15"/>
      <c r="FXX53" s="15"/>
      <c r="FXY53" s="15"/>
      <c r="FXZ53" s="15"/>
      <c r="FYA53" s="15"/>
      <c r="FYB53" s="15"/>
      <c r="FYC53" s="15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15"/>
      <c r="FYP53" s="15"/>
      <c r="FYQ53" s="15"/>
      <c r="FYR53" s="15"/>
      <c r="FYS53" s="15"/>
      <c r="FYT53" s="15"/>
      <c r="FYU53" s="15"/>
      <c r="FYV53" s="15"/>
      <c r="FYW53" s="15"/>
      <c r="FYX53" s="15"/>
      <c r="FYY53" s="15"/>
      <c r="FYZ53" s="15"/>
      <c r="FZA53" s="15"/>
      <c r="FZB53" s="15"/>
      <c r="FZC53" s="15"/>
      <c r="FZD53" s="15"/>
      <c r="FZE53" s="15"/>
      <c r="FZF53" s="15"/>
      <c r="FZG53" s="15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15"/>
      <c r="FZT53" s="15"/>
      <c r="FZU53" s="15"/>
      <c r="FZV53" s="15"/>
      <c r="FZW53" s="15"/>
      <c r="FZX53" s="15"/>
      <c r="FZY53" s="15"/>
      <c r="FZZ53" s="15"/>
      <c r="GAA53" s="15"/>
      <c r="GAB53" s="15"/>
      <c r="GAC53" s="15"/>
      <c r="GAD53" s="15"/>
      <c r="GAE53" s="15"/>
      <c r="GAF53" s="15"/>
      <c r="GAG53" s="15"/>
      <c r="GAH53" s="15"/>
      <c r="GAI53" s="15"/>
      <c r="GAJ53" s="15"/>
      <c r="GAK53" s="15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15"/>
      <c r="GAX53" s="15"/>
      <c r="GAY53" s="15"/>
      <c r="GAZ53" s="15"/>
      <c r="GBA53" s="15"/>
      <c r="GBB53" s="15"/>
      <c r="GBC53" s="15"/>
      <c r="GBD53" s="15"/>
      <c r="GBE53" s="15"/>
      <c r="GBF53" s="15"/>
      <c r="GBG53" s="15"/>
      <c r="GBH53" s="15"/>
      <c r="GBI53" s="15"/>
      <c r="GBJ53" s="15"/>
      <c r="GBK53" s="15"/>
      <c r="GBL53" s="15"/>
      <c r="GBM53" s="15"/>
      <c r="GBN53" s="15"/>
      <c r="GBO53" s="15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15"/>
      <c r="GCB53" s="15"/>
      <c r="GCC53" s="15"/>
      <c r="GCD53" s="15"/>
      <c r="GCE53" s="15"/>
      <c r="GCF53" s="15"/>
      <c r="GCG53" s="15"/>
      <c r="GCH53" s="15"/>
      <c r="GCI53" s="15"/>
      <c r="GCJ53" s="15"/>
      <c r="GCK53" s="15"/>
      <c r="GCL53" s="15"/>
      <c r="GCM53" s="15"/>
      <c r="GCN53" s="15"/>
      <c r="GCO53" s="15"/>
      <c r="GCP53" s="15"/>
      <c r="GCQ53" s="15"/>
      <c r="GCR53" s="15"/>
      <c r="GCS53" s="15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15"/>
      <c r="GDF53" s="15"/>
      <c r="GDG53" s="15"/>
      <c r="GDH53" s="15"/>
      <c r="GDI53" s="15"/>
      <c r="GDJ53" s="15"/>
      <c r="GDK53" s="15"/>
      <c r="GDL53" s="15"/>
      <c r="GDM53" s="15"/>
      <c r="GDN53" s="15"/>
      <c r="GDO53" s="15"/>
      <c r="GDP53" s="15"/>
      <c r="GDQ53" s="15"/>
      <c r="GDR53" s="15"/>
      <c r="GDS53" s="15"/>
      <c r="GDT53" s="15"/>
      <c r="GDU53" s="15"/>
      <c r="GDV53" s="15"/>
      <c r="GDW53" s="15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15"/>
      <c r="GEJ53" s="15"/>
      <c r="GEK53" s="15"/>
      <c r="GEL53" s="15"/>
      <c r="GEM53" s="15"/>
      <c r="GEN53" s="15"/>
      <c r="GEO53" s="15"/>
      <c r="GEP53" s="15"/>
      <c r="GEQ53" s="15"/>
      <c r="GER53" s="15"/>
      <c r="GES53" s="15"/>
      <c r="GET53" s="15"/>
      <c r="GEU53" s="15"/>
      <c r="GEV53" s="15"/>
      <c r="GEW53" s="15"/>
      <c r="GEX53" s="15"/>
      <c r="GEY53" s="15"/>
      <c r="GEZ53" s="15"/>
      <c r="GFA53" s="15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15"/>
      <c r="GFN53" s="15"/>
      <c r="GFO53" s="15"/>
      <c r="GFP53" s="15"/>
      <c r="GFQ53" s="15"/>
      <c r="GFR53" s="15"/>
      <c r="GFS53" s="15"/>
      <c r="GFT53" s="15"/>
      <c r="GFU53" s="15"/>
      <c r="GFV53" s="15"/>
      <c r="GFW53" s="15"/>
      <c r="GFX53" s="15"/>
      <c r="GFY53" s="15"/>
      <c r="GFZ53" s="15"/>
      <c r="GGA53" s="15"/>
      <c r="GGB53" s="15"/>
      <c r="GGC53" s="15"/>
      <c r="GGD53" s="15"/>
      <c r="GGE53" s="15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15"/>
      <c r="GGR53" s="15"/>
      <c r="GGS53" s="15"/>
      <c r="GGT53" s="15"/>
      <c r="GGU53" s="15"/>
      <c r="GGV53" s="15"/>
      <c r="GGW53" s="15"/>
      <c r="GGX53" s="15"/>
      <c r="GGY53" s="15"/>
      <c r="GGZ53" s="15"/>
      <c r="GHA53" s="15"/>
      <c r="GHB53" s="15"/>
      <c r="GHC53" s="15"/>
      <c r="GHD53" s="15"/>
      <c r="GHE53" s="15"/>
      <c r="GHF53" s="15"/>
      <c r="GHG53" s="15"/>
      <c r="GHH53" s="15"/>
      <c r="GHI53" s="15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15"/>
      <c r="GHV53" s="15"/>
      <c r="GHW53" s="15"/>
      <c r="GHX53" s="15"/>
      <c r="GHY53" s="15"/>
      <c r="GHZ53" s="15"/>
      <c r="GIA53" s="15"/>
      <c r="GIB53" s="15"/>
      <c r="GIC53" s="15"/>
      <c r="GID53" s="15"/>
      <c r="GIE53" s="15"/>
      <c r="GIF53" s="15"/>
      <c r="GIG53" s="15"/>
      <c r="GIH53" s="15"/>
      <c r="GII53" s="15"/>
      <c r="GIJ53" s="15"/>
      <c r="GIK53" s="15"/>
      <c r="GIL53" s="15"/>
      <c r="GIM53" s="15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15"/>
      <c r="GIZ53" s="15"/>
      <c r="GJA53" s="15"/>
      <c r="GJB53" s="15"/>
      <c r="GJC53" s="15"/>
      <c r="GJD53" s="15"/>
      <c r="GJE53" s="15"/>
      <c r="GJF53" s="15"/>
      <c r="GJG53" s="15"/>
      <c r="GJH53" s="15"/>
      <c r="GJI53" s="15"/>
      <c r="GJJ53" s="15"/>
      <c r="GJK53" s="15"/>
      <c r="GJL53" s="15"/>
      <c r="GJM53" s="15"/>
      <c r="GJN53" s="15"/>
      <c r="GJO53" s="15"/>
      <c r="GJP53" s="15"/>
      <c r="GJQ53" s="15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15"/>
      <c r="GKD53" s="15"/>
      <c r="GKE53" s="15"/>
      <c r="GKF53" s="15"/>
      <c r="GKG53" s="15"/>
      <c r="GKH53" s="15"/>
      <c r="GKI53" s="15"/>
      <c r="GKJ53" s="15"/>
      <c r="GKK53" s="15"/>
      <c r="GKL53" s="15"/>
      <c r="GKM53" s="15"/>
      <c r="GKN53" s="15"/>
      <c r="GKO53" s="15"/>
      <c r="GKP53" s="15"/>
      <c r="GKQ53" s="15"/>
      <c r="GKR53" s="15"/>
      <c r="GKS53" s="15"/>
      <c r="GKT53" s="15"/>
      <c r="GKU53" s="15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15"/>
      <c r="GLH53" s="15"/>
      <c r="GLI53" s="15"/>
      <c r="GLJ53" s="15"/>
      <c r="GLK53" s="15"/>
      <c r="GLL53" s="15"/>
      <c r="GLM53" s="15"/>
      <c r="GLN53" s="15"/>
      <c r="GLO53" s="15"/>
      <c r="GLP53" s="15"/>
      <c r="GLQ53" s="15"/>
      <c r="GLR53" s="15"/>
      <c r="GLS53" s="15"/>
      <c r="GLT53" s="15"/>
      <c r="GLU53" s="15"/>
      <c r="GLV53" s="15"/>
      <c r="GLW53" s="15"/>
      <c r="GLX53" s="15"/>
      <c r="GLY53" s="15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15"/>
      <c r="GML53" s="15"/>
      <c r="GMM53" s="15"/>
      <c r="GMN53" s="15"/>
      <c r="GMO53" s="15"/>
      <c r="GMP53" s="15"/>
      <c r="GMQ53" s="15"/>
      <c r="GMR53" s="15"/>
      <c r="GMS53" s="15"/>
      <c r="GMT53" s="15"/>
      <c r="GMU53" s="15"/>
      <c r="GMV53" s="15"/>
      <c r="GMW53" s="15"/>
      <c r="GMX53" s="15"/>
      <c r="GMY53" s="15"/>
      <c r="GMZ53" s="15"/>
      <c r="GNA53" s="15"/>
      <c r="GNB53" s="15"/>
      <c r="GNC53" s="15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15"/>
      <c r="GNP53" s="15"/>
      <c r="GNQ53" s="15"/>
      <c r="GNR53" s="15"/>
      <c r="GNS53" s="15"/>
      <c r="GNT53" s="15"/>
      <c r="GNU53" s="15"/>
      <c r="GNV53" s="15"/>
      <c r="GNW53" s="15"/>
      <c r="GNX53" s="15"/>
      <c r="GNY53" s="15"/>
      <c r="GNZ53" s="15"/>
      <c r="GOA53" s="15"/>
      <c r="GOB53" s="15"/>
      <c r="GOC53" s="15"/>
      <c r="GOD53" s="15"/>
      <c r="GOE53" s="15"/>
      <c r="GOF53" s="15"/>
      <c r="GOG53" s="15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15"/>
      <c r="GOT53" s="15"/>
      <c r="GOU53" s="15"/>
      <c r="GOV53" s="15"/>
      <c r="GOW53" s="15"/>
      <c r="GOX53" s="15"/>
      <c r="GOY53" s="15"/>
      <c r="GOZ53" s="15"/>
      <c r="GPA53" s="15"/>
      <c r="GPB53" s="15"/>
      <c r="GPC53" s="15"/>
      <c r="GPD53" s="15"/>
      <c r="GPE53" s="15"/>
      <c r="GPF53" s="15"/>
      <c r="GPG53" s="15"/>
      <c r="GPH53" s="15"/>
      <c r="GPI53" s="15"/>
      <c r="GPJ53" s="15"/>
      <c r="GPK53" s="15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15"/>
      <c r="GPX53" s="15"/>
      <c r="GPY53" s="15"/>
      <c r="GPZ53" s="15"/>
      <c r="GQA53" s="15"/>
      <c r="GQB53" s="15"/>
      <c r="GQC53" s="15"/>
      <c r="GQD53" s="15"/>
      <c r="GQE53" s="15"/>
      <c r="GQF53" s="15"/>
      <c r="GQG53" s="15"/>
      <c r="GQH53" s="15"/>
      <c r="GQI53" s="15"/>
      <c r="GQJ53" s="15"/>
      <c r="GQK53" s="15"/>
      <c r="GQL53" s="15"/>
      <c r="GQM53" s="15"/>
      <c r="GQN53" s="15"/>
      <c r="GQO53" s="15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15"/>
      <c r="GRB53" s="15"/>
      <c r="GRC53" s="15"/>
      <c r="GRD53" s="15"/>
      <c r="GRE53" s="15"/>
      <c r="GRF53" s="15"/>
      <c r="GRG53" s="15"/>
      <c r="GRH53" s="15"/>
      <c r="GRI53" s="15"/>
      <c r="GRJ53" s="15"/>
      <c r="GRK53" s="15"/>
      <c r="GRL53" s="15"/>
      <c r="GRM53" s="15"/>
      <c r="GRN53" s="15"/>
      <c r="GRO53" s="15"/>
      <c r="GRP53" s="15"/>
      <c r="GRQ53" s="15"/>
      <c r="GRR53" s="15"/>
      <c r="GRS53" s="15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15"/>
      <c r="GSF53" s="15"/>
      <c r="GSG53" s="15"/>
      <c r="GSH53" s="15"/>
      <c r="GSI53" s="15"/>
      <c r="GSJ53" s="15"/>
      <c r="GSK53" s="15"/>
      <c r="GSL53" s="15"/>
      <c r="GSM53" s="15"/>
      <c r="GSN53" s="15"/>
      <c r="GSO53" s="15"/>
      <c r="GSP53" s="15"/>
      <c r="GSQ53" s="15"/>
      <c r="GSR53" s="15"/>
      <c r="GSS53" s="15"/>
      <c r="GST53" s="15"/>
      <c r="GSU53" s="15"/>
      <c r="GSV53" s="15"/>
      <c r="GSW53" s="15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15"/>
      <c r="GTJ53" s="15"/>
      <c r="GTK53" s="15"/>
      <c r="GTL53" s="15"/>
      <c r="GTM53" s="15"/>
      <c r="GTN53" s="15"/>
      <c r="GTO53" s="15"/>
      <c r="GTP53" s="15"/>
      <c r="GTQ53" s="15"/>
      <c r="GTR53" s="15"/>
      <c r="GTS53" s="15"/>
      <c r="GTT53" s="15"/>
      <c r="GTU53" s="15"/>
      <c r="GTV53" s="15"/>
      <c r="GTW53" s="15"/>
      <c r="GTX53" s="15"/>
      <c r="GTY53" s="15"/>
      <c r="GTZ53" s="15"/>
      <c r="GUA53" s="15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15"/>
      <c r="GUN53" s="15"/>
      <c r="GUO53" s="15"/>
      <c r="GUP53" s="15"/>
      <c r="GUQ53" s="15"/>
      <c r="GUR53" s="15"/>
      <c r="GUS53" s="15"/>
      <c r="GUT53" s="15"/>
      <c r="GUU53" s="15"/>
      <c r="GUV53" s="15"/>
      <c r="GUW53" s="15"/>
      <c r="GUX53" s="15"/>
      <c r="GUY53" s="15"/>
      <c r="GUZ53" s="15"/>
      <c r="GVA53" s="15"/>
      <c r="GVB53" s="15"/>
      <c r="GVC53" s="15"/>
      <c r="GVD53" s="15"/>
      <c r="GVE53" s="15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15"/>
      <c r="GVR53" s="15"/>
      <c r="GVS53" s="15"/>
      <c r="GVT53" s="15"/>
      <c r="GVU53" s="15"/>
      <c r="GVV53" s="15"/>
      <c r="GVW53" s="15"/>
      <c r="GVX53" s="15"/>
      <c r="GVY53" s="15"/>
      <c r="GVZ53" s="15"/>
      <c r="GWA53" s="15"/>
      <c r="GWB53" s="15"/>
      <c r="GWC53" s="15"/>
      <c r="GWD53" s="15"/>
      <c r="GWE53" s="15"/>
      <c r="GWF53" s="15"/>
      <c r="GWG53" s="15"/>
      <c r="GWH53" s="15"/>
      <c r="GWI53" s="15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15"/>
      <c r="GWV53" s="15"/>
      <c r="GWW53" s="15"/>
      <c r="GWX53" s="15"/>
      <c r="GWY53" s="15"/>
      <c r="GWZ53" s="15"/>
      <c r="GXA53" s="15"/>
      <c r="GXB53" s="15"/>
      <c r="GXC53" s="15"/>
      <c r="GXD53" s="15"/>
      <c r="GXE53" s="15"/>
      <c r="GXF53" s="15"/>
      <c r="GXG53" s="15"/>
      <c r="GXH53" s="15"/>
      <c r="GXI53" s="15"/>
      <c r="GXJ53" s="15"/>
      <c r="GXK53" s="15"/>
      <c r="GXL53" s="15"/>
      <c r="GXM53" s="15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15"/>
      <c r="GXZ53" s="15"/>
      <c r="GYA53" s="15"/>
      <c r="GYB53" s="15"/>
      <c r="GYC53" s="15"/>
      <c r="GYD53" s="15"/>
      <c r="GYE53" s="15"/>
      <c r="GYF53" s="15"/>
      <c r="GYG53" s="15"/>
      <c r="GYH53" s="15"/>
      <c r="GYI53" s="15"/>
      <c r="GYJ53" s="15"/>
      <c r="GYK53" s="15"/>
      <c r="GYL53" s="15"/>
      <c r="GYM53" s="15"/>
      <c r="GYN53" s="15"/>
      <c r="GYO53" s="15"/>
      <c r="GYP53" s="15"/>
      <c r="GYQ53" s="15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15"/>
      <c r="GZD53" s="15"/>
      <c r="GZE53" s="15"/>
      <c r="GZF53" s="15"/>
      <c r="GZG53" s="15"/>
      <c r="GZH53" s="15"/>
      <c r="GZI53" s="15"/>
      <c r="GZJ53" s="15"/>
      <c r="GZK53" s="15"/>
      <c r="GZL53" s="15"/>
      <c r="GZM53" s="15"/>
      <c r="GZN53" s="15"/>
      <c r="GZO53" s="15"/>
      <c r="GZP53" s="15"/>
      <c r="GZQ53" s="15"/>
      <c r="GZR53" s="15"/>
      <c r="GZS53" s="15"/>
      <c r="GZT53" s="15"/>
      <c r="GZU53" s="15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15"/>
      <c r="HAH53" s="15"/>
      <c r="HAI53" s="15"/>
      <c r="HAJ53" s="15"/>
      <c r="HAK53" s="15"/>
      <c r="HAL53" s="15"/>
      <c r="HAM53" s="15"/>
      <c r="HAN53" s="15"/>
      <c r="HAO53" s="15"/>
      <c r="HAP53" s="15"/>
      <c r="HAQ53" s="15"/>
      <c r="HAR53" s="15"/>
      <c r="HAS53" s="15"/>
      <c r="HAT53" s="15"/>
      <c r="HAU53" s="15"/>
      <c r="HAV53" s="15"/>
      <c r="HAW53" s="15"/>
      <c r="HAX53" s="15"/>
      <c r="HAY53" s="15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15"/>
      <c r="HBL53" s="15"/>
      <c r="HBM53" s="15"/>
      <c r="HBN53" s="15"/>
      <c r="HBO53" s="15"/>
      <c r="HBP53" s="15"/>
      <c r="HBQ53" s="15"/>
      <c r="HBR53" s="15"/>
      <c r="HBS53" s="15"/>
      <c r="HBT53" s="15"/>
      <c r="HBU53" s="15"/>
      <c r="HBV53" s="15"/>
      <c r="HBW53" s="15"/>
      <c r="HBX53" s="15"/>
      <c r="HBY53" s="15"/>
      <c r="HBZ53" s="15"/>
      <c r="HCA53" s="15"/>
      <c r="HCB53" s="15"/>
      <c r="HCC53" s="15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15"/>
      <c r="HCP53" s="15"/>
      <c r="HCQ53" s="15"/>
      <c r="HCR53" s="15"/>
      <c r="HCS53" s="15"/>
      <c r="HCT53" s="15"/>
      <c r="HCU53" s="15"/>
      <c r="HCV53" s="15"/>
      <c r="HCW53" s="15"/>
      <c r="HCX53" s="15"/>
      <c r="HCY53" s="15"/>
      <c r="HCZ53" s="15"/>
      <c r="HDA53" s="15"/>
      <c r="HDB53" s="15"/>
      <c r="HDC53" s="15"/>
      <c r="HDD53" s="15"/>
      <c r="HDE53" s="15"/>
      <c r="HDF53" s="15"/>
      <c r="HDG53" s="15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15"/>
      <c r="HDT53" s="15"/>
      <c r="HDU53" s="15"/>
      <c r="HDV53" s="15"/>
      <c r="HDW53" s="15"/>
      <c r="HDX53" s="15"/>
      <c r="HDY53" s="15"/>
      <c r="HDZ53" s="15"/>
      <c r="HEA53" s="15"/>
      <c r="HEB53" s="15"/>
      <c r="HEC53" s="15"/>
      <c r="HED53" s="15"/>
      <c r="HEE53" s="15"/>
      <c r="HEF53" s="15"/>
      <c r="HEG53" s="15"/>
      <c r="HEH53" s="15"/>
      <c r="HEI53" s="15"/>
      <c r="HEJ53" s="15"/>
      <c r="HEK53" s="15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15"/>
      <c r="HEX53" s="15"/>
      <c r="HEY53" s="15"/>
      <c r="HEZ53" s="15"/>
      <c r="HFA53" s="15"/>
      <c r="HFB53" s="15"/>
      <c r="HFC53" s="15"/>
      <c r="HFD53" s="15"/>
      <c r="HFE53" s="15"/>
      <c r="HFF53" s="15"/>
      <c r="HFG53" s="15"/>
      <c r="HFH53" s="15"/>
      <c r="HFI53" s="15"/>
      <c r="HFJ53" s="15"/>
      <c r="HFK53" s="15"/>
      <c r="HFL53" s="15"/>
      <c r="HFM53" s="15"/>
      <c r="HFN53" s="15"/>
      <c r="HFO53" s="15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15"/>
      <c r="HGB53" s="15"/>
      <c r="HGC53" s="15"/>
      <c r="HGD53" s="15"/>
      <c r="HGE53" s="15"/>
      <c r="HGF53" s="15"/>
      <c r="HGG53" s="15"/>
      <c r="HGH53" s="15"/>
      <c r="HGI53" s="15"/>
      <c r="HGJ53" s="15"/>
      <c r="HGK53" s="15"/>
      <c r="HGL53" s="15"/>
      <c r="HGM53" s="15"/>
      <c r="HGN53" s="15"/>
      <c r="HGO53" s="15"/>
      <c r="HGP53" s="15"/>
      <c r="HGQ53" s="15"/>
      <c r="HGR53" s="15"/>
      <c r="HGS53" s="15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15"/>
      <c r="HHF53" s="15"/>
      <c r="HHG53" s="15"/>
      <c r="HHH53" s="15"/>
      <c r="HHI53" s="15"/>
      <c r="HHJ53" s="15"/>
      <c r="HHK53" s="15"/>
      <c r="HHL53" s="15"/>
      <c r="HHM53" s="15"/>
      <c r="HHN53" s="15"/>
      <c r="HHO53" s="15"/>
      <c r="HHP53" s="15"/>
      <c r="HHQ53" s="15"/>
      <c r="HHR53" s="15"/>
      <c r="HHS53" s="15"/>
      <c r="HHT53" s="15"/>
      <c r="HHU53" s="15"/>
      <c r="HHV53" s="15"/>
      <c r="HHW53" s="15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15"/>
      <c r="HIJ53" s="15"/>
      <c r="HIK53" s="15"/>
      <c r="HIL53" s="15"/>
      <c r="HIM53" s="15"/>
      <c r="HIN53" s="15"/>
      <c r="HIO53" s="15"/>
      <c r="HIP53" s="15"/>
      <c r="HIQ53" s="15"/>
      <c r="HIR53" s="15"/>
      <c r="HIS53" s="15"/>
      <c r="HIT53" s="15"/>
      <c r="HIU53" s="15"/>
      <c r="HIV53" s="15"/>
      <c r="HIW53" s="15"/>
      <c r="HIX53" s="15"/>
      <c r="HIY53" s="15"/>
      <c r="HIZ53" s="15"/>
      <c r="HJA53" s="15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15"/>
      <c r="HJN53" s="15"/>
      <c r="HJO53" s="15"/>
      <c r="HJP53" s="15"/>
      <c r="HJQ53" s="15"/>
      <c r="HJR53" s="15"/>
      <c r="HJS53" s="15"/>
      <c r="HJT53" s="15"/>
      <c r="HJU53" s="15"/>
      <c r="HJV53" s="15"/>
      <c r="HJW53" s="15"/>
      <c r="HJX53" s="15"/>
      <c r="HJY53" s="15"/>
      <c r="HJZ53" s="15"/>
      <c r="HKA53" s="15"/>
      <c r="HKB53" s="15"/>
      <c r="HKC53" s="15"/>
      <c r="HKD53" s="15"/>
      <c r="HKE53" s="15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15"/>
      <c r="HKR53" s="15"/>
      <c r="HKS53" s="15"/>
      <c r="HKT53" s="15"/>
      <c r="HKU53" s="15"/>
      <c r="HKV53" s="15"/>
      <c r="HKW53" s="15"/>
      <c r="HKX53" s="15"/>
      <c r="HKY53" s="15"/>
      <c r="HKZ53" s="15"/>
      <c r="HLA53" s="15"/>
      <c r="HLB53" s="15"/>
      <c r="HLC53" s="15"/>
      <c r="HLD53" s="15"/>
      <c r="HLE53" s="15"/>
      <c r="HLF53" s="15"/>
      <c r="HLG53" s="15"/>
      <c r="HLH53" s="15"/>
      <c r="HLI53" s="15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15"/>
      <c r="HLV53" s="15"/>
      <c r="HLW53" s="15"/>
      <c r="HLX53" s="15"/>
      <c r="HLY53" s="15"/>
      <c r="HLZ53" s="15"/>
      <c r="HMA53" s="15"/>
      <c r="HMB53" s="15"/>
      <c r="HMC53" s="15"/>
      <c r="HMD53" s="15"/>
      <c r="HME53" s="15"/>
      <c r="HMF53" s="15"/>
      <c r="HMG53" s="15"/>
      <c r="HMH53" s="15"/>
      <c r="HMI53" s="15"/>
      <c r="HMJ53" s="15"/>
      <c r="HMK53" s="15"/>
      <c r="HML53" s="15"/>
      <c r="HMM53" s="15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15"/>
      <c r="HMZ53" s="15"/>
      <c r="HNA53" s="15"/>
      <c r="HNB53" s="15"/>
      <c r="HNC53" s="15"/>
      <c r="HND53" s="15"/>
      <c r="HNE53" s="15"/>
      <c r="HNF53" s="15"/>
      <c r="HNG53" s="15"/>
      <c r="HNH53" s="15"/>
      <c r="HNI53" s="15"/>
      <c r="HNJ53" s="15"/>
      <c r="HNK53" s="15"/>
      <c r="HNL53" s="15"/>
      <c r="HNM53" s="15"/>
      <c r="HNN53" s="15"/>
      <c r="HNO53" s="15"/>
      <c r="HNP53" s="15"/>
      <c r="HNQ53" s="15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15"/>
      <c r="HOD53" s="15"/>
      <c r="HOE53" s="15"/>
      <c r="HOF53" s="15"/>
      <c r="HOG53" s="15"/>
      <c r="HOH53" s="15"/>
      <c r="HOI53" s="15"/>
      <c r="HOJ53" s="15"/>
      <c r="HOK53" s="15"/>
      <c r="HOL53" s="15"/>
      <c r="HOM53" s="15"/>
      <c r="HON53" s="15"/>
      <c r="HOO53" s="15"/>
      <c r="HOP53" s="15"/>
      <c r="HOQ53" s="15"/>
      <c r="HOR53" s="15"/>
      <c r="HOS53" s="15"/>
      <c r="HOT53" s="15"/>
      <c r="HOU53" s="15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15"/>
      <c r="HPH53" s="15"/>
      <c r="HPI53" s="15"/>
      <c r="HPJ53" s="15"/>
      <c r="HPK53" s="15"/>
      <c r="HPL53" s="15"/>
      <c r="HPM53" s="15"/>
      <c r="HPN53" s="15"/>
      <c r="HPO53" s="15"/>
      <c r="HPP53" s="15"/>
      <c r="HPQ53" s="15"/>
      <c r="HPR53" s="15"/>
      <c r="HPS53" s="15"/>
      <c r="HPT53" s="15"/>
      <c r="HPU53" s="15"/>
      <c r="HPV53" s="15"/>
      <c r="HPW53" s="15"/>
      <c r="HPX53" s="15"/>
      <c r="HPY53" s="15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15"/>
      <c r="HQL53" s="15"/>
      <c r="HQM53" s="15"/>
      <c r="HQN53" s="15"/>
      <c r="HQO53" s="15"/>
      <c r="HQP53" s="15"/>
      <c r="HQQ53" s="15"/>
      <c r="HQR53" s="15"/>
      <c r="HQS53" s="15"/>
      <c r="HQT53" s="15"/>
      <c r="HQU53" s="15"/>
      <c r="HQV53" s="15"/>
      <c r="HQW53" s="15"/>
      <c r="HQX53" s="15"/>
      <c r="HQY53" s="15"/>
      <c r="HQZ53" s="15"/>
      <c r="HRA53" s="15"/>
      <c r="HRB53" s="15"/>
      <c r="HRC53" s="15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15"/>
      <c r="HRP53" s="15"/>
      <c r="HRQ53" s="15"/>
      <c r="HRR53" s="15"/>
      <c r="HRS53" s="15"/>
      <c r="HRT53" s="15"/>
      <c r="HRU53" s="15"/>
      <c r="HRV53" s="15"/>
      <c r="HRW53" s="15"/>
      <c r="HRX53" s="15"/>
      <c r="HRY53" s="15"/>
      <c r="HRZ53" s="15"/>
      <c r="HSA53" s="15"/>
      <c r="HSB53" s="15"/>
      <c r="HSC53" s="15"/>
      <c r="HSD53" s="15"/>
      <c r="HSE53" s="15"/>
      <c r="HSF53" s="15"/>
      <c r="HSG53" s="15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15"/>
      <c r="HST53" s="15"/>
      <c r="HSU53" s="15"/>
      <c r="HSV53" s="15"/>
      <c r="HSW53" s="15"/>
      <c r="HSX53" s="15"/>
      <c r="HSY53" s="15"/>
      <c r="HSZ53" s="15"/>
      <c r="HTA53" s="15"/>
      <c r="HTB53" s="15"/>
      <c r="HTC53" s="15"/>
      <c r="HTD53" s="15"/>
      <c r="HTE53" s="15"/>
      <c r="HTF53" s="15"/>
      <c r="HTG53" s="15"/>
      <c r="HTH53" s="15"/>
      <c r="HTI53" s="15"/>
      <c r="HTJ53" s="15"/>
      <c r="HTK53" s="15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15"/>
      <c r="HTX53" s="15"/>
      <c r="HTY53" s="15"/>
      <c r="HTZ53" s="15"/>
      <c r="HUA53" s="15"/>
      <c r="HUB53" s="15"/>
      <c r="HUC53" s="15"/>
      <c r="HUD53" s="15"/>
      <c r="HUE53" s="15"/>
      <c r="HUF53" s="15"/>
      <c r="HUG53" s="15"/>
      <c r="HUH53" s="15"/>
      <c r="HUI53" s="15"/>
      <c r="HUJ53" s="15"/>
      <c r="HUK53" s="15"/>
      <c r="HUL53" s="15"/>
      <c r="HUM53" s="15"/>
      <c r="HUN53" s="15"/>
      <c r="HUO53" s="15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15"/>
      <c r="HVB53" s="15"/>
      <c r="HVC53" s="15"/>
      <c r="HVD53" s="15"/>
      <c r="HVE53" s="15"/>
      <c r="HVF53" s="15"/>
      <c r="HVG53" s="15"/>
      <c r="HVH53" s="15"/>
      <c r="HVI53" s="15"/>
      <c r="HVJ53" s="15"/>
      <c r="HVK53" s="15"/>
      <c r="HVL53" s="15"/>
      <c r="HVM53" s="15"/>
      <c r="HVN53" s="15"/>
      <c r="HVO53" s="15"/>
      <c r="HVP53" s="15"/>
      <c r="HVQ53" s="15"/>
      <c r="HVR53" s="15"/>
      <c r="HVS53" s="15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15"/>
      <c r="HWF53" s="15"/>
      <c r="HWG53" s="15"/>
      <c r="HWH53" s="15"/>
      <c r="HWI53" s="15"/>
      <c r="HWJ53" s="15"/>
      <c r="HWK53" s="15"/>
      <c r="HWL53" s="15"/>
      <c r="HWM53" s="15"/>
      <c r="HWN53" s="15"/>
      <c r="HWO53" s="15"/>
      <c r="HWP53" s="15"/>
      <c r="HWQ53" s="15"/>
      <c r="HWR53" s="15"/>
      <c r="HWS53" s="15"/>
      <c r="HWT53" s="15"/>
      <c r="HWU53" s="15"/>
      <c r="HWV53" s="15"/>
      <c r="HWW53" s="15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15"/>
      <c r="HXJ53" s="15"/>
      <c r="HXK53" s="15"/>
      <c r="HXL53" s="15"/>
      <c r="HXM53" s="15"/>
      <c r="HXN53" s="15"/>
      <c r="HXO53" s="15"/>
      <c r="HXP53" s="15"/>
      <c r="HXQ53" s="15"/>
      <c r="HXR53" s="15"/>
      <c r="HXS53" s="15"/>
      <c r="HXT53" s="15"/>
      <c r="HXU53" s="15"/>
      <c r="HXV53" s="15"/>
      <c r="HXW53" s="15"/>
      <c r="HXX53" s="15"/>
      <c r="HXY53" s="15"/>
      <c r="HXZ53" s="15"/>
      <c r="HYA53" s="15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15"/>
      <c r="HYN53" s="15"/>
      <c r="HYO53" s="15"/>
      <c r="HYP53" s="15"/>
      <c r="HYQ53" s="15"/>
      <c r="HYR53" s="15"/>
      <c r="HYS53" s="15"/>
      <c r="HYT53" s="15"/>
      <c r="HYU53" s="15"/>
      <c r="HYV53" s="15"/>
      <c r="HYW53" s="15"/>
      <c r="HYX53" s="15"/>
      <c r="HYY53" s="15"/>
      <c r="HYZ53" s="15"/>
      <c r="HZA53" s="15"/>
      <c r="HZB53" s="15"/>
      <c r="HZC53" s="15"/>
      <c r="HZD53" s="15"/>
      <c r="HZE53" s="15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15"/>
      <c r="HZR53" s="15"/>
      <c r="HZS53" s="15"/>
      <c r="HZT53" s="15"/>
      <c r="HZU53" s="15"/>
      <c r="HZV53" s="15"/>
      <c r="HZW53" s="15"/>
      <c r="HZX53" s="15"/>
      <c r="HZY53" s="15"/>
      <c r="HZZ53" s="15"/>
      <c r="IAA53" s="15"/>
      <c r="IAB53" s="15"/>
      <c r="IAC53" s="15"/>
      <c r="IAD53" s="15"/>
      <c r="IAE53" s="15"/>
      <c r="IAF53" s="15"/>
      <c r="IAG53" s="15"/>
      <c r="IAH53" s="15"/>
      <c r="IAI53" s="15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15"/>
      <c r="IAV53" s="15"/>
      <c r="IAW53" s="15"/>
      <c r="IAX53" s="15"/>
      <c r="IAY53" s="15"/>
      <c r="IAZ53" s="15"/>
      <c r="IBA53" s="15"/>
      <c r="IBB53" s="15"/>
      <c r="IBC53" s="15"/>
      <c r="IBD53" s="15"/>
      <c r="IBE53" s="15"/>
      <c r="IBF53" s="15"/>
      <c r="IBG53" s="15"/>
      <c r="IBH53" s="15"/>
      <c r="IBI53" s="15"/>
      <c r="IBJ53" s="15"/>
      <c r="IBK53" s="15"/>
      <c r="IBL53" s="15"/>
      <c r="IBM53" s="15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15"/>
      <c r="IBZ53" s="15"/>
      <c r="ICA53" s="15"/>
      <c r="ICB53" s="15"/>
      <c r="ICC53" s="15"/>
      <c r="ICD53" s="15"/>
      <c r="ICE53" s="15"/>
      <c r="ICF53" s="15"/>
      <c r="ICG53" s="15"/>
      <c r="ICH53" s="15"/>
      <c r="ICI53" s="15"/>
      <c r="ICJ53" s="15"/>
      <c r="ICK53" s="15"/>
      <c r="ICL53" s="15"/>
      <c r="ICM53" s="15"/>
      <c r="ICN53" s="15"/>
      <c r="ICO53" s="15"/>
      <c r="ICP53" s="15"/>
      <c r="ICQ53" s="15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15"/>
      <c r="IDD53" s="15"/>
      <c r="IDE53" s="15"/>
      <c r="IDF53" s="15"/>
      <c r="IDG53" s="15"/>
      <c r="IDH53" s="15"/>
      <c r="IDI53" s="15"/>
      <c r="IDJ53" s="15"/>
      <c r="IDK53" s="15"/>
      <c r="IDL53" s="15"/>
      <c r="IDM53" s="15"/>
      <c r="IDN53" s="15"/>
      <c r="IDO53" s="15"/>
      <c r="IDP53" s="15"/>
      <c r="IDQ53" s="15"/>
      <c r="IDR53" s="15"/>
      <c r="IDS53" s="15"/>
      <c r="IDT53" s="15"/>
      <c r="IDU53" s="15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15"/>
      <c r="IEH53" s="15"/>
      <c r="IEI53" s="15"/>
      <c r="IEJ53" s="15"/>
      <c r="IEK53" s="15"/>
      <c r="IEL53" s="15"/>
      <c r="IEM53" s="15"/>
      <c r="IEN53" s="15"/>
      <c r="IEO53" s="15"/>
      <c r="IEP53" s="15"/>
      <c r="IEQ53" s="15"/>
      <c r="IER53" s="15"/>
      <c r="IES53" s="15"/>
      <c r="IET53" s="15"/>
      <c r="IEU53" s="15"/>
      <c r="IEV53" s="15"/>
      <c r="IEW53" s="15"/>
      <c r="IEX53" s="15"/>
      <c r="IEY53" s="15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15"/>
      <c r="IFL53" s="15"/>
      <c r="IFM53" s="15"/>
      <c r="IFN53" s="15"/>
      <c r="IFO53" s="15"/>
      <c r="IFP53" s="15"/>
      <c r="IFQ53" s="15"/>
      <c r="IFR53" s="15"/>
      <c r="IFS53" s="15"/>
      <c r="IFT53" s="15"/>
      <c r="IFU53" s="15"/>
      <c r="IFV53" s="15"/>
      <c r="IFW53" s="15"/>
      <c r="IFX53" s="15"/>
      <c r="IFY53" s="15"/>
      <c r="IFZ53" s="15"/>
      <c r="IGA53" s="15"/>
      <c r="IGB53" s="15"/>
      <c r="IGC53" s="15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15"/>
      <c r="IGP53" s="15"/>
      <c r="IGQ53" s="15"/>
      <c r="IGR53" s="15"/>
      <c r="IGS53" s="15"/>
      <c r="IGT53" s="15"/>
      <c r="IGU53" s="15"/>
      <c r="IGV53" s="15"/>
      <c r="IGW53" s="15"/>
      <c r="IGX53" s="15"/>
      <c r="IGY53" s="15"/>
      <c r="IGZ53" s="15"/>
      <c r="IHA53" s="15"/>
      <c r="IHB53" s="15"/>
      <c r="IHC53" s="15"/>
      <c r="IHD53" s="15"/>
      <c r="IHE53" s="15"/>
      <c r="IHF53" s="15"/>
      <c r="IHG53" s="15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15"/>
      <c r="IHT53" s="15"/>
      <c r="IHU53" s="15"/>
      <c r="IHV53" s="15"/>
      <c r="IHW53" s="15"/>
      <c r="IHX53" s="15"/>
      <c r="IHY53" s="15"/>
      <c r="IHZ53" s="15"/>
      <c r="IIA53" s="15"/>
      <c r="IIB53" s="15"/>
      <c r="IIC53" s="15"/>
      <c r="IID53" s="15"/>
      <c r="IIE53" s="15"/>
      <c r="IIF53" s="15"/>
      <c r="IIG53" s="15"/>
      <c r="IIH53" s="15"/>
      <c r="III53" s="15"/>
      <c r="IIJ53" s="15"/>
      <c r="IIK53" s="15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15"/>
      <c r="IIX53" s="15"/>
      <c r="IIY53" s="15"/>
      <c r="IIZ53" s="15"/>
      <c r="IJA53" s="15"/>
      <c r="IJB53" s="15"/>
      <c r="IJC53" s="15"/>
      <c r="IJD53" s="15"/>
      <c r="IJE53" s="15"/>
      <c r="IJF53" s="15"/>
      <c r="IJG53" s="15"/>
      <c r="IJH53" s="15"/>
      <c r="IJI53" s="15"/>
      <c r="IJJ53" s="15"/>
      <c r="IJK53" s="15"/>
      <c r="IJL53" s="15"/>
      <c r="IJM53" s="15"/>
      <c r="IJN53" s="15"/>
      <c r="IJO53" s="15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15"/>
      <c r="IKB53" s="15"/>
      <c r="IKC53" s="15"/>
      <c r="IKD53" s="15"/>
      <c r="IKE53" s="15"/>
      <c r="IKF53" s="15"/>
      <c r="IKG53" s="15"/>
      <c r="IKH53" s="15"/>
      <c r="IKI53" s="15"/>
      <c r="IKJ53" s="15"/>
      <c r="IKK53" s="15"/>
      <c r="IKL53" s="15"/>
      <c r="IKM53" s="15"/>
      <c r="IKN53" s="15"/>
      <c r="IKO53" s="15"/>
      <c r="IKP53" s="15"/>
      <c r="IKQ53" s="15"/>
      <c r="IKR53" s="15"/>
      <c r="IKS53" s="15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15"/>
      <c r="ILF53" s="15"/>
      <c r="ILG53" s="15"/>
      <c r="ILH53" s="15"/>
      <c r="ILI53" s="15"/>
      <c r="ILJ53" s="15"/>
      <c r="ILK53" s="15"/>
      <c r="ILL53" s="15"/>
      <c r="ILM53" s="15"/>
      <c r="ILN53" s="15"/>
      <c r="ILO53" s="15"/>
      <c r="ILP53" s="15"/>
      <c r="ILQ53" s="15"/>
      <c r="ILR53" s="15"/>
      <c r="ILS53" s="15"/>
      <c r="ILT53" s="15"/>
      <c r="ILU53" s="15"/>
      <c r="ILV53" s="15"/>
      <c r="ILW53" s="15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15"/>
      <c r="IMJ53" s="15"/>
      <c r="IMK53" s="15"/>
      <c r="IML53" s="15"/>
      <c r="IMM53" s="15"/>
      <c r="IMN53" s="15"/>
      <c r="IMO53" s="15"/>
      <c r="IMP53" s="15"/>
      <c r="IMQ53" s="15"/>
      <c r="IMR53" s="15"/>
      <c r="IMS53" s="15"/>
      <c r="IMT53" s="15"/>
      <c r="IMU53" s="15"/>
      <c r="IMV53" s="15"/>
      <c r="IMW53" s="15"/>
      <c r="IMX53" s="15"/>
      <c r="IMY53" s="15"/>
      <c r="IMZ53" s="15"/>
      <c r="INA53" s="15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15"/>
      <c r="INN53" s="15"/>
      <c r="INO53" s="15"/>
      <c r="INP53" s="15"/>
      <c r="INQ53" s="15"/>
      <c r="INR53" s="15"/>
      <c r="INS53" s="15"/>
      <c r="INT53" s="15"/>
      <c r="INU53" s="15"/>
      <c r="INV53" s="15"/>
      <c r="INW53" s="15"/>
      <c r="INX53" s="15"/>
      <c r="INY53" s="15"/>
      <c r="INZ53" s="15"/>
      <c r="IOA53" s="15"/>
      <c r="IOB53" s="15"/>
      <c r="IOC53" s="15"/>
      <c r="IOD53" s="15"/>
      <c r="IOE53" s="15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15"/>
      <c r="IOR53" s="15"/>
      <c r="IOS53" s="15"/>
      <c r="IOT53" s="15"/>
      <c r="IOU53" s="15"/>
      <c r="IOV53" s="15"/>
      <c r="IOW53" s="15"/>
      <c r="IOX53" s="15"/>
      <c r="IOY53" s="15"/>
      <c r="IOZ53" s="15"/>
      <c r="IPA53" s="15"/>
      <c r="IPB53" s="15"/>
      <c r="IPC53" s="15"/>
      <c r="IPD53" s="15"/>
      <c r="IPE53" s="15"/>
      <c r="IPF53" s="15"/>
      <c r="IPG53" s="15"/>
      <c r="IPH53" s="15"/>
      <c r="IPI53" s="15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15"/>
      <c r="IPV53" s="15"/>
      <c r="IPW53" s="15"/>
      <c r="IPX53" s="15"/>
      <c r="IPY53" s="15"/>
      <c r="IPZ53" s="15"/>
      <c r="IQA53" s="15"/>
      <c r="IQB53" s="15"/>
      <c r="IQC53" s="15"/>
      <c r="IQD53" s="15"/>
      <c r="IQE53" s="15"/>
      <c r="IQF53" s="15"/>
      <c r="IQG53" s="15"/>
      <c r="IQH53" s="15"/>
      <c r="IQI53" s="15"/>
      <c r="IQJ53" s="15"/>
      <c r="IQK53" s="15"/>
      <c r="IQL53" s="15"/>
      <c r="IQM53" s="15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15"/>
      <c r="IQZ53" s="15"/>
      <c r="IRA53" s="15"/>
      <c r="IRB53" s="15"/>
      <c r="IRC53" s="15"/>
      <c r="IRD53" s="15"/>
      <c r="IRE53" s="15"/>
      <c r="IRF53" s="15"/>
      <c r="IRG53" s="15"/>
      <c r="IRH53" s="15"/>
      <c r="IRI53" s="15"/>
      <c r="IRJ53" s="15"/>
      <c r="IRK53" s="15"/>
      <c r="IRL53" s="15"/>
      <c r="IRM53" s="15"/>
      <c r="IRN53" s="15"/>
      <c r="IRO53" s="15"/>
      <c r="IRP53" s="15"/>
      <c r="IRQ53" s="15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15"/>
      <c r="ISD53" s="15"/>
      <c r="ISE53" s="15"/>
      <c r="ISF53" s="15"/>
      <c r="ISG53" s="15"/>
      <c r="ISH53" s="15"/>
      <c r="ISI53" s="15"/>
      <c r="ISJ53" s="15"/>
      <c r="ISK53" s="15"/>
      <c r="ISL53" s="15"/>
      <c r="ISM53" s="15"/>
      <c r="ISN53" s="15"/>
      <c r="ISO53" s="15"/>
      <c r="ISP53" s="15"/>
      <c r="ISQ53" s="15"/>
      <c r="ISR53" s="15"/>
      <c r="ISS53" s="15"/>
      <c r="IST53" s="15"/>
      <c r="ISU53" s="15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15"/>
      <c r="ITH53" s="15"/>
      <c r="ITI53" s="15"/>
      <c r="ITJ53" s="15"/>
      <c r="ITK53" s="15"/>
      <c r="ITL53" s="15"/>
      <c r="ITM53" s="15"/>
      <c r="ITN53" s="15"/>
      <c r="ITO53" s="15"/>
      <c r="ITP53" s="15"/>
      <c r="ITQ53" s="15"/>
      <c r="ITR53" s="15"/>
      <c r="ITS53" s="15"/>
      <c r="ITT53" s="15"/>
      <c r="ITU53" s="15"/>
      <c r="ITV53" s="15"/>
      <c r="ITW53" s="15"/>
      <c r="ITX53" s="15"/>
      <c r="ITY53" s="15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15"/>
      <c r="IUL53" s="15"/>
      <c r="IUM53" s="15"/>
      <c r="IUN53" s="15"/>
      <c r="IUO53" s="15"/>
      <c r="IUP53" s="15"/>
      <c r="IUQ53" s="15"/>
      <c r="IUR53" s="15"/>
      <c r="IUS53" s="15"/>
      <c r="IUT53" s="15"/>
      <c r="IUU53" s="15"/>
      <c r="IUV53" s="15"/>
      <c r="IUW53" s="15"/>
      <c r="IUX53" s="15"/>
      <c r="IUY53" s="15"/>
      <c r="IUZ53" s="15"/>
      <c r="IVA53" s="15"/>
      <c r="IVB53" s="15"/>
      <c r="IVC53" s="15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15"/>
      <c r="IVP53" s="15"/>
      <c r="IVQ53" s="15"/>
      <c r="IVR53" s="15"/>
      <c r="IVS53" s="15"/>
      <c r="IVT53" s="15"/>
      <c r="IVU53" s="15"/>
      <c r="IVV53" s="15"/>
      <c r="IVW53" s="15"/>
      <c r="IVX53" s="15"/>
      <c r="IVY53" s="15"/>
      <c r="IVZ53" s="15"/>
      <c r="IWA53" s="15"/>
      <c r="IWB53" s="15"/>
      <c r="IWC53" s="15"/>
      <c r="IWD53" s="15"/>
      <c r="IWE53" s="15"/>
      <c r="IWF53" s="15"/>
      <c r="IWG53" s="15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15"/>
      <c r="IWT53" s="15"/>
      <c r="IWU53" s="15"/>
      <c r="IWV53" s="15"/>
      <c r="IWW53" s="15"/>
      <c r="IWX53" s="15"/>
      <c r="IWY53" s="15"/>
      <c r="IWZ53" s="15"/>
      <c r="IXA53" s="15"/>
      <c r="IXB53" s="15"/>
      <c r="IXC53" s="15"/>
      <c r="IXD53" s="15"/>
      <c r="IXE53" s="15"/>
      <c r="IXF53" s="15"/>
      <c r="IXG53" s="15"/>
      <c r="IXH53" s="15"/>
      <c r="IXI53" s="15"/>
      <c r="IXJ53" s="15"/>
      <c r="IXK53" s="15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15"/>
      <c r="IXX53" s="15"/>
      <c r="IXY53" s="15"/>
      <c r="IXZ53" s="15"/>
      <c r="IYA53" s="15"/>
      <c r="IYB53" s="15"/>
      <c r="IYC53" s="15"/>
      <c r="IYD53" s="15"/>
      <c r="IYE53" s="15"/>
      <c r="IYF53" s="15"/>
      <c r="IYG53" s="15"/>
      <c r="IYH53" s="15"/>
      <c r="IYI53" s="15"/>
      <c r="IYJ53" s="15"/>
      <c r="IYK53" s="15"/>
      <c r="IYL53" s="15"/>
      <c r="IYM53" s="15"/>
      <c r="IYN53" s="15"/>
      <c r="IYO53" s="15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15"/>
      <c r="IZB53" s="15"/>
      <c r="IZC53" s="15"/>
      <c r="IZD53" s="15"/>
      <c r="IZE53" s="15"/>
      <c r="IZF53" s="15"/>
      <c r="IZG53" s="15"/>
      <c r="IZH53" s="15"/>
      <c r="IZI53" s="15"/>
      <c r="IZJ53" s="15"/>
      <c r="IZK53" s="15"/>
      <c r="IZL53" s="15"/>
      <c r="IZM53" s="15"/>
      <c r="IZN53" s="15"/>
      <c r="IZO53" s="15"/>
      <c r="IZP53" s="15"/>
      <c r="IZQ53" s="15"/>
      <c r="IZR53" s="15"/>
      <c r="IZS53" s="15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15"/>
      <c r="JAF53" s="15"/>
      <c r="JAG53" s="15"/>
      <c r="JAH53" s="15"/>
      <c r="JAI53" s="15"/>
      <c r="JAJ53" s="15"/>
      <c r="JAK53" s="15"/>
      <c r="JAL53" s="15"/>
      <c r="JAM53" s="15"/>
      <c r="JAN53" s="15"/>
      <c r="JAO53" s="15"/>
      <c r="JAP53" s="15"/>
      <c r="JAQ53" s="15"/>
      <c r="JAR53" s="15"/>
      <c r="JAS53" s="15"/>
      <c r="JAT53" s="15"/>
      <c r="JAU53" s="15"/>
      <c r="JAV53" s="15"/>
      <c r="JAW53" s="15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15"/>
      <c r="JBJ53" s="15"/>
      <c r="JBK53" s="15"/>
      <c r="JBL53" s="15"/>
      <c r="JBM53" s="15"/>
      <c r="JBN53" s="15"/>
      <c r="JBO53" s="15"/>
      <c r="JBP53" s="15"/>
      <c r="JBQ53" s="15"/>
      <c r="JBR53" s="15"/>
      <c r="JBS53" s="15"/>
      <c r="JBT53" s="15"/>
      <c r="JBU53" s="15"/>
      <c r="JBV53" s="15"/>
      <c r="JBW53" s="15"/>
      <c r="JBX53" s="15"/>
      <c r="JBY53" s="15"/>
      <c r="JBZ53" s="15"/>
      <c r="JCA53" s="15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15"/>
      <c r="JCN53" s="15"/>
      <c r="JCO53" s="15"/>
      <c r="JCP53" s="15"/>
      <c r="JCQ53" s="15"/>
      <c r="JCR53" s="15"/>
      <c r="JCS53" s="15"/>
      <c r="JCT53" s="15"/>
      <c r="JCU53" s="15"/>
      <c r="JCV53" s="15"/>
      <c r="JCW53" s="15"/>
      <c r="JCX53" s="15"/>
      <c r="JCY53" s="15"/>
      <c r="JCZ53" s="15"/>
      <c r="JDA53" s="15"/>
      <c r="JDB53" s="15"/>
      <c r="JDC53" s="15"/>
      <c r="JDD53" s="15"/>
      <c r="JDE53" s="15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15"/>
      <c r="JDR53" s="15"/>
      <c r="JDS53" s="15"/>
      <c r="JDT53" s="15"/>
      <c r="JDU53" s="15"/>
      <c r="JDV53" s="15"/>
      <c r="JDW53" s="15"/>
      <c r="JDX53" s="15"/>
      <c r="JDY53" s="15"/>
      <c r="JDZ53" s="15"/>
      <c r="JEA53" s="15"/>
      <c r="JEB53" s="15"/>
      <c r="JEC53" s="15"/>
      <c r="JED53" s="15"/>
      <c r="JEE53" s="15"/>
      <c r="JEF53" s="15"/>
      <c r="JEG53" s="15"/>
      <c r="JEH53" s="15"/>
      <c r="JEI53" s="15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15"/>
      <c r="JEV53" s="15"/>
      <c r="JEW53" s="15"/>
      <c r="JEX53" s="15"/>
      <c r="JEY53" s="15"/>
      <c r="JEZ53" s="15"/>
      <c r="JFA53" s="15"/>
      <c r="JFB53" s="15"/>
      <c r="JFC53" s="15"/>
      <c r="JFD53" s="15"/>
      <c r="JFE53" s="15"/>
      <c r="JFF53" s="15"/>
      <c r="JFG53" s="15"/>
      <c r="JFH53" s="15"/>
      <c r="JFI53" s="15"/>
      <c r="JFJ53" s="15"/>
      <c r="JFK53" s="15"/>
      <c r="JFL53" s="15"/>
      <c r="JFM53" s="15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15"/>
      <c r="JFZ53" s="15"/>
      <c r="JGA53" s="15"/>
      <c r="JGB53" s="15"/>
      <c r="JGC53" s="15"/>
      <c r="JGD53" s="15"/>
      <c r="JGE53" s="15"/>
      <c r="JGF53" s="15"/>
      <c r="JGG53" s="15"/>
      <c r="JGH53" s="15"/>
      <c r="JGI53" s="15"/>
      <c r="JGJ53" s="15"/>
      <c r="JGK53" s="15"/>
      <c r="JGL53" s="15"/>
      <c r="JGM53" s="15"/>
      <c r="JGN53" s="15"/>
      <c r="JGO53" s="15"/>
      <c r="JGP53" s="15"/>
      <c r="JGQ53" s="15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15"/>
      <c r="JHD53" s="15"/>
      <c r="JHE53" s="15"/>
      <c r="JHF53" s="15"/>
      <c r="JHG53" s="15"/>
      <c r="JHH53" s="15"/>
      <c r="JHI53" s="15"/>
      <c r="JHJ53" s="15"/>
      <c r="JHK53" s="15"/>
      <c r="JHL53" s="15"/>
      <c r="JHM53" s="15"/>
      <c r="JHN53" s="15"/>
      <c r="JHO53" s="15"/>
      <c r="JHP53" s="15"/>
      <c r="JHQ53" s="15"/>
      <c r="JHR53" s="15"/>
      <c r="JHS53" s="15"/>
      <c r="JHT53" s="15"/>
      <c r="JHU53" s="15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15"/>
      <c r="JIH53" s="15"/>
      <c r="JII53" s="15"/>
      <c r="JIJ53" s="15"/>
      <c r="JIK53" s="15"/>
      <c r="JIL53" s="15"/>
      <c r="JIM53" s="15"/>
      <c r="JIN53" s="15"/>
      <c r="JIO53" s="15"/>
      <c r="JIP53" s="15"/>
      <c r="JIQ53" s="15"/>
      <c r="JIR53" s="15"/>
      <c r="JIS53" s="15"/>
      <c r="JIT53" s="15"/>
      <c r="JIU53" s="15"/>
      <c r="JIV53" s="15"/>
      <c r="JIW53" s="15"/>
      <c r="JIX53" s="15"/>
      <c r="JIY53" s="15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15"/>
      <c r="JJL53" s="15"/>
      <c r="JJM53" s="15"/>
      <c r="JJN53" s="15"/>
      <c r="JJO53" s="15"/>
      <c r="JJP53" s="15"/>
      <c r="JJQ53" s="15"/>
      <c r="JJR53" s="15"/>
      <c r="JJS53" s="15"/>
      <c r="JJT53" s="15"/>
      <c r="JJU53" s="15"/>
      <c r="JJV53" s="15"/>
      <c r="JJW53" s="15"/>
      <c r="JJX53" s="15"/>
      <c r="JJY53" s="15"/>
      <c r="JJZ53" s="15"/>
      <c r="JKA53" s="15"/>
      <c r="JKB53" s="15"/>
      <c r="JKC53" s="15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15"/>
      <c r="JKP53" s="15"/>
      <c r="JKQ53" s="15"/>
      <c r="JKR53" s="15"/>
      <c r="JKS53" s="15"/>
      <c r="JKT53" s="15"/>
      <c r="JKU53" s="15"/>
      <c r="JKV53" s="15"/>
      <c r="JKW53" s="15"/>
      <c r="JKX53" s="15"/>
      <c r="JKY53" s="15"/>
      <c r="JKZ53" s="15"/>
      <c r="JLA53" s="15"/>
      <c r="JLB53" s="15"/>
      <c r="JLC53" s="15"/>
      <c r="JLD53" s="15"/>
      <c r="JLE53" s="15"/>
      <c r="JLF53" s="15"/>
      <c r="JLG53" s="15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15"/>
      <c r="JLT53" s="15"/>
      <c r="JLU53" s="15"/>
      <c r="JLV53" s="15"/>
      <c r="JLW53" s="15"/>
      <c r="JLX53" s="15"/>
      <c r="JLY53" s="15"/>
      <c r="JLZ53" s="15"/>
      <c r="JMA53" s="15"/>
      <c r="JMB53" s="15"/>
      <c r="JMC53" s="15"/>
      <c r="JMD53" s="15"/>
      <c r="JME53" s="15"/>
      <c r="JMF53" s="15"/>
      <c r="JMG53" s="15"/>
      <c r="JMH53" s="15"/>
      <c r="JMI53" s="15"/>
      <c r="JMJ53" s="15"/>
      <c r="JMK53" s="15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15"/>
      <c r="JMX53" s="15"/>
      <c r="JMY53" s="15"/>
      <c r="JMZ53" s="15"/>
      <c r="JNA53" s="15"/>
      <c r="JNB53" s="15"/>
      <c r="JNC53" s="15"/>
      <c r="JND53" s="15"/>
      <c r="JNE53" s="15"/>
      <c r="JNF53" s="15"/>
      <c r="JNG53" s="15"/>
      <c r="JNH53" s="15"/>
      <c r="JNI53" s="15"/>
      <c r="JNJ53" s="15"/>
      <c r="JNK53" s="15"/>
      <c r="JNL53" s="15"/>
      <c r="JNM53" s="15"/>
      <c r="JNN53" s="15"/>
      <c r="JNO53" s="15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15"/>
      <c r="JOB53" s="15"/>
      <c r="JOC53" s="15"/>
      <c r="JOD53" s="15"/>
      <c r="JOE53" s="15"/>
      <c r="JOF53" s="15"/>
      <c r="JOG53" s="15"/>
      <c r="JOH53" s="15"/>
      <c r="JOI53" s="15"/>
      <c r="JOJ53" s="15"/>
      <c r="JOK53" s="15"/>
      <c r="JOL53" s="15"/>
      <c r="JOM53" s="15"/>
      <c r="JON53" s="15"/>
      <c r="JOO53" s="15"/>
      <c r="JOP53" s="15"/>
      <c r="JOQ53" s="15"/>
      <c r="JOR53" s="15"/>
      <c r="JOS53" s="15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15"/>
      <c r="JPF53" s="15"/>
      <c r="JPG53" s="15"/>
      <c r="JPH53" s="15"/>
      <c r="JPI53" s="15"/>
      <c r="JPJ53" s="15"/>
      <c r="JPK53" s="15"/>
      <c r="JPL53" s="15"/>
      <c r="JPM53" s="15"/>
      <c r="JPN53" s="15"/>
      <c r="JPO53" s="15"/>
      <c r="JPP53" s="15"/>
      <c r="JPQ53" s="15"/>
      <c r="JPR53" s="15"/>
      <c r="JPS53" s="15"/>
      <c r="JPT53" s="15"/>
      <c r="JPU53" s="15"/>
      <c r="JPV53" s="15"/>
      <c r="JPW53" s="15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15"/>
      <c r="JQJ53" s="15"/>
      <c r="JQK53" s="15"/>
      <c r="JQL53" s="15"/>
      <c r="JQM53" s="15"/>
      <c r="JQN53" s="15"/>
      <c r="JQO53" s="15"/>
      <c r="JQP53" s="15"/>
      <c r="JQQ53" s="15"/>
      <c r="JQR53" s="15"/>
      <c r="JQS53" s="15"/>
      <c r="JQT53" s="15"/>
      <c r="JQU53" s="15"/>
      <c r="JQV53" s="15"/>
      <c r="JQW53" s="15"/>
      <c r="JQX53" s="15"/>
      <c r="JQY53" s="15"/>
      <c r="JQZ53" s="15"/>
      <c r="JRA53" s="15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15"/>
      <c r="JRN53" s="15"/>
      <c r="JRO53" s="15"/>
      <c r="JRP53" s="15"/>
      <c r="JRQ53" s="15"/>
      <c r="JRR53" s="15"/>
      <c r="JRS53" s="15"/>
      <c r="JRT53" s="15"/>
      <c r="JRU53" s="15"/>
      <c r="JRV53" s="15"/>
      <c r="JRW53" s="15"/>
      <c r="JRX53" s="15"/>
      <c r="JRY53" s="15"/>
      <c r="JRZ53" s="15"/>
      <c r="JSA53" s="15"/>
      <c r="JSB53" s="15"/>
      <c r="JSC53" s="15"/>
      <c r="JSD53" s="15"/>
      <c r="JSE53" s="15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15"/>
      <c r="JSR53" s="15"/>
      <c r="JSS53" s="15"/>
      <c r="JST53" s="15"/>
      <c r="JSU53" s="15"/>
      <c r="JSV53" s="15"/>
      <c r="JSW53" s="15"/>
      <c r="JSX53" s="15"/>
      <c r="JSY53" s="15"/>
      <c r="JSZ53" s="15"/>
      <c r="JTA53" s="15"/>
      <c r="JTB53" s="15"/>
      <c r="JTC53" s="15"/>
      <c r="JTD53" s="15"/>
      <c r="JTE53" s="15"/>
      <c r="JTF53" s="15"/>
      <c r="JTG53" s="15"/>
      <c r="JTH53" s="15"/>
      <c r="JTI53" s="15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15"/>
      <c r="JTV53" s="15"/>
      <c r="JTW53" s="15"/>
      <c r="JTX53" s="15"/>
      <c r="JTY53" s="15"/>
      <c r="JTZ53" s="15"/>
      <c r="JUA53" s="15"/>
      <c r="JUB53" s="15"/>
      <c r="JUC53" s="15"/>
      <c r="JUD53" s="15"/>
      <c r="JUE53" s="15"/>
      <c r="JUF53" s="15"/>
      <c r="JUG53" s="15"/>
      <c r="JUH53" s="15"/>
      <c r="JUI53" s="15"/>
      <c r="JUJ53" s="15"/>
      <c r="JUK53" s="15"/>
      <c r="JUL53" s="15"/>
      <c r="JUM53" s="15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15"/>
      <c r="JUZ53" s="15"/>
      <c r="JVA53" s="15"/>
      <c r="JVB53" s="15"/>
      <c r="JVC53" s="15"/>
      <c r="JVD53" s="15"/>
      <c r="JVE53" s="15"/>
      <c r="JVF53" s="15"/>
      <c r="JVG53" s="15"/>
      <c r="JVH53" s="15"/>
      <c r="JVI53" s="15"/>
      <c r="JVJ53" s="15"/>
      <c r="JVK53" s="15"/>
      <c r="JVL53" s="15"/>
      <c r="JVM53" s="15"/>
      <c r="JVN53" s="15"/>
      <c r="JVO53" s="15"/>
      <c r="JVP53" s="15"/>
      <c r="JVQ53" s="15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15"/>
      <c r="JWD53" s="15"/>
      <c r="JWE53" s="15"/>
      <c r="JWF53" s="15"/>
      <c r="JWG53" s="15"/>
      <c r="JWH53" s="15"/>
      <c r="JWI53" s="15"/>
      <c r="JWJ53" s="15"/>
      <c r="JWK53" s="15"/>
      <c r="JWL53" s="15"/>
      <c r="JWM53" s="15"/>
      <c r="JWN53" s="15"/>
      <c r="JWO53" s="15"/>
      <c r="JWP53" s="15"/>
      <c r="JWQ53" s="15"/>
      <c r="JWR53" s="15"/>
      <c r="JWS53" s="15"/>
      <c r="JWT53" s="15"/>
      <c r="JWU53" s="15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15"/>
      <c r="JXH53" s="15"/>
      <c r="JXI53" s="15"/>
      <c r="JXJ53" s="15"/>
      <c r="JXK53" s="15"/>
      <c r="JXL53" s="15"/>
      <c r="JXM53" s="15"/>
      <c r="JXN53" s="15"/>
      <c r="JXO53" s="15"/>
      <c r="JXP53" s="15"/>
      <c r="JXQ53" s="15"/>
      <c r="JXR53" s="15"/>
      <c r="JXS53" s="15"/>
      <c r="JXT53" s="15"/>
      <c r="JXU53" s="15"/>
      <c r="JXV53" s="15"/>
      <c r="JXW53" s="15"/>
      <c r="JXX53" s="15"/>
      <c r="JXY53" s="15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15"/>
      <c r="JYL53" s="15"/>
      <c r="JYM53" s="15"/>
      <c r="JYN53" s="15"/>
      <c r="JYO53" s="15"/>
      <c r="JYP53" s="15"/>
      <c r="JYQ53" s="15"/>
      <c r="JYR53" s="15"/>
      <c r="JYS53" s="15"/>
      <c r="JYT53" s="15"/>
      <c r="JYU53" s="15"/>
      <c r="JYV53" s="15"/>
      <c r="JYW53" s="15"/>
      <c r="JYX53" s="15"/>
      <c r="JYY53" s="15"/>
      <c r="JYZ53" s="15"/>
      <c r="JZA53" s="15"/>
      <c r="JZB53" s="15"/>
      <c r="JZC53" s="15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15"/>
      <c r="JZP53" s="15"/>
      <c r="JZQ53" s="15"/>
      <c r="JZR53" s="15"/>
      <c r="JZS53" s="15"/>
      <c r="JZT53" s="15"/>
      <c r="JZU53" s="15"/>
      <c r="JZV53" s="15"/>
      <c r="JZW53" s="15"/>
      <c r="JZX53" s="15"/>
      <c r="JZY53" s="15"/>
      <c r="JZZ53" s="15"/>
      <c r="KAA53" s="15"/>
      <c r="KAB53" s="15"/>
      <c r="KAC53" s="15"/>
      <c r="KAD53" s="15"/>
      <c r="KAE53" s="15"/>
      <c r="KAF53" s="15"/>
      <c r="KAG53" s="15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15"/>
      <c r="KAT53" s="15"/>
      <c r="KAU53" s="15"/>
      <c r="KAV53" s="15"/>
      <c r="KAW53" s="15"/>
      <c r="KAX53" s="15"/>
      <c r="KAY53" s="15"/>
      <c r="KAZ53" s="15"/>
      <c r="KBA53" s="15"/>
      <c r="KBB53" s="15"/>
      <c r="KBC53" s="15"/>
      <c r="KBD53" s="15"/>
      <c r="KBE53" s="15"/>
      <c r="KBF53" s="15"/>
      <c r="KBG53" s="15"/>
      <c r="KBH53" s="15"/>
      <c r="KBI53" s="15"/>
      <c r="KBJ53" s="15"/>
      <c r="KBK53" s="15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15"/>
      <c r="KBX53" s="15"/>
      <c r="KBY53" s="15"/>
      <c r="KBZ53" s="15"/>
      <c r="KCA53" s="15"/>
      <c r="KCB53" s="15"/>
      <c r="KCC53" s="15"/>
      <c r="KCD53" s="15"/>
      <c r="KCE53" s="15"/>
      <c r="KCF53" s="15"/>
      <c r="KCG53" s="15"/>
      <c r="KCH53" s="15"/>
      <c r="KCI53" s="15"/>
      <c r="KCJ53" s="15"/>
      <c r="KCK53" s="15"/>
      <c r="KCL53" s="15"/>
      <c r="KCM53" s="15"/>
      <c r="KCN53" s="15"/>
      <c r="KCO53" s="15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15"/>
      <c r="KDB53" s="15"/>
      <c r="KDC53" s="15"/>
      <c r="KDD53" s="15"/>
      <c r="KDE53" s="15"/>
      <c r="KDF53" s="15"/>
      <c r="KDG53" s="15"/>
      <c r="KDH53" s="15"/>
      <c r="KDI53" s="15"/>
      <c r="KDJ53" s="15"/>
      <c r="KDK53" s="15"/>
      <c r="KDL53" s="15"/>
      <c r="KDM53" s="15"/>
      <c r="KDN53" s="15"/>
      <c r="KDO53" s="15"/>
      <c r="KDP53" s="15"/>
      <c r="KDQ53" s="15"/>
      <c r="KDR53" s="15"/>
      <c r="KDS53" s="15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15"/>
      <c r="KEF53" s="15"/>
      <c r="KEG53" s="15"/>
      <c r="KEH53" s="15"/>
      <c r="KEI53" s="15"/>
      <c r="KEJ53" s="15"/>
      <c r="KEK53" s="15"/>
      <c r="KEL53" s="15"/>
      <c r="KEM53" s="15"/>
      <c r="KEN53" s="15"/>
      <c r="KEO53" s="15"/>
      <c r="KEP53" s="15"/>
      <c r="KEQ53" s="15"/>
      <c r="KER53" s="15"/>
      <c r="KES53" s="15"/>
      <c r="KET53" s="15"/>
      <c r="KEU53" s="15"/>
      <c r="KEV53" s="15"/>
      <c r="KEW53" s="15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15"/>
      <c r="KFJ53" s="15"/>
      <c r="KFK53" s="15"/>
      <c r="KFL53" s="15"/>
      <c r="KFM53" s="15"/>
      <c r="KFN53" s="15"/>
      <c r="KFO53" s="15"/>
      <c r="KFP53" s="15"/>
      <c r="KFQ53" s="15"/>
      <c r="KFR53" s="15"/>
      <c r="KFS53" s="15"/>
      <c r="KFT53" s="15"/>
      <c r="KFU53" s="15"/>
      <c r="KFV53" s="15"/>
      <c r="KFW53" s="15"/>
      <c r="KFX53" s="15"/>
      <c r="KFY53" s="15"/>
      <c r="KFZ53" s="15"/>
      <c r="KGA53" s="15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15"/>
      <c r="KGN53" s="15"/>
      <c r="KGO53" s="15"/>
      <c r="KGP53" s="15"/>
      <c r="KGQ53" s="15"/>
      <c r="KGR53" s="15"/>
      <c r="KGS53" s="15"/>
      <c r="KGT53" s="15"/>
      <c r="KGU53" s="15"/>
      <c r="KGV53" s="15"/>
      <c r="KGW53" s="15"/>
      <c r="KGX53" s="15"/>
      <c r="KGY53" s="15"/>
      <c r="KGZ53" s="15"/>
      <c r="KHA53" s="15"/>
      <c r="KHB53" s="15"/>
      <c r="KHC53" s="15"/>
      <c r="KHD53" s="15"/>
      <c r="KHE53" s="15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15"/>
      <c r="KHR53" s="15"/>
      <c r="KHS53" s="15"/>
      <c r="KHT53" s="15"/>
      <c r="KHU53" s="15"/>
      <c r="KHV53" s="15"/>
      <c r="KHW53" s="15"/>
      <c r="KHX53" s="15"/>
      <c r="KHY53" s="15"/>
      <c r="KHZ53" s="15"/>
      <c r="KIA53" s="15"/>
      <c r="KIB53" s="15"/>
      <c r="KIC53" s="15"/>
      <c r="KID53" s="15"/>
      <c r="KIE53" s="15"/>
      <c r="KIF53" s="15"/>
      <c r="KIG53" s="15"/>
      <c r="KIH53" s="15"/>
      <c r="KII53" s="15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15"/>
      <c r="KIV53" s="15"/>
      <c r="KIW53" s="15"/>
      <c r="KIX53" s="15"/>
      <c r="KIY53" s="15"/>
      <c r="KIZ53" s="15"/>
      <c r="KJA53" s="15"/>
      <c r="KJB53" s="15"/>
      <c r="KJC53" s="15"/>
      <c r="KJD53" s="15"/>
      <c r="KJE53" s="15"/>
      <c r="KJF53" s="15"/>
      <c r="KJG53" s="15"/>
      <c r="KJH53" s="15"/>
      <c r="KJI53" s="15"/>
      <c r="KJJ53" s="15"/>
      <c r="KJK53" s="15"/>
      <c r="KJL53" s="15"/>
      <c r="KJM53" s="15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15"/>
      <c r="KJZ53" s="15"/>
      <c r="KKA53" s="15"/>
      <c r="KKB53" s="15"/>
      <c r="KKC53" s="15"/>
      <c r="KKD53" s="15"/>
      <c r="KKE53" s="15"/>
      <c r="KKF53" s="15"/>
      <c r="KKG53" s="15"/>
      <c r="KKH53" s="15"/>
      <c r="KKI53" s="15"/>
      <c r="KKJ53" s="15"/>
      <c r="KKK53" s="15"/>
      <c r="KKL53" s="15"/>
      <c r="KKM53" s="15"/>
      <c r="KKN53" s="15"/>
      <c r="KKO53" s="15"/>
      <c r="KKP53" s="15"/>
      <c r="KKQ53" s="15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15"/>
      <c r="KLD53" s="15"/>
      <c r="KLE53" s="15"/>
      <c r="KLF53" s="15"/>
      <c r="KLG53" s="15"/>
      <c r="KLH53" s="15"/>
      <c r="KLI53" s="15"/>
      <c r="KLJ53" s="15"/>
      <c r="KLK53" s="15"/>
      <c r="KLL53" s="15"/>
      <c r="KLM53" s="15"/>
      <c r="KLN53" s="15"/>
      <c r="KLO53" s="15"/>
      <c r="KLP53" s="15"/>
      <c r="KLQ53" s="15"/>
      <c r="KLR53" s="15"/>
      <c r="KLS53" s="15"/>
      <c r="KLT53" s="15"/>
      <c r="KLU53" s="15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15"/>
      <c r="KMH53" s="15"/>
      <c r="KMI53" s="15"/>
      <c r="KMJ53" s="15"/>
      <c r="KMK53" s="15"/>
      <c r="KML53" s="15"/>
      <c r="KMM53" s="15"/>
      <c r="KMN53" s="15"/>
      <c r="KMO53" s="15"/>
      <c r="KMP53" s="15"/>
      <c r="KMQ53" s="15"/>
      <c r="KMR53" s="15"/>
      <c r="KMS53" s="15"/>
      <c r="KMT53" s="15"/>
      <c r="KMU53" s="15"/>
      <c r="KMV53" s="15"/>
      <c r="KMW53" s="15"/>
      <c r="KMX53" s="15"/>
      <c r="KMY53" s="15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15"/>
      <c r="KNL53" s="15"/>
      <c r="KNM53" s="15"/>
      <c r="KNN53" s="15"/>
      <c r="KNO53" s="15"/>
      <c r="KNP53" s="15"/>
      <c r="KNQ53" s="15"/>
      <c r="KNR53" s="15"/>
      <c r="KNS53" s="15"/>
      <c r="KNT53" s="15"/>
      <c r="KNU53" s="15"/>
      <c r="KNV53" s="15"/>
      <c r="KNW53" s="15"/>
      <c r="KNX53" s="15"/>
      <c r="KNY53" s="15"/>
      <c r="KNZ53" s="15"/>
      <c r="KOA53" s="15"/>
      <c r="KOB53" s="15"/>
      <c r="KOC53" s="15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15"/>
      <c r="KOP53" s="15"/>
      <c r="KOQ53" s="15"/>
      <c r="KOR53" s="15"/>
      <c r="KOS53" s="15"/>
      <c r="KOT53" s="15"/>
      <c r="KOU53" s="15"/>
      <c r="KOV53" s="15"/>
      <c r="KOW53" s="15"/>
      <c r="KOX53" s="15"/>
      <c r="KOY53" s="15"/>
      <c r="KOZ53" s="15"/>
      <c r="KPA53" s="15"/>
      <c r="KPB53" s="15"/>
      <c r="KPC53" s="15"/>
      <c r="KPD53" s="15"/>
      <c r="KPE53" s="15"/>
      <c r="KPF53" s="15"/>
      <c r="KPG53" s="15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15"/>
      <c r="KPT53" s="15"/>
      <c r="KPU53" s="15"/>
      <c r="KPV53" s="15"/>
      <c r="KPW53" s="15"/>
      <c r="KPX53" s="15"/>
      <c r="KPY53" s="15"/>
      <c r="KPZ53" s="15"/>
      <c r="KQA53" s="15"/>
      <c r="KQB53" s="15"/>
      <c r="KQC53" s="15"/>
      <c r="KQD53" s="15"/>
      <c r="KQE53" s="15"/>
      <c r="KQF53" s="15"/>
      <c r="KQG53" s="15"/>
      <c r="KQH53" s="15"/>
      <c r="KQI53" s="15"/>
      <c r="KQJ53" s="15"/>
      <c r="KQK53" s="15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15"/>
      <c r="KQX53" s="15"/>
      <c r="KQY53" s="15"/>
      <c r="KQZ53" s="15"/>
      <c r="KRA53" s="15"/>
      <c r="KRB53" s="15"/>
      <c r="KRC53" s="15"/>
      <c r="KRD53" s="15"/>
      <c r="KRE53" s="15"/>
      <c r="KRF53" s="15"/>
      <c r="KRG53" s="15"/>
      <c r="KRH53" s="15"/>
      <c r="KRI53" s="15"/>
      <c r="KRJ53" s="15"/>
      <c r="KRK53" s="15"/>
      <c r="KRL53" s="15"/>
      <c r="KRM53" s="15"/>
      <c r="KRN53" s="15"/>
      <c r="KRO53" s="15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15"/>
      <c r="KSB53" s="15"/>
      <c r="KSC53" s="15"/>
      <c r="KSD53" s="15"/>
      <c r="KSE53" s="15"/>
      <c r="KSF53" s="15"/>
      <c r="KSG53" s="15"/>
      <c r="KSH53" s="15"/>
      <c r="KSI53" s="15"/>
      <c r="KSJ53" s="15"/>
      <c r="KSK53" s="15"/>
      <c r="KSL53" s="15"/>
      <c r="KSM53" s="15"/>
      <c r="KSN53" s="15"/>
      <c r="KSO53" s="15"/>
      <c r="KSP53" s="15"/>
      <c r="KSQ53" s="15"/>
      <c r="KSR53" s="15"/>
      <c r="KSS53" s="15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15"/>
      <c r="KTF53" s="15"/>
      <c r="KTG53" s="15"/>
      <c r="KTH53" s="15"/>
      <c r="KTI53" s="15"/>
      <c r="KTJ53" s="15"/>
      <c r="KTK53" s="15"/>
      <c r="KTL53" s="15"/>
      <c r="KTM53" s="15"/>
      <c r="KTN53" s="15"/>
      <c r="KTO53" s="15"/>
      <c r="KTP53" s="15"/>
      <c r="KTQ53" s="15"/>
      <c r="KTR53" s="15"/>
      <c r="KTS53" s="15"/>
      <c r="KTT53" s="15"/>
      <c r="KTU53" s="15"/>
      <c r="KTV53" s="15"/>
      <c r="KTW53" s="15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15"/>
      <c r="KUJ53" s="15"/>
      <c r="KUK53" s="15"/>
      <c r="KUL53" s="15"/>
      <c r="KUM53" s="15"/>
      <c r="KUN53" s="15"/>
      <c r="KUO53" s="15"/>
      <c r="KUP53" s="15"/>
      <c r="KUQ53" s="15"/>
      <c r="KUR53" s="15"/>
      <c r="KUS53" s="15"/>
      <c r="KUT53" s="15"/>
      <c r="KUU53" s="15"/>
      <c r="KUV53" s="15"/>
      <c r="KUW53" s="15"/>
      <c r="KUX53" s="15"/>
      <c r="KUY53" s="15"/>
      <c r="KUZ53" s="15"/>
      <c r="KVA53" s="15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15"/>
      <c r="KVN53" s="15"/>
      <c r="KVO53" s="15"/>
      <c r="KVP53" s="15"/>
      <c r="KVQ53" s="15"/>
      <c r="KVR53" s="15"/>
      <c r="KVS53" s="15"/>
      <c r="KVT53" s="15"/>
      <c r="KVU53" s="15"/>
      <c r="KVV53" s="15"/>
      <c r="KVW53" s="15"/>
      <c r="KVX53" s="15"/>
      <c r="KVY53" s="15"/>
      <c r="KVZ53" s="15"/>
      <c r="KWA53" s="15"/>
      <c r="KWB53" s="15"/>
      <c r="KWC53" s="15"/>
      <c r="KWD53" s="15"/>
      <c r="KWE53" s="15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15"/>
      <c r="KWR53" s="15"/>
      <c r="KWS53" s="15"/>
      <c r="KWT53" s="15"/>
      <c r="KWU53" s="15"/>
      <c r="KWV53" s="15"/>
      <c r="KWW53" s="15"/>
      <c r="KWX53" s="15"/>
      <c r="KWY53" s="15"/>
      <c r="KWZ53" s="15"/>
      <c r="KXA53" s="15"/>
      <c r="KXB53" s="15"/>
      <c r="KXC53" s="15"/>
      <c r="KXD53" s="15"/>
      <c r="KXE53" s="15"/>
      <c r="KXF53" s="15"/>
      <c r="KXG53" s="15"/>
      <c r="KXH53" s="15"/>
      <c r="KXI53" s="15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15"/>
      <c r="KXV53" s="15"/>
      <c r="KXW53" s="15"/>
      <c r="KXX53" s="15"/>
      <c r="KXY53" s="15"/>
      <c r="KXZ53" s="15"/>
      <c r="KYA53" s="15"/>
      <c r="KYB53" s="15"/>
      <c r="KYC53" s="15"/>
      <c r="KYD53" s="15"/>
      <c r="KYE53" s="15"/>
      <c r="KYF53" s="15"/>
      <c r="KYG53" s="15"/>
      <c r="KYH53" s="15"/>
      <c r="KYI53" s="15"/>
      <c r="KYJ53" s="15"/>
      <c r="KYK53" s="15"/>
      <c r="KYL53" s="15"/>
      <c r="KYM53" s="15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15"/>
      <c r="KYZ53" s="15"/>
      <c r="KZA53" s="15"/>
      <c r="KZB53" s="15"/>
      <c r="KZC53" s="15"/>
      <c r="KZD53" s="15"/>
      <c r="KZE53" s="15"/>
      <c r="KZF53" s="15"/>
      <c r="KZG53" s="15"/>
      <c r="KZH53" s="15"/>
      <c r="KZI53" s="15"/>
      <c r="KZJ53" s="15"/>
      <c r="KZK53" s="15"/>
      <c r="KZL53" s="15"/>
      <c r="KZM53" s="15"/>
      <c r="KZN53" s="15"/>
      <c r="KZO53" s="15"/>
      <c r="KZP53" s="15"/>
      <c r="KZQ53" s="15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15"/>
      <c r="LAD53" s="15"/>
      <c r="LAE53" s="15"/>
      <c r="LAF53" s="15"/>
      <c r="LAG53" s="15"/>
      <c r="LAH53" s="15"/>
      <c r="LAI53" s="15"/>
      <c r="LAJ53" s="15"/>
      <c r="LAK53" s="15"/>
      <c r="LAL53" s="15"/>
      <c r="LAM53" s="15"/>
      <c r="LAN53" s="15"/>
      <c r="LAO53" s="15"/>
      <c r="LAP53" s="15"/>
      <c r="LAQ53" s="15"/>
      <c r="LAR53" s="15"/>
      <c r="LAS53" s="15"/>
      <c r="LAT53" s="15"/>
      <c r="LAU53" s="15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15"/>
      <c r="LBH53" s="15"/>
      <c r="LBI53" s="15"/>
      <c r="LBJ53" s="15"/>
      <c r="LBK53" s="15"/>
      <c r="LBL53" s="15"/>
      <c r="LBM53" s="15"/>
      <c r="LBN53" s="15"/>
      <c r="LBO53" s="15"/>
      <c r="LBP53" s="15"/>
      <c r="LBQ53" s="15"/>
      <c r="LBR53" s="15"/>
      <c r="LBS53" s="15"/>
      <c r="LBT53" s="15"/>
      <c r="LBU53" s="15"/>
      <c r="LBV53" s="15"/>
      <c r="LBW53" s="15"/>
      <c r="LBX53" s="15"/>
      <c r="LBY53" s="15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15"/>
      <c r="LCL53" s="15"/>
      <c r="LCM53" s="15"/>
      <c r="LCN53" s="15"/>
      <c r="LCO53" s="15"/>
      <c r="LCP53" s="15"/>
      <c r="LCQ53" s="15"/>
      <c r="LCR53" s="15"/>
      <c r="LCS53" s="15"/>
      <c r="LCT53" s="15"/>
      <c r="LCU53" s="15"/>
      <c r="LCV53" s="15"/>
      <c r="LCW53" s="15"/>
      <c r="LCX53" s="15"/>
      <c r="LCY53" s="15"/>
      <c r="LCZ53" s="15"/>
      <c r="LDA53" s="15"/>
      <c r="LDB53" s="15"/>
      <c r="LDC53" s="15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15"/>
      <c r="LDP53" s="15"/>
      <c r="LDQ53" s="15"/>
      <c r="LDR53" s="15"/>
      <c r="LDS53" s="15"/>
      <c r="LDT53" s="15"/>
      <c r="LDU53" s="15"/>
      <c r="LDV53" s="15"/>
      <c r="LDW53" s="15"/>
      <c r="LDX53" s="15"/>
      <c r="LDY53" s="15"/>
      <c r="LDZ53" s="15"/>
      <c r="LEA53" s="15"/>
      <c r="LEB53" s="15"/>
      <c r="LEC53" s="15"/>
      <c r="LED53" s="15"/>
      <c r="LEE53" s="15"/>
      <c r="LEF53" s="15"/>
      <c r="LEG53" s="15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15"/>
      <c r="LET53" s="15"/>
      <c r="LEU53" s="15"/>
      <c r="LEV53" s="15"/>
      <c r="LEW53" s="15"/>
      <c r="LEX53" s="15"/>
      <c r="LEY53" s="15"/>
      <c r="LEZ53" s="15"/>
      <c r="LFA53" s="15"/>
      <c r="LFB53" s="15"/>
      <c r="LFC53" s="15"/>
      <c r="LFD53" s="15"/>
      <c r="LFE53" s="15"/>
      <c r="LFF53" s="15"/>
      <c r="LFG53" s="15"/>
      <c r="LFH53" s="15"/>
      <c r="LFI53" s="15"/>
      <c r="LFJ53" s="15"/>
      <c r="LFK53" s="15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15"/>
      <c r="LFX53" s="15"/>
      <c r="LFY53" s="15"/>
      <c r="LFZ53" s="15"/>
      <c r="LGA53" s="15"/>
      <c r="LGB53" s="15"/>
      <c r="LGC53" s="15"/>
      <c r="LGD53" s="15"/>
      <c r="LGE53" s="15"/>
      <c r="LGF53" s="15"/>
      <c r="LGG53" s="15"/>
      <c r="LGH53" s="15"/>
      <c r="LGI53" s="15"/>
      <c r="LGJ53" s="15"/>
      <c r="LGK53" s="15"/>
      <c r="LGL53" s="15"/>
      <c r="LGM53" s="15"/>
      <c r="LGN53" s="15"/>
      <c r="LGO53" s="15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15"/>
      <c r="LHB53" s="15"/>
      <c r="LHC53" s="15"/>
      <c r="LHD53" s="15"/>
      <c r="LHE53" s="15"/>
      <c r="LHF53" s="15"/>
      <c r="LHG53" s="15"/>
      <c r="LHH53" s="15"/>
      <c r="LHI53" s="15"/>
      <c r="LHJ53" s="15"/>
      <c r="LHK53" s="15"/>
      <c r="LHL53" s="15"/>
      <c r="LHM53" s="15"/>
      <c r="LHN53" s="15"/>
      <c r="LHO53" s="15"/>
      <c r="LHP53" s="15"/>
      <c r="LHQ53" s="15"/>
      <c r="LHR53" s="15"/>
      <c r="LHS53" s="15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15"/>
      <c r="LIF53" s="15"/>
      <c r="LIG53" s="15"/>
      <c r="LIH53" s="15"/>
      <c r="LII53" s="15"/>
      <c r="LIJ53" s="15"/>
      <c r="LIK53" s="15"/>
      <c r="LIL53" s="15"/>
      <c r="LIM53" s="15"/>
      <c r="LIN53" s="15"/>
      <c r="LIO53" s="15"/>
      <c r="LIP53" s="15"/>
      <c r="LIQ53" s="15"/>
      <c r="LIR53" s="15"/>
      <c r="LIS53" s="15"/>
      <c r="LIT53" s="15"/>
      <c r="LIU53" s="15"/>
      <c r="LIV53" s="15"/>
      <c r="LIW53" s="15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15"/>
      <c r="LJJ53" s="15"/>
      <c r="LJK53" s="15"/>
      <c r="LJL53" s="15"/>
      <c r="LJM53" s="15"/>
      <c r="LJN53" s="15"/>
      <c r="LJO53" s="15"/>
      <c r="LJP53" s="15"/>
      <c r="LJQ53" s="15"/>
      <c r="LJR53" s="15"/>
      <c r="LJS53" s="15"/>
      <c r="LJT53" s="15"/>
      <c r="LJU53" s="15"/>
      <c r="LJV53" s="15"/>
      <c r="LJW53" s="15"/>
      <c r="LJX53" s="15"/>
      <c r="LJY53" s="15"/>
      <c r="LJZ53" s="15"/>
      <c r="LKA53" s="15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15"/>
      <c r="LKN53" s="15"/>
      <c r="LKO53" s="15"/>
      <c r="LKP53" s="15"/>
      <c r="LKQ53" s="15"/>
      <c r="LKR53" s="15"/>
      <c r="LKS53" s="15"/>
      <c r="LKT53" s="15"/>
      <c r="LKU53" s="15"/>
      <c r="LKV53" s="15"/>
      <c r="LKW53" s="15"/>
      <c r="LKX53" s="15"/>
      <c r="LKY53" s="15"/>
      <c r="LKZ53" s="15"/>
      <c r="LLA53" s="15"/>
      <c r="LLB53" s="15"/>
      <c r="LLC53" s="15"/>
      <c r="LLD53" s="15"/>
      <c r="LLE53" s="15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15"/>
      <c r="LLR53" s="15"/>
      <c r="LLS53" s="15"/>
      <c r="LLT53" s="15"/>
      <c r="LLU53" s="15"/>
      <c r="LLV53" s="15"/>
      <c r="LLW53" s="15"/>
      <c r="LLX53" s="15"/>
      <c r="LLY53" s="15"/>
      <c r="LLZ53" s="15"/>
      <c r="LMA53" s="15"/>
      <c r="LMB53" s="15"/>
      <c r="LMC53" s="15"/>
      <c r="LMD53" s="15"/>
      <c r="LME53" s="15"/>
      <c r="LMF53" s="15"/>
      <c r="LMG53" s="15"/>
      <c r="LMH53" s="15"/>
      <c r="LMI53" s="15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15"/>
      <c r="LMV53" s="15"/>
      <c r="LMW53" s="15"/>
      <c r="LMX53" s="15"/>
      <c r="LMY53" s="15"/>
      <c r="LMZ53" s="15"/>
      <c r="LNA53" s="15"/>
      <c r="LNB53" s="15"/>
      <c r="LNC53" s="15"/>
      <c r="LND53" s="15"/>
      <c r="LNE53" s="15"/>
      <c r="LNF53" s="15"/>
      <c r="LNG53" s="15"/>
      <c r="LNH53" s="15"/>
      <c r="LNI53" s="15"/>
      <c r="LNJ53" s="15"/>
      <c r="LNK53" s="15"/>
      <c r="LNL53" s="15"/>
      <c r="LNM53" s="15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15"/>
      <c r="LNZ53" s="15"/>
      <c r="LOA53" s="15"/>
      <c r="LOB53" s="15"/>
      <c r="LOC53" s="15"/>
      <c r="LOD53" s="15"/>
      <c r="LOE53" s="15"/>
      <c r="LOF53" s="15"/>
      <c r="LOG53" s="15"/>
      <c r="LOH53" s="15"/>
      <c r="LOI53" s="15"/>
      <c r="LOJ53" s="15"/>
      <c r="LOK53" s="15"/>
      <c r="LOL53" s="15"/>
      <c r="LOM53" s="15"/>
      <c r="LON53" s="15"/>
      <c r="LOO53" s="15"/>
      <c r="LOP53" s="15"/>
      <c r="LOQ53" s="15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15"/>
      <c r="LPD53" s="15"/>
      <c r="LPE53" s="15"/>
      <c r="LPF53" s="15"/>
      <c r="LPG53" s="15"/>
      <c r="LPH53" s="15"/>
      <c r="LPI53" s="15"/>
      <c r="LPJ53" s="15"/>
      <c r="LPK53" s="15"/>
      <c r="LPL53" s="15"/>
      <c r="LPM53" s="15"/>
      <c r="LPN53" s="15"/>
      <c r="LPO53" s="15"/>
      <c r="LPP53" s="15"/>
      <c r="LPQ53" s="15"/>
      <c r="LPR53" s="15"/>
      <c r="LPS53" s="15"/>
      <c r="LPT53" s="15"/>
      <c r="LPU53" s="15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15"/>
      <c r="LQH53" s="15"/>
      <c r="LQI53" s="15"/>
      <c r="LQJ53" s="15"/>
      <c r="LQK53" s="15"/>
      <c r="LQL53" s="15"/>
      <c r="LQM53" s="15"/>
      <c r="LQN53" s="15"/>
      <c r="LQO53" s="15"/>
      <c r="LQP53" s="15"/>
      <c r="LQQ53" s="15"/>
      <c r="LQR53" s="15"/>
      <c r="LQS53" s="15"/>
      <c r="LQT53" s="15"/>
      <c r="LQU53" s="15"/>
      <c r="LQV53" s="15"/>
      <c r="LQW53" s="15"/>
      <c r="LQX53" s="15"/>
      <c r="LQY53" s="15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15"/>
      <c r="LRL53" s="15"/>
      <c r="LRM53" s="15"/>
      <c r="LRN53" s="15"/>
      <c r="LRO53" s="15"/>
      <c r="LRP53" s="15"/>
      <c r="LRQ53" s="15"/>
      <c r="LRR53" s="15"/>
      <c r="LRS53" s="15"/>
      <c r="LRT53" s="15"/>
      <c r="LRU53" s="15"/>
      <c r="LRV53" s="15"/>
      <c r="LRW53" s="15"/>
      <c r="LRX53" s="15"/>
      <c r="LRY53" s="15"/>
      <c r="LRZ53" s="15"/>
      <c r="LSA53" s="15"/>
      <c r="LSB53" s="15"/>
      <c r="LSC53" s="15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15"/>
      <c r="LSP53" s="15"/>
      <c r="LSQ53" s="15"/>
      <c r="LSR53" s="15"/>
      <c r="LSS53" s="15"/>
      <c r="LST53" s="15"/>
      <c r="LSU53" s="15"/>
      <c r="LSV53" s="15"/>
      <c r="LSW53" s="15"/>
      <c r="LSX53" s="15"/>
      <c r="LSY53" s="15"/>
      <c r="LSZ53" s="15"/>
      <c r="LTA53" s="15"/>
      <c r="LTB53" s="15"/>
      <c r="LTC53" s="15"/>
      <c r="LTD53" s="15"/>
      <c r="LTE53" s="15"/>
      <c r="LTF53" s="15"/>
      <c r="LTG53" s="15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15"/>
      <c r="LTT53" s="15"/>
      <c r="LTU53" s="15"/>
      <c r="LTV53" s="15"/>
      <c r="LTW53" s="15"/>
      <c r="LTX53" s="15"/>
      <c r="LTY53" s="15"/>
      <c r="LTZ53" s="15"/>
      <c r="LUA53" s="15"/>
      <c r="LUB53" s="15"/>
      <c r="LUC53" s="15"/>
      <c r="LUD53" s="15"/>
      <c r="LUE53" s="15"/>
      <c r="LUF53" s="15"/>
      <c r="LUG53" s="15"/>
      <c r="LUH53" s="15"/>
      <c r="LUI53" s="15"/>
      <c r="LUJ53" s="15"/>
      <c r="LUK53" s="15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15"/>
      <c r="LUX53" s="15"/>
      <c r="LUY53" s="15"/>
      <c r="LUZ53" s="15"/>
      <c r="LVA53" s="15"/>
      <c r="LVB53" s="15"/>
      <c r="LVC53" s="15"/>
      <c r="LVD53" s="15"/>
      <c r="LVE53" s="15"/>
      <c r="LVF53" s="15"/>
      <c r="LVG53" s="15"/>
      <c r="LVH53" s="15"/>
      <c r="LVI53" s="15"/>
      <c r="LVJ53" s="15"/>
      <c r="LVK53" s="15"/>
      <c r="LVL53" s="15"/>
      <c r="LVM53" s="15"/>
      <c r="LVN53" s="15"/>
      <c r="LVO53" s="15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15"/>
      <c r="LWB53" s="15"/>
      <c r="LWC53" s="15"/>
      <c r="LWD53" s="15"/>
      <c r="LWE53" s="15"/>
      <c r="LWF53" s="15"/>
      <c r="LWG53" s="15"/>
      <c r="LWH53" s="15"/>
      <c r="LWI53" s="15"/>
      <c r="LWJ53" s="15"/>
      <c r="LWK53" s="15"/>
      <c r="LWL53" s="15"/>
      <c r="LWM53" s="15"/>
      <c r="LWN53" s="15"/>
      <c r="LWO53" s="15"/>
      <c r="LWP53" s="15"/>
      <c r="LWQ53" s="15"/>
      <c r="LWR53" s="15"/>
      <c r="LWS53" s="15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15"/>
      <c r="LXF53" s="15"/>
      <c r="LXG53" s="15"/>
      <c r="LXH53" s="15"/>
      <c r="LXI53" s="15"/>
      <c r="LXJ53" s="15"/>
      <c r="LXK53" s="15"/>
      <c r="LXL53" s="15"/>
      <c r="LXM53" s="15"/>
      <c r="LXN53" s="15"/>
      <c r="LXO53" s="15"/>
      <c r="LXP53" s="15"/>
      <c r="LXQ53" s="15"/>
      <c r="LXR53" s="15"/>
      <c r="LXS53" s="15"/>
      <c r="LXT53" s="15"/>
      <c r="LXU53" s="15"/>
      <c r="LXV53" s="15"/>
      <c r="LXW53" s="15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15"/>
      <c r="LYJ53" s="15"/>
      <c r="LYK53" s="15"/>
      <c r="LYL53" s="15"/>
      <c r="LYM53" s="15"/>
      <c r="LYN53" s="15"/>
      <c r="LYO53" s="15"/>
      <c r="LYP53" s="15"/>
      <c r="LYQ53" s="15"/>
      <c r="LYR53" s="15"/>
      <c r="LYS53" s="15"/>
      <c r="LYT53" s="15"/>
      <c r="LYU53" s="15"/>
      <c r="LYV53" s="15"/>
      <c r="LYW53" s="15"/>
      <c r="LYX53" s="15"/>
      <c r="LYY53" s="15"/>
      <c r="LYZ53" s="15"/>
      <c r="LZA53" s="15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15"/>
      <c r="LZN53" s="15"/>
      <c r="LZO53" s="15"/>
      <c r="LZP53" s="15"/>
      <c r="LZQ53" s="15"/>
      <c r="LZR53" s="15"/>
      <c r="LZS53" s="15"/>
      <c r="LZT53" s="15"/>
      <c r="LZU53" s="15"/>
      <c r="LZV53" s="15"/>
      <c r="LZW53" s="15"/>
      <c r="LZX53" s="15"/>
      <c r="LZY53" s="15"/>
      <c r="LZZ53" s="15"/>
      <c r="MAA53" s="15"/>
      <c r="MAB53" s="15"/>
      <c r="MAC53" s="15"/>
      <c r="MAD53" s="15"/>
      <c r="MAE53" s="15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15"/>
      <c r="MAR53" s="15"/>
      <c r="MAS53" s="15"/>
      <c r="MAT53" s="15"/>
      <c r="MAU53" s="15"/>
      <c r="MAV53" s="15"/>
      <c r="MAW53" s="15"/>
      <c r="MAX53" s="15"/>
      <c r="MAY53" s="15"/>
      <c r="MAZ53" s="15"/>
      <c r="MBA53" s="15"/>
      <c r="MBB53" s="15"/>
      <c r="MBC53" s="15"/>
      <c r="MBD53" s="15"/>
      <c r="MBE53" s="15"/>
      <c r="MBF53" s="15"/>
      <c r="MBG53" s="15"/>
      <c r="MBH53" s="15"/>
      <c r="MBI53" s="15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15"/>
      <c r="MBV53" s="15"/>
      <c r="MBW53" s="15"/>
      <c r="MBX53" s="15"/>
      <c r="MBY53" s="15"/>
      <c r="MBZ53" s="15"/>
      <c r="MCA53" s="15"/>
      <c r="MCB53" s="15"/>
      <c r="MCC53" s="15"/>
      <c r="MCD53" s="15"/>
      <c r="MCE53" s="15"/>
      <c r="MCF53" s="15"/>
      <c r="MCG53" s="15"/>
      <c r="MCH53" s="15"/>
      <c r="MCI53" s="15"/>
      <c r="MCJ53" s="15"/>
      <c r="MCK53" s="15"/>
      <c r="MCL53" s="15"/>
      <c r="MCM53" s="15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15"/>
      <c r="MCZ53" s="15"/>
      <c r="MDA53" s="15"/>
      <c r="MDB53" s="15"/>
      <c r="MDC53" s="15"/>
      <c r="MDD53" s="15"/>
      <c r="MDE53" s="15"/>
      <c r="MDF53" s="15"/>
      <c r="MDG53" s="15"/>
      <c r="MDH53" s="15"/>
      <c r="MDI53" s="15"/>
      <c r="MDJ53" s="15"/>
      <c r="MDK53" s="15"/>
      <c r="MDL53" s="15"/>
      <c r="MDM53" s="15"/>
      <c r="MDN53" s="15"/>
      <c r="MDO53" s="15"/>
      <c r="MDP53" s="15"/>
      <c r="MDQ53" s="15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15"/>
      <c r="MED53" s="15"/>
      <c r="MEE53" s="15"/>
      <c r="MEF53" s="15"/>
      <c r="MEG53" s="15"/>
      <c r="MEH53" s="15"/>
      <c r="MEI53" s="15"/>
      <c r="MEJ53" s="15"/>
      <c r="MEK53" s="15"/>
      <c r="MEL53" s="15"/>
      <c r="MEM53" s="15"/>
      <c r="MEN53" s="15"/>
      <c r="MEO53" s="15"/>
      <c r="MEP53" s="15"/>
      <c r="MEQ53" s="15"/>
      <c r="MER53" s="15"/>
      <c r="MES53" s="15"/>
      <c r="MET53" s="15"/>
      <c r="MEU53" s="15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15"/>
      <c r="MFH53" s="15"/>
      <c r="MFI53" s="15"/>
      <c r="MFJ53" s="15"/>
      <c r="MFK53" s="15"/>
      <c r="MFL53" s="15"/>
      <c r="MFM53" s="15"/>
      <c r="MFN53" s="15"/>
      <c r="MFO53" s="15"/>
      <c r="MFP53" s="15"/>
      <c r="MFQ53" s="15"/>
      <c r="MFR53" s="15"/>
      <c r="MFS53" s="15"/>
      <c r="MFT53" s="15"/>
      <c r="MFU53" s="15"/>
      <c r="MFV53" s="15"/>
      <c r="MFW53" s="15"/>
      <c r="MFX53" s="15"/>
      <c r="MFY53" s="15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15"/>
      <c r="MGL53" s="15"/>
      <c r="MGM53" s="15"/>
      <c r="MGN53" s="15"/>
      <c r="MGO53" s="15"/>
      <c r="MGP53" s="15"/>
      <c r="MGQ53" s="15"/>
      <c r="MGR53" s="15"/>
      <c r="MGS53" s="15"/>
      <c r="MGT53" s="15"/>
      <c r="MGU53" s="15"/>
      <c r="MGV53" s="15"/>
      <c r="MGW53" s="15"/>
      <c r="MGX53" s="15"/>
      <c r="MGY53" s="15"/>
      <c r="MGZ53" s="15"/>
      <c r="MHA53" s="15"/>
      <c r="MHB53" s="15"/>
      <c r="MHC53" s="15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15"/>
      <c r="MHP53" s="15"/>
      <c r="MHQ53" s="15"/>
      <c r="MHR53" s="15"/>
      <c r="MHS53" s="15"/>
      <c r="MHT53" s="15"/>
      <c r="MHU53" s="15"/>
      <c r="MHV53" s="15"/>
      <c r="MHW53" s="15"/>
      <c r="MHX53" s="15"/>
      <c r="MHY53" s="15"/>
      <c r="MHZ53" s="15"/>
      <c r="MIA53" s="15"/>
      <c r="MIB53" s="15"/>
      <c r="MIC53" s="15"/>
      <c r="MID53" s="15"/>
      <c r="MIE53" s="15"/>
      <c r="MIF53" s="15"/>
      <c r="MIG53" s="15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15"/>
      <c r="MIT53" s="15"/>
      <c r="MIU53" s="15"/>
      <c r="MIV53" s="15"/>
      <c r="MIW53" s="15"/>
      <c r="MIX53" s="15"/>
      <c r="MIY53" s="15"/>
      <c r="MIZ53" s="15"/>
      <c r="MJA53" s="15"/>
      <c r="MJB53" s="15"/>
      <c r="MJC53" s="15"/>
      <c r="MJD53" s="15"/>
      <c r="MJE53" s="15"/>
      <c r="MJF53" s="15"/>
      <c r="MJG53" s="15"/>
      <c r="MJH53" s="15"/>
      <c r="MJI53" s="15"/>
      <c r="MJJ53" s="15"/>
      <c r="MJK53" s="15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15"/>
      <c r="MJX53" s="15"/>
      <c r="MJY53" s="15"/>
      <c r="MJZ53" s="15"/>
      <c r="MKA53" s="15"/>
      <c r="MKB53" s="15"/>
      <c r="MKC53" s="15"/>
      <c r="MKD53" s="15"/>
      <c r="MKE53" s="15"/>
      <c r="MKF53" s="15"/>
      <c r="MKG53" s="15"/>
      <c r="MKH53" s="15"/>
      <c r="MKI53" s="15"/>
      <c r="MKJ53" s="15"/>
      <c r="MKK53" s="15"/>
      <c r="MKL53" s="15"/>
      <c r="MKM53" s="15"/>
      <c r="MKN53" s="15"/>
      <c r="MKO53" s="15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15"/>
      <c r="MLB53" s="15"/>
      <c r="MLC53" s="15"/>
      <c r="MLD53" s="15"/>
      <c r="MLE53" s="15"/>
      <c r="MLF53" s="15"/>
      <c r="MLG53" s="15"/>
      <c r="MLH53" s="15"/>
      <c r="MLI53" s="15"/>
      <c r="MLJ53" s="15"/>
      <c r="MLK53" s="15"/>
      <c r="MLL53" s="15"/>
      <c r="MLM53" s="15"/>
      <c r="MLN53" s="15"/>
      <c r="MLO53" s="15"/>
      <c r="MLP53" s="15"/>
      <c r="MLQ53" s="15"/>
      <c r="MLR53" s="15"/>
      <c r="MLS53" s="15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15"/>
      <c r="MMF53" s="15"/>
      <c r="MMG53" s="15"/>
      <c r="MMH53" s="15"/>
      <c r="MMI53" s="15"/>
      <c r="MMJ53" s="15"/>
      <c r="MMK53" s="15"/>
      <c r="MML53" s="15"/>
      <c r="MMM53" s="15"/>
      <c r="MMN53" s="15"/>
      <c r="MMO53" s="15"/>
      <c r="MMP53" s="15"/>
      <c r="MMQ53" s="15"/>
      <c r="MMR53" s="15"/>
      <c r="MMS53" s="15"/>
      <c r="MMT53" s="15"/>
      <c r="MMU53" s="15"/>
      <c r="MMV53" s="15"/>
      <c r="MMW53" s="15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15"/>
      <c r="MNJ53" s="15"/>
      <c r="MNK53" s="15"/>
      <c r="MNL53" s="15"/>
      <c r="MNM53" s="15"/>
      <c r="MNN53" s="15"/>
      <c r="MNO53" s="15"/>
      <c r="MNP53" s="15"/>
      <c r="MNQ53" s="15"/>
      <c r="MNR53" s="15"/>
      <c r="MNS53" s="15"/>
      <c r="MNT53" s="15"/>
      <c r="MNU53" s="15"/>
      <c r="MNV53" s="15"/>
      <c r="MNW53" s="15"/>
      <c r="MNX53" s="15"/>
      <c r="MNY53" s="15"/>
      <c r="MNZ53" s="15"/>
      <c r="MOA53" s="15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15"/>
      <c r="MON53" s="15"/>
      <c r="MOO53" s="15"/>
      <c r="MOP53" s="15"/>
      <c r="MOQ53" s="15"/>
      <c r="MOR53" s="15"/>
      <c r="MOS53" s="15"/>
      <c r="MOT53" s="15"/>
      <c r="MOU53" s="15"/>
      <c r="MOV53" s="15"/>
      <c r="MOW53" s="15"/>
      <c r="MOX53" s="15"/>
      <c r="MOY53" s="15"/>
      <c r="MOZ53" s="15"/>
      <c r="MPA53" s="15"/>
      <c r="MPB53" s="15"/>
      <c r="MPC53" s="15"/>
      <c r="MPD53" s="15"/>
      <c r="MPE53" s="15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15"/>
      <c r="MPR53" s="15"/>
      <c r="MPS53" s="15"/>
      <c r="MPT53" s="15"/>
      <c r="MPU53" s="15"/>
      <c r="MPV53" s="15"/>
      <c r="MPW53" s="15"/>
      <c r="MPX53" s="15"/>
      <c r="MPY53" s="15"/>
      <c r="MPZ53" s="15"/>
      <c r="MQA53" s="15"/>
      <c r="MQB53" s="15"/>
      <c r="MQC53" s="15"/>
      <c r="MQD53" s="15"/>
      <c r="MQE53" s="15"/>
      <c r="MQF53" s="15"/>
      <c r="MQG53" s="15"/>
      <c r="MQH53" s="15"/>
      <c r="MQI53" s="15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15"/>
      <c r="MQV53" s="15"/>
      <c r="MQW53" s="15"/>
      <c r="MQX53" s="15"/>
      <c r="MQY53" s="15"/>
      <c r="MQZ53" s="15"/>
      <c r="MRA53" s="15"/>
      <c r="MRB53" s="15"/>
      <c r="MRC53" s="15"/>
      <c r="MRD53" s="15"/>
      <c r="MRE53" s="15"/>
      <c r="MRF53" s="15"/>
      <c r="MRG53" s="15"/>
      <c r="MRH53" s="15"/>
      <c r="MRI53" s="15"/>
      <c r="MRJ53" s="15"/>
      <c r="MRK53" s="15"/>
      <c r="MRL53" s="15"/>
      <c r="MRM53" s="15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15"/>
      <c r="MRZ53" s="15"/>
      <c r="MSA53" s="15"/>
      <c r="MSB53" s="15"/>
      <c r="MSC53" s="15"/>
      <c r="MSD53" s="15"/>
      <c r="MSE53" s="15"/>
      <c r="MSF53" s="15"/>
      <c r="MSG53" s="15"/>
      <c r="MSH53" s="15"/>
      <c r="MSI53" s="15"/>
      <c r="MSJ53" s="15"/>
      <c r="MSK53" s="15"/>
      <c r="MSL53" s="15"/>
      <c r="MSM53" s="15"/>
      <c r="MSN53" s="15"/>
      <c r="MSO53" s="15"/>
      <c r="MSP53" s="15"/>
      <c r="MSQ53" s="15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15"/>
      <c r="MTD53" s="15"/>
      <c r="MTE53" s="15"/>
      <c r="MTF53" s="15"/>
      <c r="MTG53" s="15"/>
      <c r="MTH53" s="15"/>
      <c r="MTI53" s="15"/>
      <c r="MTJ53" s="15"/>
      <c r="MTK53" s="15"/>
      <c r="MTL53" s="15"/>
      <c r="MTM53" s="15"/>
      <c r="MTN53" s="15"/>
      <c r="MTO53" s="15"/>
      <c r="MTP53" s="15"/>
      <c r="MTQ53" s="15"/>
      <c r="MTR53" s="15"/>
      <c r="MTS53" s="15"/>
      <c r="MTT53" s="15"/>
      <c r="MTU53" s="15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15"/>
      <c r="MUH53" s="15"/>
      <c r="MUI53" s="15"/>
      <c r="MUJ53" s="15"/>
      <c r="MUK53" s="15"/>
      <c r="MUL53" s="15"/>
      <c r="MUM53" s="15"/>
      <c r="MUN53" s="15"/>
      <c r="MUO53" s="15"/>
      <c r="MUP53" s="15"/>
      <c r="MUQ53" s="15"/>
      <c r="MUR53" s="15"/>
      <c r="MUS53" s="15"/>
      <c r="MUT53" s="15"/>
      <c r="MUU53" s="15"/>
      <c r="MUV53" s="15"/>
      <c r="MUW53" s="15"/>
      <c r="MUX53" s="15"/>
      <c r="MUY53" s="15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15"/>
      <c r="MVL53" s="15"/>
      <c r="MVM53" s="15"/>
      <c r="MVN53" s="15"/>
      <c r="MVO53" s="15"/>
      <c r="MVP53" s="15"/>
      <c r="MVQ53" s="15"/>
      <c r="MVR53" s="15"/>
      <c r="MVS53" s="15"/>
      <c r="MVT53" s="15"/>
      <c r="MVU53" s="15"/>
      <c r="MVV53" s="15"/>
      <c r="MVW53" s="15"/>
      <c r="MVX53" s="15"/>
      <c r="MVY53" s="15"/>
      <c r="MVZ53" s="15"/>
      <c r="MWA53" s="15"/>
      <c r="MWB53" s="15"/>
      <c r="MWC53" s="15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15"/>
      <c r="MWP53" s="15"/>
      <c r="MWQ53" s="15"/>
      <c r="MWR53" s="15"/>
      <c r="MWS53" s="15"/>
      <c r="MWT53" s="15"/>
      <c r="MWU53" s="15"/>
      <c r="MWV53" s="15"/>
      <c r="MWW53" s="15"/>
      <c r="MWX53" s="15"/>
      <c r="MWY53" s="15"/>
      <c r="MWZ53" s="15"/>
      <c r="MXA53" s="15"/>
      <c r="MXB53" s="15"/>
      <c r="MXC53" s="15"/>
      <c r="MXD53" s="15"/>
      <c r="MXE53" s="15"/>
      <c r="MXF53" s="15"/>
      <c r="MXG53" s="15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15"/>
      <c r="MXT53" s="15"/>
      <c r="MXU53" s="15"/>
      <c r="MXV53" s="15"/>
      <c r="MXW53" s="15"/>
      <c r="MXX53" s="15"/>
      <c r="MXY53" s="15"/>
      <c r="MXZ53" s="15"/>
      <c r="MYA53" s="15"/>
      <c r="MYB53" s="15"/>
      <c r="MYC53" s="15"/>
      <c r="MYD53" s="15"/>
      <c r="MYE53" s="15"/>
      <c r="MYF53" s="15"/>
      <c r="MYG53" s="15"/>
      <c r="MYH53" s="15"/>
      <c r="MYI53" s="15"/>
      <c r="MYJ53" s="15"/>
      <c r="MYK53" s="15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15"/>
      <c r="MYX53" s="15"/>
      <c r="MYY53" s="15"/>
      <c r="MYZ53" s="15"/>
      <c r="MZA53" s="15"/>
      <c r="MZB53" s="15"/>
      <c r="MZC53" s="15"/>
      <c r="MZD53" s="15"/>
      <c r="MZE53" s="15"/>
      <c r="MZF53" s="15"/>
      <c r="MZG53" s="15"/>
      <c r="MZH53" s="15"/>
      <c r="MZI53" s="15"/>
      <c r="MZJ53" s="15"/>
      <c r="MZK53" s="15"/>
      <c r="MZL53" s="15"/>
      <c r="MZM53" s="15"/>
      <c r="MZN53" s="15"/>
      <c r="MZO53" s="15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15"/>
      <c r="NAB53" s="15"/>
      <c r="NAC53" s="15"/>
      <c r="NAD53" s="15"/>
      <c r="NAE53" s="15"/>
      <c r="NAF53" s="15"/>
      <c r="NAG53" s="15"/>
      <c r="NAH53" s="15"/>
      <c r="NAI53" s="15"/>
      <c r="NAJ53" s="15"/>
      <c r="NAK53" s="15"/>
      <c r="NAL53" s="15"/>
      <c r="NAM53" s="15"/>
      <c r="NAN53" s="15"/>
      <c r="NAO53" s="15"/>
      <c r="NAP53" s="15"/>
      <c r="NAQ53" s="15"/>
      <c r="NAR53" s="15"/>
      <c r="NAS53" s="15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15"/>
      <c r="NBF53" s="15"/>
      <c r="NBG53" s="15"/>
      <c r="NBH53" s="15"/>
      <c r="NBI53" s="15"/>
      <c r="NBJ53" s="15"/>
      <c r="NBK53" s="15"/>
      <c r="NBL53" s="15"/>
      <c r="NBM53" s="15"/>
      <c r="NBN53" s="15"/>
      <c r="NBO53" s="15"/>
      <c r="NBP53" s="15"/>
      <c r="NBQ53" s="15"/>
      <c r="NBR53" s="15"/>
      <c r="NBS53" s="15"/>
      <c r="NBT53" s="15"/>
      <c r="NBU53" s="15"/>
      <c r="NBV53" s="15"/>
      <c r="NBW53" s="15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15"/>
      <c r="NCJ53" s="15"/>
      <c r="NCK53" s="15"/>
      <c r="NCL53" s="15"/>
      <c r="NCM53" s="15"/>
      <c r="NCN53" s="15"/>
      <c r="NCO53" s="15"/>
      <c r="NCP53" s="15"/>
      <c r="NCQ53" s="15"/>
      <c r="NCR53" s="15"/>
      <c r="NCS53" s="15"/>
      <c r="NCT53" s="15"/>
      <c r="NCU53" s="15"/>
      <c r="NCV53" s="15"/>
      <c r="NCW53" s="15"/>
      <c r="NCX53" s="15"/>
      <c r="NCY53" s="15"/>
      <c r="NCZ53" s="15"/>
      <c r="NDA53" s="15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15"/>
      <c r="NDN53" s="15"/>
      <c r="NDO53" s="15"/>
      <c r="NDP53" s="15"/>
      <c r="NDQ53" s="15"/>
      <c r="NDR53" s="15"/>
      <c r="NDS53" s="15"/>
      <c r="NDT53" s="15"/>
      <c r="NDU53" s="15"/>
      <c r="NDV53" s="15"/>
      <c r="NDW53" s="15"/>
      <c r="NDX53" s="15"/>
      <c r="NDY53" s="15"/>
      <c r="NDZ53" s="15"/>
      <c r="NEA53" s="15"/>
      <c r="NEB53" s="15"/>
      <c r="NEC53" s="15"/>
      <c r="NED53" s="15"/>
      <c r="NEE53" s="15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15"/>
      <c r="NER53" s="15"/>
      <c r="NES53" s="15"/>
      <c r="NET53" s="15"/>
      <c r="NEU53" s="15"/>
      <c r="NEV53" s="15"/>
      <c r="NEW53" s="15"/>
      <c r="NEX53" s="15"/>
      <c r="NEY53" s="15"/>
      <c r="NEZ53" s="15"/>
      <c r="NFA53" s="15"/>
      <c r="NFB53" s="15"/>
      <c r="NFC53" s="15"/>
      <c r="NFD53" s="15"/>
      <c r="NFE53" s="15"/>
      <c r="NFF53" s="15"/>
      <c r="NFG53" s="15"/>
      <c r="NFH53" s="15"/>
      <c r="NFI53" s="15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15"/>
      <c r="NFV53" s="15"/>
      <c r="NFW53" s="15"/>
      <c r="NFX53" s="15"/>
      <c r="NFY53" s="15"/>
      <c r="NFZ53" s="15"/>
      <c r="NGA53" s="15"/>
      <c r="NGB53" s="15"/>
      <c r="NGC53" s="15"/>
      <c r="NGD53" s="15"/>
      <c r="NGE53" s="15"/>
      <c r="NGF53" s="15"/>
      <c r="NGG53" s="15"/>
      <c r="NGH53" s="15"/>
      <c r="NGI53" s="15"/>
      <c r="NGJ53" s="15"/>
      <c r="NGK53" s="15"/>
      <c r="NGL53" s="15"/>
      <c r="NGM53" s="15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15"/>
      <c r="NGZ53" s="15"/>
      <c r="NHA53" s="15"/>
      <c r="NHB53" s="15"/>
      <c r="NHC53" s="15"/>
      <c r="NHD53" s="15"/>
      <c r="NHE53" s="15"/>
      <c r="NHF53" s="15"/>
      <c r="NHG53" s="15"/>
      <c r="NHH53" s="15"/>
      <c r="NHI53" s="15"/>
      <c r="NHJ53" s="15"/>
      <c r="NHK53" s="15"/>
      <c r="NHL53" s="15"/>
      <c r="NHM53" s="15"/>
      <c r="NHN53" s="15"/>
      <c r="NHO53" s="15"/>
      <c r="NHP53" s="15"/>
      <c r="NHQ53" s="15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15"/>
      <c r="NID53" s="15"/>
      <c r="NIE53" s="15"/>
      <c r="NIF53" s="15"/>
      <c r="NIG53" s="15"/>
      <c r="NIH53" s="15"/>
      <c r="NII53" s="15"/>
      <c r="NIJ53" s="15"/>
      <c r="NIK53" s="15"/>
      <c r="NIL53" s="15"/>
      <c r="NIM53" s="15"/>
      <c r="NIN53" s="15"/>
      <c r="NIO53" s="15"/>
      <c r="NIP53" s="15"/>
      <c r="NIQ53" s="15"/>
      <c r="NIR53" s="15"/>
      <c r="NIS53" s="15"/>
      <c r="NIT53" s="15"/>
      <c r="NIU53" s="15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15"/>
      <c r="NJH53" s="15"/>
      <c r="NJI53" s="15"/>
      <c r="NJJ53" s="15"/>
      <c r="NJK53" s="15"/>
      <c r="NJL53" s="15"/>
      <c r="NJM53" s="15"/>
      <c r="NJN53" s="15"/>
      <c r="NJO53" s="15"/>
      <c r="NJP53" s="15"/>
      <c r="NJQ53" s="15"/>
      <c r="NJR53" s="15"/>
      <c r="NJS53" s="15"/>
      <c r="NJT53" s="15"/>
      <c r="NJU53" s="15"/>
      <c r="NJV53" s="15"/>
      <c r="NJW53" s="15"/>
      <c r="NJX53" s="15"/>
      <c r="NJY53" s="15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15"/>
      <c r="NKL53" s="15"/>
      <c r="NKM53" s="15"/>
      <c r="NKN53" s="15"/>
      <c r="NKO53" s="15"/>
      <c r="NKP53" s="15"/>
      <c r="NKQ53" s="15"/>
      <c r="NKR53" s="15"/>
      <c r="NKS53" s="15"/>
      <c r="NKT53" s="15"/>
      <c r="NKU53" s="15"/>
      <c r="NKV53" s="15"/>
      <c r="NKW53" s="15"/>
      <c r="NKX53" s="15"/>
      <c r="NKY53" s="15"/>
      <c r="NKZ53" s="15"/>
      <c r="NLA53" s="15"/>
      <c r="NLB53" s="15"/>
      <c r="NLC53" s="15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15"/>
      <c r="NLP53" s="15"/>
      <c r="NLQ53" s="15"/>
      <c r="NLR53" s="15"/>
      <c r="NLS53" s="15"/>
      <c r="NLT53" s="15"/>
      <c r="NLU53" s="15"/>
      <c r="NLV53" s="15"/>
      <c r="NLW53" s="15"/>
      <c r="NLX53" s="15"/>
      <c r="NLY53" s="15"/>
      <c r="NLZ53" s="15"/>
      <c r="NMA53" s="15"/>
      <c r="NMB53" s="15"/>
      <c r="NMC53" s="15"/>
      <c r="NMD53" s="15"/>
      <c r="NME53" s="15"/>
      <c r="NMF53" s="15"/>
      <c r="NMG53" s="15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15"/>
      <c r="NMT53" s="15"/>
      <c r="NMU53" s="15"/>
      <c r="NMV53" s="15"/>
      <c r="NMW53" s="15"/>
      <c r="NMX53" s="15"/>
      <c r="NMY53" s="15"/>
      <c r="NMZ53" s="15"/>
      <c r="NNA53" s="15"/>
      <c r="NNB53" s="15"/>
      <c r="NNC53" s="15"/>
      <c r="NND53" s="15"/>
      <c r="NNE53" s="15"/>
      <c r="NNF53" s="15"/>
      <c r="NNG53" s="15"/>
      <c r="NNH53" s="15"/>
      <c r="NNI53" s="15"/>
      <c r="NNJ53" s="15"/>
      <c r="NNK53" s="15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15"/>
      <c r="NNX53" s="15"/>
      <c r="NNY53" s="15"/>
      <c r="NNZ53" s="15"/>
      <c r="NOA53" s="15"/>
      <c r="NOB53" s="15"/>
      <c r="NOC53" s="15"/>
      <c r="NOD53" s="15"/>
      <c r="NOE53" s="15"/>
      <c r="NOF53" s="15"/>
      <c r="NOG53" s="15"/>
      <c r="NOH53" s="15"/>
      <c r="NOI53" s="15"/>
      <c r="NOJ53" s="15"/>
      <c r="NOK53" s="15"/>
      <c r="NOL53" s="15"/>
      <c r="NOM53" s="15"/>
      <c r="NON53" s="15"/>
      <c r="NOO53" s="15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15"/>
      <c r="NPB53" s="15"/>
      <c r="NPC53" s="15"/>
      <c r="NPD53" s="15"/>
      <c r="NPE53" s="15"/>
      <c r="NPF53" s="15"/>
      <c r="NPG53" s="15"/>
      <c r="NPH53" s="15"/>
      <c r="NPI53" s="15"/>
      <c r="NPJ53" s="15"/>
      <c r="NPK53" s="15"/>
      <c r="NPL53" s="15"/>
      <c r="NPM53" s="15"/>
      <c r="NPN53" s="15"/>
      <c r="NPO53" s="15"/>
      <c r="NPP53" s="15"/>
      <c r="NPQ53" s="15"/>
      <c r="NPR53" s="15"/>
      <c r="NPS53" s="15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15"/>
      <c r="NQF53" s="15"/>
      <c r="NQG53" s="15"/>
      <c r="NQH53" s="15"/>
      <c r="NQI53" s="15"/>
      <c r="NQJ53" s="15"/>
      <c r="NQK53" s="15"/>
      <c r="NQL53" s="15"/>
      <c r="NQM53" s="15"/>
      <c r="NQN53" s="15"/>
      <c r="NQO53" s="15"/>
      <c r="NQP53" s="15"/>
      <c r="NQQ53" s="15"/>
      <c r="NQR53" s="15"/>
      <c r="NQS53" s="15"/>
      <c r="NQT53" s="15"/>
      <c r="NQU53" s="15"/>
      <c r="NQV53" s="15"/>
      <c r="NQW53" s="15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15"/>
      <c r="NRJ53" s="15"/>
      <c r="NRK53" s="15"/>
      <c r="NRL53" s="15"/>
      <c r="NRM53" s="15"/>
      <c r="NRN53" s="15"/>
      <c r="NRO53" s="15"/>
      <c r="NRP53" s="15"/>
      <c r="NRQ53" s="15"/>
      <c r="NRR53" s="15"/>
      <c r="NRS53" s="15"/>
      <c r="NRT53" s="15"/>
      <c r="NRU53" s="15"/>
      <c r="NRV53" s="15"/>
      <c r="NRW53" s="15"/>
      <c r="NRX53" s="15"/>
      <c r="NRY53" s="15"/>
      <c r="NRZ53" s="15"/>
      <c r="NSA53" s="15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15"/>
      <c r="NSN53" s="15"/>
      <c r="NSO53" s="15"/>
      <c r="NSP53" s="15"/>
      <c r="NSQ53" s="15"/>
      <c r="NSR53" s="15"/>
      <c r="NSS53" s="15"/>
      <c r="NST53" s="15"/>
      <c r="NSU53" s="15"/>
      <c r="NSV53" s="15"/>
      <c r="NSW53" s="15"/>
      <c r="NSX53" s="15"/>
      <c r="NSY53" s="15"/>
      <c r="NSZ53" s="15"/>
      <c r="NTA53" s="15"/>
      <c r="NTB53" s="15"/>
      <c r="NTC53" s="15"/>
      <c r="NTD53" s="15"/>
      <c r="NTE53" s="15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15"/>
      <c r="NTR53" s="15"/>
      <c r="NTS53" s="15"/>
      <c r="NTT53" s="15"/>
      <c r="NTU53" s="15"/>
      <c r="NTV53" s="15"/>
      <c r="NTW53" s="15"/>
      <c r="NTX53" s="15"/>
      <c r="NTY53" s="15"/>
      <c r="NTZ53" s="15"/>
      <c r="NUA53" s="15"/>
      <c r="NUB53" s="15"/>
      <c r="NUC53" s="15"/>
      <c r="NUD53" s="15"/>
      <c r="NUE53" s="15"/>
      <c r="NUF53" s="15"/>
      <c r="NUG53" s="15"/>
      <c r="NUH53" s="15"/>
      <c r="NUI53" s="15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15"/>
      <c r="NUV53" s="15"/>
      <c r="NUW53" s="15"/>
      <c r="NUX53" s="15"/>
      <c r="NUY53" s="15"/>
      <c r="NUZ53" s="15"/>
      <c r="NVA53" s="15"/>
      <c r="NVB53" s="15"/>
      <c r="NVC53" s="15"/>
      <c r="NVD53" s="15"/>
      <c r="NVE53" s="15"/>
      <c r="NVF53" s="15"/>
      <c r="NVG53" s="15"/>
      <c r="NVH53" s="15"/>
      <c r="NVI53" s="15"/>
      <c r="NVJ53" s="15"/>
      <c r="NVK53" s="15"/>
      <c r="NVL53" s="15"/>
      <c r="NVM53" s="15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15"/>
      <c r="NVZ53" s="15"/>
      <c r="NWA53" s="15"/>
      <c r="NWB53" s="15"/>
      <c r="NWC53" s="15"/>
      <c r="NWD53" s="15"/>
      <c r="NWE53" s="15"/>
      <c r="NWF53" s="15"/>
      <c r="NWG53" s="15"/>
      <c r="NWH53" s="15"/>
      <c r="NWI53" s="15"/>
      <c r="NWJ53" s="15"/>
      <c r="NWK53" s="15"/>
      <c r="NWL53" s="15"/>
      <c r="NWM53" s="15"/>
      <c r="NWN53" s="15"/>
      <c r="NWO53" s="15"/>
      <c r="NWP53" s="15"/>
      <c r="NWQ53" s="15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15"/>
      <c r="NXD53" s="15"/>
      <c r="NXE53" s="15"/>
      <c r="NXF53" s="15"/>
      <c r="NXG53" s="15"/>
      <c r="NXH53" s="15"/>
      <c r="NXI53" s="15"/>
      <c r="NXJ53" s="15"/>
      <c r="NXK53" s="15"/>
      <c r="NXL53" s="15"/>
      <c r="NXM53" s="15"/>
      <c r="NXN53" s="15"/>
      <c r="NXO53" s="15"/>
      <c r="NXP53" s="15"/>
      <c r="NXQ53" s="15"/>
      <c r="NXR53" s="15"/>
      <c r="NXS53" s="15"/>
      <c r="NXT53" s="15"/>
      <c r="NXU53" s="15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15"/>
      <c r="NYH53" s="15"/>
      <c r="NYI53" s="15"/>
      <c r="NYJ53" s="15"/>
      <c r="NYK53" s="15"/>
      <c r="NYL53" s="15"/>
      <c r="NYM53" s="15"/>
      <c r="NYN53" s="15"/>
      <c r="NYO53" s="15"/>
      <c r="NYP53" s="15"/>
      <c r="NYQ53" s="15"/>
      <c r="NYR53" s="15"/>
      <c r="NYS53" s="15"/>
      <c r="NYT53" s="15"/>
      <c r="NYU53" s="15"/>
      <c r="NYV53" s="15"/>
      <c r="NYW53" s="15"/>
      <c r="NYX53" s="15"/>
      <c r="NYY53" s="15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15"/>
      <c r="NZL53" s="15"/>
      <c r="NZM53" s="15"/>
      <c r="NZN53" s="15"/>
      <c r="NZO53" s="15"/>
      <c r="NZP53" s="15"/>
      <c r="NZQ53" s="15"/>
      <c r="NZR53" s="15"/>
      <c r="NZS53" s="15"/>
      <c r="NZT53" s="15"/>
      <c r="NZU53" s="15"/>
      <c r="NZV53" s="15"/>
      <c r="NZW53" s="15"/>
      <c r="NZX53" s="15"/>
      <c r="NZY53" s="15"/>
      <c r="NZZ53" s="15"/>
      <c r="OAA53" s="15"/>
      <c r="OAB53" s="15"/>
      <c r="OAC53" s="15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15"/>
      <c r="OAP53" s="15"/>
      <c r="OAQ53" s="15"/>
      <c r="OAR53" s="15"/>
      <c r="OAS53" s="15"/>
      <c r="OAT53" s="15"/>
      <c r="OAU53" s="15"/>
      <c r="OAV53" s="15"/>
      <c r="OAW53" s="15"/>
      <c r="OAX53" s="15"/>
      <c r="OAY53" s="15"/>
      <c r="OAZ53" s="15"/>
      <c r="OBA53" s="15"/>
      <c r="OBB53" s="15"/>
      <c r="OBC53" s="15"/>
      <c r="OBD53" s="15"/>
      <c r="OBE53" s="15"/>
      <c r="OBF53" s="15"/>
      <c r="OBG53" s="15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15"/>
      <c r="OBT53" s="15"/>
      <c r="OBU53" s="15"/>
      <c r="OBV53" s="15"/>
      <c r="OBW53" s="15"/>
      <c r="OBX53" s="15"/>
      <c r="OBY53" s="15"/>
      <c r="OBZ53" s="15"/>
      <c r="OCA53" s="15"/>
      <c r="OCB53" s="15"/>
      <c r="OCC53" s="15"/>
      <c r="OCD53" s="15"/>
      <c r="OCE53" s="15"/>
      <c r="OCF53" s="15"/>
      <c r="OCG53" s="15"/>
      <c r="OCH53" s="15"/>
      <c r="OCI53" s="15"/>
      <c r="OCJ53" s="15"/>
      <c r="OCK53" s="15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15"/>
      <c r="OCX53" s="15"/>
      <c r="OCY53" s="15"/>
      <c r="OCZ53" s="15"/>
      <c r="ODA53" s="15"/>
      <c r="ODB53" s="15"/>
      <c r="ODC53" s="15"/>
      <c r="ODD53" s="15"/>
      <c r="ODE53" s="15"/>
      <c r="ODF53" s="15"/>
      <c r="ODG53" s="15"/>
      <c r="ODH53" s="15"/>
      <c r="ODI53" s="15"/>
      <c r="ODJ53" s="15"/>
      <c r="ODK53" s="15"/>
      <c r="ODL53" s="15"/>
      <c r="ODM53" s="15"/>
      <c r="ODN53" s="15"/>
      <c r="ODO53" s="15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15"/>
      <c r="OEB53" s="15"/>
      <c r="OEC53" s="15"/>
      <c r="OED53" s="15"/>
      <c r="OEE53" s="15"/>
      <c r="OEF53" s="15"/>
      <c r="OEG53" s="15"/>
      <c r="OEH53" s="15"/>
      <c r="OEI53" s="15"/>
      <c r="OEJ53" s="15"/>
      <c r="OEK53" s="15"/>
      <c r="OEL53" s="15"/>
      <c r="OEM53" s="15"/>
      <c r="OEN53" s="15"/>
      <c r="OEO53" s="15"/>
      <c r="OEP53" s="15"/>
      <c r="OEQ53" s="15"/>
      <c r="OER53" s="15"/>
      <c r="OES53" s="15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15"/>
      <c r="OFF53" s="15"/>
      <c r="OFG53" s="15"/>
      <c r="OFH53" s="15"/>
      <c r="OFI53" s="15"/>
      <c r="OFJ53" s="15"/>
      <c r="OFK53" s="15"/>
      <c r="OFL53" s="15"/>
      <c r="OFM53" s="15"/>
      <c r="OFN53" s="15"/>
      <c r="OFO53" s="15"/>
      <c r="OFP53" s="15"/>
      <c r="OFQ53" s="15"/>
      <c r="OFR53" s="15"/>
      <c r="OFS53" s="15"/>
      <c r="OFT53" s="15"/>
      <c r="OFU53" s="15"/>
      <c r="OFV53" s="15"/>
      <c r="OFW53" s="15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15"/>
      <c r="OGJ53" s="15"/>
      <c r="OGK53" s="15"/>
      <c r="OGL53" s="15"/>
      <c r="OGM53" s="15"/>
      <c r="OGN53" s="15"/>
      <c r="OGO53" s="15"/>
      <c r="OGP53" s="15"/>
      <c r="OGQ53" s="15"/>
      <c r="OGR53" s="15"/>
      <c r="OGS53" s="15"/>
      <c r="OGT53" s="15"/>
      <c r="OGU53" s="15"/>
      <c r="OGV53" s="15"/>
      <c r="OGW53" s="15"/>
      <c r="OGX53" s="15"/>
      <c r="OGY53" s="15"/>
      <c r="OGZ53" s="15"/>
      <c r="OHA53" s="15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15"/>
      <c r="OHN53" s="15"/>
      <c r="OHO53" s="15"/>
      <c r="OHP53" s="15"/>
      <c r="OHQ53" s="15"/>
      <c r="OHR53" s="15"/>
      <c r="OHS53" s="15"/>
      <c r="OHT53" s="15"/>
      <c r="OHU53" s="15"/>
      <c r="OHV53" s="15"/>
      <c r="OHW53" s="15"/>
      <c r="OHX53" s="15"/>
      <c r="OHY53" s="15"/>
      <c r="OHZ53" s="15"/>
      <c r="OIA53" s="15"/>
      <c r="OIB53" s="15"/>
      <c r="OIC53" s="15"/>
      <c r="OID53" s="15"/>
      <c r="OIE53" s="15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15"/>
      <c r="OIR53" s="15"/>
      <c r="OIS53" s="15"/>
      <c r="OIT53" s="15"/>
      <c r="OIU53" s="15"/>
      <c r="OIV53" s="15"/>
      <c r="OIW53" s="15"/>
      <c r="OIX53" s="15"/>
      <c r="OIY53" s="15"/>
      <c r="OIZ53" s="15"/>
      <c r="OJA53" s="15"/>
      <c r="OJB53" s="15"/>
      <c r="OJC53" s="15"/>
      <c r="OJD53" s="15"/>
      <c r="OJE53" s="15"/>
      <c r="OJF53" s="15"/>
      <c r="OJG53" s="15"/>
      <c r="OJH53" s="15"/>
      <c r="OJI53" s="15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15"/>
      <c r="OJV53" s="15"/>
      <c r="OJW53" s="15"/>
      <c r="OJX53" s="15"/>
      <c r="OJY53" s="15"/>
      <c r="OJZ53" s="15"/>
      <c r="OKA53" s="15"/>
      <c r="OKB53" s="15"/>
      <c r="OKC53" s="15"/>
      <c r="OKD53" s="15"/>
      <c r="OKE53" s="15"/>
      <c r="OKF53" s="15"/>
      <c r="OKG53" s="15"/>
      <c r="OKH53" s="15"/>
      <c r="OKI53" s="15"/>
      <c r="OKJ53" s="15"/>
      <c r="OKK53" s="15"/>
      <c r="OKL53" s="15"/>
      <c r="OKM53" s="15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15"/>
      <c r="OKZ53" s="15"/>
      <c r="OLA53" s="15"/>
      <c r="OLB53" s="15"/>
      <c r="OLC53" s="15"/>
      <c r="OLD53" s="15"/>
      <c r="OLE53" s="15"/>
      <c r="OLF53" s="15"/>
      <c r="OLG53" s="15"/>
      <c r="OLH53" s="15"/>
      <c r="OLI53" s="15"/>
      <c r="OLJ53" s="15"/>
      <c r="OLK53" s="15"/>
      <c r="OLL53" s="15"/>
      <c r="OLM53" s="15"/>
      <c r="OLN53" s="15"/>
      <c r="OLO53" s="15"/>
      <c r="OLP53" s="15"/>
      <c r="OLQ53" s="15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15"/>
      <c r="OMD53" s="15"/>
      <c r="OME53" s="15"/>
      <c r="OMF53" s="15"/>
      <c r="OMG53" s="15"/>
      <c r="OMH53" s="15"/>
      <c r="OMI53" s="15"/>
      <c r="OMJ53" s="15"/>
      <c r="OMK53" s="15"/>
      <c r="OML53" s="15"/>
      <c r="OMM53" s="15"/>
      <c r="OMN53" s="15"/>
      <c r="OMO53" s="15"/>
      <c r="OMP53" s="15"/>
      <c r="OMQ53" s="15"/>
      <c r="OMR53" s="15"/>
      <c r="OMS53" s="15"/>
      <c r="OMT53" s="15"/>
      <c r="OMU53" s="15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15"/>
      <c r="ONH53" s="15"/>
      <c r="ONI53" s="15"/>
      <c r="ONJ53" s="15"/>
      <c r="ONK53" s="15"/>
      <c r="ONL53" s="15"/>
      <c r="ONM53" s="15"/>
      <c r="ONN53" s="15"/>
      <c r="ONO53" s="15"/>
      <c r="ONP53" s="15"/>
      <c r="ONQ53" s="15"/>
      <c r="ONR53" s="15"/>
      <c r="ONS53" s="15"/>
      <c r="ONT53" s="15"/>
      <c r="ONU53" s="15"/>
      <c r="ONV53" s="15"/>
      <c r="ONW53" s="15"/>
      <c r="ONX53" s="15"/>
      <c r="ONY53" s="15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15"/>
      <c r="OOL53" s="15"/>
      <c r="OOM53" s="15"/>
      <c r="OON53" s="15"/>
      <c r="OOO53" s="15"/>
      <c r="OOP53" s="15"/>
      <c r="OOQ53" s="15"/>
      <c r="OOR53" s="15"/>
      <c r="OOS53" s="15"/>
      <c r="OOT53" s="15"/>
      <c r="OOU53" s="15"/>
      <c r="OOV53" s="15"/>
      <c r="OOW53" s="15"/>
      <c r="OOX53" s="15"/>
      <c r="OOY53" s="15"/>
      <c r="OOZ53" s="15"/>
      <c r="OPA53" s="15"/>
      <c r="OPB53" s="15"/>
      <c r="OPC53" s="15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15"/>
      <c r="OPP53" s="15"/>
      <c r="OPQ53" s="15"/>
      <c r="OPR53" s="15"/>
      <c r="OPS53" s="15"/>
      <c r="OPT53" s="15"/>
      <c r="OPU53" s="15"/>
      <c r="OPV53" s="15"/>
      <c r="OPW53" s="15"/>
      <c r="OPX53" s="15"/>
      <c r="OPY53" s="15"/>
      <c r="OPZ53" s="15"/>
      <c r="OQA53" s="15"/>
      <c r="OQB53" s="15"/>
      <c r="OQC53" s="15"/>
      <c r="OQD53" s="15"/>
      <c r="OQE53" s="15"/>
      <c r="OQF53" s="15"/>
      <c r="OQG53" s="15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15"/>
      <c r="OQT53" s="15"/>
      <c r="OQU53" s="15"/>
      <c r="OQV53" s="15"/>
      <c r="OQW53" s="15"/>
      <c r="OQX53" s="15"/>
      <c r="OQY53" s="15"/>
      <c r="OQZ53" s="15"/>
      <c r="ORA53" s="15"/>
      <c r="ORB53" s="15"/>
      <c r="ORC53" s="15"/>
      <c r="ORD53" s="15"/>
      <c r="ORE53" s="15"/>
      <c r="ORF53" s="15"/>
      <c r="ORG53" s="15"/>
      <c r="ORH53" s="15"/>
      <c r="ORI53" s="15"/>
      <c r="ORJ53" s="15"/>
      <c r="ORK53" s="15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15"/>
      <c r="ORX53" s="15"/>
      <c r="ORY53" s="15"/>
      <c r="ORZ53" s="15"/>
      <c r="OSA53" s="15"/>
      <c r="OSB53" s="15"/>
      <c r="OSC53" s="15"/>
      <c r="OSD53" s="15"/>
      <c r="OSE53" s="15"/>
      <c r="OSF53" s="15"/>
      <c r="OSG53" s="15"/>
      <c r="OSH53" s="15"/>
      <c r="OSI53" s="15"/>
      <c r="OSJ53" s="15"/>
      <c r="OSK53" s="15"/>
      <c r="OSL53" s="15"/>
      <c r="OSM53" s="15"/>
      <c r="OSN53" s="15"/>
      <c r="OSO53" s="15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15"/>
      <c r="OTB53" s="15"/>
      <c r="OTC53" s="15"/>
      <c r="OTD53" s="15"/>
      <c r="OTE53" s="15"/>
      <c r="OTF53" s="15"/>
      <c r="OTG53" s="15"/>
      <c r="OTH53" s="15"/>
      <c r="OTI53" s="15"/>
      <c r="OTJ53" s="15"/>
      <c r="OTK53" s="15"/>
      <c r="OTL53" s="15"/>
      <c r="OTM53" s="15"/>
      <c r="OTN53" s="15"/>
      <c r="OTO53" s="15"/>
      <c r="OTP53" s="15"/>
      <c r="OTQ53" s="15"/>
      <c r="OTR53" s="15"/>
      <c r="OTS53" s="15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15"/>
      <c r="OUF53" s="15"/>
      <c r="OUG53" s="15"/>
      <c r="OUH53" s="15"/>
      <c r="OUI53" s="15"/>
      <c r="OUJ53" s="15"/>
      <c r="OUK53" s="15"/>
      <c r="OUL53" s="15"/>
      <c r="OUM53" s="15"/>
      <c r="OUN53" s="15"/>
      <c r="OUO53" s="15"/>
      <c r="OUP53" s="15"/>
      <c r="OUQ53" s="15"/>
      <c r="OUR53" s="15"/>
      <c r="OUS53" s="15"/>
      <c r="OUT53" s="15"/>
      <c r="OUU53" s="15"/>
      <c r="OUV53" s="15"/>
      <c r="OUW53" s="15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15"/>
      <c r="OVJ53" s="15"/>
      <c r="OVK53" s="15"/>
      <c r="OVL53" s="15"/>
      <c r="OVM53" s="15"/>
      <c r="OVN53" s="15"/>
      <c r="OVO53" s="15"/>
      <c r="OVP53" s="15"/>
      <c r="OVQ53" s="15"/>
      <c r="OVR53" s="15"/>
      <c r="OVS53" s="15"/>
      <c r="OVT53" s="15"/>
      <c r="OVU53" s="15"/>
      <c r="OVV53" s="15"/>
      <c r="OVW53" s="15"/>
      <c r="OVX53" s="15"/>
      <c r="OVY53" s="15"/>
      <c r="OVZ53" s="15"/>
      <c r="OWA53" s="15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15"/>
      <c r="OWN53" s="15"/>
      <c r="OWO53" s="15"/>
      <c r="OWP53" s="15"/>
      <c r="OWQ53" s="15"/>
      <c r="OWR53" s="15"/>
      <c r="OWS53" s="15"/>
      <c r="OWT53" s="15"/>
      <c r="OWU53" s="15"/>
      <c r="OWV53" s="15"/>
      <c r="OWW53" s="15"/>
      <c r="OWX53" s="15"/>
      <c r="OWY53" s="15"/>
      <c r="OWZ53" s="15"/>
      <c r="OXA53" s="15"/>
      <c r="OXB53" s="15"/>
      <c r="OXC53" s="15"/>
      <c r="OXD53" s="15"/>
      <c r="OXE53" s="15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15"/>
      <c r="OXR53" s="15"/>
      <c r="OXS53" s="15"/>
      <c r="OXT53" s="15"/>
      <c r="OXU53" s="15"/>
      <c r="OXV53" s="15"/>
      <c r="OXW53" s="15"/>
      <c r="OXX53" s="15"/>
      <c r="OXY53" s="15"/>
      <c r="OXZ53" s="15"/>
      <c r="OYA53" s="15"/>
      <c r="OYB53" s="15"/>
      <c r="OYC53" s="15"/>
      <c r="OYD53" s="15"/>
      <c r="OYE53" s="15"/>
      <c r="OYF53" s="15"/>
      <c r="OYG53" s="15"/>
      <c r="OYH53" s="15"/>
      <c r="OYI53" s="15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15"/>
      <c r="OYV53" s="15"/>
      <c r="OYW53" s="15"/>
      <c r="OYX53" s="15"/>
      <c r="OYY53" s="15"/>
      <c r="OYZ53" s="15"/>
      <c r="OZA53" s="15"/>
      <c r="OZB53" s="15"/>
      <c r="OZC53" s="15"/>
      <c r="OZD53" s="15"/>
      <c r="OZE53" s="15"/>
      <c r="OZF53" s="15"/>
      <c r="OZG53" s="15"/>
      <c r="OZH53" s="15"/>
      <c r="OZI53" s="15"/>
      <c r="OZJ53" s="15"/>
      <c r="OZK53" s="15"/>
      <c r="OZL53" s="15"/>
      <c r="OZM53" s="15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15"/>
      <c r="OZZ53" s="15"/>
      <c r="PAA53" s="15"/>
      <c r="PAB53" s="15"/>
      <c r="PAC53" s="15"/>
      <c r="PAD53" s="15"/>
      <c r="PAE53" s="15"/>
      <c r="PAF53" s="15"/>
      <c r="PAG53" s="15"/>
      <c r="PAH53" s="15"/>
      <c r="PAI53" s="15"/>
      <c r="PAJ53" s="15"/>
      <c r="PAK53" s="15"/>
      <c r="PAL53" s="15"/>
      <c r="PAM53" s="15"/>
      <c r="PAN53" s="15"/>
      <c r="PAO53" s="15"/>
      <c r="PAP53" s="15"/>
      <c r="PAQ53" s="15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15"/>
      <c r="PBD53" s="15"/>
      <c r="PBE53" s="15"/>
      <c r="PBF53" s="15"/>
      <c r="PBG53" s="15"/>
      <c r="PBH53" s="15"/>
      <c r="PBI53" s="15"/>
      <c r="PBJ53" s="15"/>
      <c r="PBK53" s="15"/>
      <c r="PBL53" s="15"/>
      <c r="PBM53" s="15"/>
      <c r="PBN53" s="15"/>
      <c r="PBO53" s="15"/>
      <c r="PBP53" s="15"/>
      <c r="PBQ53" s="15"/>
      <c r="PBR53" s="15"/>
      <c r="PBS53" s="15"/>
      <c r="PBT53" s="15"/>
      <c r="PBU53" s="15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15"/>
      <c r="PCH53" s="15"/>
      <c r="PCI53" s="15"/>
      <c r="PCJ53" s="15"/>
      <c r="PCK53" s="15"/>
      <c r="PCL53" s="15"/>
      <c r="PCM53" s="15"/>
      <c r="PCN53" s="15"/>
      <c r="PCO53" s="15"/>
      <c r="PCP53" s="15"/>
      <c r="PCQ53" s="15"/>
      <c r="PCR53" s="15"/>
      <c r="PCS53" s="15"/>
      <c r="PCT53" s="15"/>
      <c r="PCU53" s="15"/>
      <c r="PCV53" s="15"/>
      <c r="PCW53" s="15"/>
      <c r="PCX53" s="15"/>
      <c r="PCY53" s="15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15"/>
      <c r="PDL53" s="15"/>
      <c r="PDM53" s="15"/>
      <c r="PDN53" s="15"/>
      <c r="PDO53" s="15"/>
      <c r="PDP53" s="15"/>
      <c r="PDQ53" s="15"/>
      <c r="PDR53" s="15"/>
      <c r="PDS53" s="15"/>
      <c r="PDT53" s="15"/>
      <c r="PDU53" s="15"/>
      <c r="PDV53" s="15"/>
      <c r="PDW53" s="15"/>
      <c r="PDX53" s="15"/>
      <c r="PDY53" s="15"/>
      <c r="PDZ53" s="15"/>
      <c r="PEA53" s="15"/>
      <c r="PEB53" s="15"/>
      <c r="PEC53" s="15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15"/>
      <c r="PEP53" s="15"/>
      <c r="PEQ53" s="15"/>
      <c r="PER53" s="15"/>
      <c r="PES53" s="15"/>
      <c r="PET53" s="15"/>
      <c r="PEU53" s="15"/>
      <c r="PEV53" s="15"/>
      <c r="PEW53" s="15"/>
      <c r="PEX53" s="15"/>
      <c r="PEY53" s="15"/>
      <c r="PEZ53" s="15"/>
      <c r="PFA53" s="15"/>
      <c r="PFB53" s="15"/>
      <c r="PFC53" s="15"/>
      <c r="PFD53" s="15"/>
      <c r="PFE53" s="15"/>
      <c r="PFF53" s="15"/>
      <c r="PFG53" s="15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15"/>
      <c r="PFT53" s="15"/>
      <c r="PFU53" s="15"/>
      <c r="PFV53" s="15"/>
      <c r="PFW53" s="15"/>
      <c r="PFX53" s="15"/>
      <c r="PFY53" s="15"/>
      <c r="PFZ53" s="15"/>
      <c r="PGA53" s="15"/>
      <c r="PGB53" s="15"/>
      <c r="PGC53" s="15"/>
      <c r="PGD53" s="15"/>
      <c r="PGE53" s="15"/>
      <c r="PGF53" s="15"/>
      <c r="PGG53" s="15"/>
      <c r="PGH53" s="15"/>
      <c r="PGI53" s="15"/>
      <c r="PGJ53" s="15"/>
      <c r="PGK53" s="15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15"/>
      <c r="PGX53" s="15"/>
      <c r="PGY53" s="15"/>
      <c r="PGZ53" s="15"/>
      <c r="PHA53" s="15"/>
      <c r="PHB53" s="15"/>
      <c r="PHC53" s="15"/>
      <c r="PHD53" s="15"/>
      <c r="PHE53" s="15"/>
      <c r="PHF53" s="15"/>
      <c r="PHG53" s="15"/>
      <c r="PHH53" s="15"/>
      <c r="PHI53" s="15"/>
      <c r="PHJ53" s="15"/>
      <c r="PHK53" s="15"/>
      <c r="PHL53" s="15"/>
      <c r="PHM53" s="15"/>
      <c r="PHN53" s="15"/>
      <c r="PHO53" s="15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15"/>
      <c r="PIB53" s="15"/>
      <c r="PIC53" s="15"/>
      <c r="PID53" s="15"/>
      <c r="PIE53" s="15"/>
      <c r="PIF53" s="15"/>
      <c r="PIG53" s="15"/>
      <c r="PIH53" s="15"/>
      <c r="PII53" s="15"/>
      <c r="PIJ53" s="15"/>
      <c r="PIK53" s="15"/>
      <c r="PIL53" s="15"/>
      <c r="PIM53" s="15"/>
      <c r="PIN53" s="15"/>
      <c r="PIO53" s="15"/>
      <c r="PIP53" s="15"/>
      <c r="PIQ53" s="15"/>
      <c r="PIR53" s="15"/>
      <c r="PIS53" s="15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15"/>
      <c r="PJF53" s="15"/>
      <c r="PJG53" s="15"/>
      <c r="PJH53" s="15"/>
      <c r="PJI53" s="15"/>
      <c r="PJJ53" s="15"/>
      <c r="PJK53" s="15"/>
      <c r="PJL53" s="15"/>
      <c r="PJM53" s="15"/>
      <c r="PJN53" s="15"/>
      <c r="PJO53" s="15"/>
      <c r="PJP53" s="15"/>
      <c r="PJQ53" s="15"/>
      <c r="PJR53" s="15"/>
      <c r="PJS53" s="15"/>
      <c r="PJT53" s="15"/>
      <c r="PJU53" s="15"/>
      <c r="PJV53" s="15"/>
      <c r="PJW53" s="15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15"/>
      <c r="PKJ53" s="15"/>
      <c r="PKK53" s="15"/>
      <c r="PKL53" s="15"/>
      <c r="PKM53" s="15"/>
      <c r="PKN53" s="15"/>
      <c r="PKO53" s="15"/>
      <c r="PKP53" s="15"/>
      <c r="PKQ53" s="15"/>
      <c r="PKR53" s="15"/>
      <c r="PKS53" s="15"/>
      <c r="PKT53" s="15"/>
      <c r="PKU53" s="15"/>
      <c r="PKV53" s="15"/>
      <c r="PKW53" s="15"/>
      <c r="PKX53" s="15"/>
      <c r="PKY53" s="15"/>
      <c r="PKZ53" s="15"/>
      <c r="PLA53" s="15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15"/>
      <c r="PLN53" s="15"/>
      <c r="PLO53" s="15"/>
      <c r="PLP53" s="15"/>
      <c r="PLQ53" s="15"/>
      <c r="PLR53" s="15"/>
      <c r="PLS53" s="15"/>
      <c r="PLT53" s="15"/>
      <c r="PLU53" s="15"/>
      <c r="PLV53" s="15"/>
      <c r="PLW53" s="15"/>
      <c r="PLX53" s="15"/>
      <c r="PLY53" s="15"/>
      <c r="PLZ53" s="15"/>
      <c r="PMA53" s="15"/>
      <c r="PMB53" s="15"/>
      <c r="PMC53" s="15"/>
      <c r="PMD53" s="15"/>
      <c r="PME53" s="15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15"/>
      <c r="PMR53" s="15"/>
      <c r="PMS53" s="15"/>
      <c r="PMT53" s="15"/>
      <c r="PMU53" s="15"/>
      <c r="PMV53" s="15"/>
      <c r="PMW53" s="15"/>
      <c r="PMX53" s="15"/>
      <c r="PMY53" s="15"/>
      <c r="PMZ53" s="15"/>
      <c r="PNA53" s="15"/>
      <c r="PNB53" s="15"/>
      <c r="PNC53" s="15"/>
      <c r="PND53" s="15"/>
      <c r="PNE53" s="15"/>
      <c r="PNF53" s="15"/>
      <c r="PNG53" s="15"/>
      <c r="PNH53" s="15"/>
      <c r="PNI53" s="15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15"/>
      <c r="PNV53" s="15"/>
      <c r="PNW53" s="15"/>
      <c r="PNX53" s="15"/>
      <c r="PNY53" s="15"/>
      <c r="PNZ53" s="15"/>
      <c r="POA53" s="15"/>
      <c r="POB53" s="15"/>
      <c r="POC53" s="15"/>
      <c r="POD53" s="15"/>
      <c r="POE53" s="15"/>
      <c r="POF53" s="15"/>
      <c r="POG53" s="15"/>
      <c r="POH53" s="15"/>
      <c r="POI53" s="15"/>
      <c r="POJ53" s="15"/>
      <c r="POK53" s="15"/>
      <c r="POL53" s="15"/>
      <c r="POM53" s="15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15"/>
      <c r="POZ53" s="15"/>
      <c r="PPA53" s="15"/>
      <c r="PPB53" s="15"/>
      <c r="PPC53" s="15"/>
      <c r="PPD53" s="15"/>
      <c r="PPE53" s="15"/>
      <c r="PPF53" s="15"/>
      <c r="PPG53" s="15"/>
      <c r="PPH53" s="15"/>
      <c r="PPI53" s="15"/>
      <c r="PPJ53" s="15"/>
      <c r="PPK53" s="15"/>
      <c r="PPL53" s="15"/>
      <c r="PPM53" s="15"/>
      <c r="PPN53" s="15"/>
      <c r="PPO53" s="15"/>
      <c r="PPP53" s="15"/>
      <c r="PPQ53" s="15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15"/>
      <c r="PQD53" s="15"/>
      <c r="PQE53" s="15"/>
      <c r="PQF53" s="15"/>
      <c r="PQG53" s="15"/>
      <c r="PQH53" s="15"/>
      <c r="PQI53" s="15"/>
      <c r="PQJ53" s="15"/>
      <c r="PQK53" s="15"/>
      <c r="PQL53" s="15"/>
      <c r="PQM53" s="15"/>
      <c r="PQN53" s="15"/>
      <c r="PQO53" s="15"/>
      <c r="PQP53" s="15"/>
      <c r="PQQ53" s="15"/>
      <c r="PQR53" s="15"/>
      <c r="PQS53" s="15"/>
      <c r="PQT53" s="15"/>
      <c r="PQU53" s="15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15"/>
      <c r="PRH53" s="15"/>
      <c r="PRI53" s="15"/>
      <c r="PRJ53" s="15"/>
      <c r="PRK53" s="15"/>
      <c r="PRL53" s="15"/>
      <c r="PRM53" s="15"/>
      <c r="PRN53" s="15"/>
      <c r="PRO53" s="15"/>
      <c r="PRP53" s="15"/>
      <c r="PRQ53" s="15"/>
      <c r="PRR53" s="15"/>
      <c r="PRS53" s="15"/>
      <c r="PRT53" s="15"/>
      <c r="PRU53" s="15"/>
      <c r="PRV53" s="15"/>
      <c r="PRW53" s="15"/>
      <c r="PRX53" s="15"/>
      <c r="PRY53" s="15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15"/>
      <c r="PSL53" s="15"/>
      <c r="PSM53" s="15"/>
      <c r="PSN53" s="15"/>
      <c r="PSO53" s="15"/>
      <c r="PSP53" s="15"/>
      <c r="PSQ53" s="15"/>
      <c r="PSR53" s="15"/>
      <c r="PSS53" s="15"/>
      <c r="PST53" s="15"/>
      <c r="PSU53" s="15"/>
      <c r="PSV53" s="15"/>
      <c r="PSW53" s="15"/>
      <c r="PSX53" s="15"/>
      <c r="PSY53" s="15"/>
      <c r="PSZ53" s="15"/>
      <c r="PTA53" s="15"/>
      <c r="PTB53" s="15"/>
      <c r="PTC53" s="15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15"/>
      <c r="PTP53" s="15"/>
      <c r="PTQ53" s="15"/>
      <c r="PTR53" s="15"/>
      <c r="PTS53" s="15"/>
      <c r="PTT53" s="15"/>
      <c r="PTU53" s="15"/>
      <c r="PTV53" s="15"/>
      <c r="PTW53" s="15"/>
      <c r="PTX53" s="15"/>
      <c r="PTY53" s="15"/>
      <c r="PTZ53" s="15"/>
      <c r="PUA53" s="15"/>
      <c r="PUB53" s="15"/>
      <c r="PUC53" s="15"/>
      <c r="PUD53" s="15"/>
      <c r="PUE53" s="15"/>
      <c r="PUF53" s="15"/>
      <c r="PUG53" s="15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15"/>
      <c r="PUT53" s="15"/>
      <c r="PUU53" s="15"/>
      <c r="PUV53" s="15"/>
      <c r="PUW53" s="15"/>
      <c r="PUX53" s="15"/>
      <c r="PUY53" s="15"/>
      <c r="PUZ53" s="15"/>
      <c r="PVA53" s="15"/>
      <c r="PVB53" s="15"/>
      <c r="PVC53" s="15"/>
      <c r="PVD53" s="15"/>
      <c r="PVE53" s="15"/>
      <c r="PVF53" s="15"/>
      <c r="PVG53" s="15"/>
      <c r="PVH53" s="15"/>
      <c r="PVI53" s="15"/>
      <c r="PVJ53" s="15"/>
      <c r="PVK53" s="15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15"/>
      <c r="PVX53" s="15"/>
      <c r="PVY53" s="15"/>
      <c r="PVZ53" s="15"/>
      <c r="PWA53" s="15"/>
      <c r="PWB53" s="15"/>
      <c r="PWC53" s="15"/>
      <c r="PWD53" s="15"/>
      <c r="PWE53" s="15"/>
      <c r="PWF53" s="15"/>
      <c r="PWG53" s="15"/>
      <c r="PWH53" s="15"/>
      <c r="PWI53" s="15"/>
      <c r="PWJ53" s="15"/>
      <c r="PWK53" s="15"/>
      <c r="PWL53" s="15"/>
      <c r="PWM53" s="15"/>
      <c r="PWN53" s="15"/>
      <c r="PWO53" s="15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15"/>
      <c r="PXB53" s="15"/>
      <c r="PXC53" s="15"/>
      <c r="PXD53" s="15"/>
      <c r="PXE53" s="15"/>
      <c r="PXF53" s="15"/>
      <c r="PXG53" s="15"/>
      <c r="PXH53" s="15"/>
      <c r="PXI53" s="15"/>
      <c r="PXJ53" s="15"/>
      <c r="PXK53" s="15"/>
      <c r="PXL53" s="15"/>
      <c r="PXM53" s="15"/>
      <c r="PXN53" s="15"/>
      <c r="PXO53" s="15"/>
      <c r="PXP53" s="15"/>
      <c r="PXQ53" s="15"/>
      <c r="PXR53" s="15"/>
      <c r="PXS53" s="15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15"/>
      <c r="PYF53" s="15"/>
      <c r="PYG53" s="15"/>
      <c r="PYH53" s="15"/>
      <c r="PYI53" s="15"/>
      <c r="PYJ53" s="15"/>
      <c r="PYK53" s="15"/>
      <c r="PYL53" s="15"/>
      <c r="PYM53" s="15"/>
      <c r="PYN53" s="15"/>
      <c r="PYO53" s="15"/>
      <c r="PYP53" s="15"/>
      <c r="PYQ53" s="15"/>
      <c r="PYR53" s="15"/>
      <c r="PYS53" s="15"/>
      <c r="PYT53" s="15"/>
      <c r="PYU53" s="15"/>
      <c r="PYV53" s="15"/>
      <c r="PYW53" s="15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15"/>
      <c r="PZJ53" s="15"/>
      <c r="PZK53" s="15"/>
      <c r="PZL53" s="15"/>
      <c r="PZM53" s="15"/>
      <c r="PZN53" s="15"/>
      <c r="PZO53" s="15"/>
      <c r="PZP53" s="15"/>
      <c r="PZQ53" s="15"/>
      <c r="PZR53" s="15"/>
      <c r="PZS53" s="15"/>
      <c r="PZT53" s="15"/>
      <c r="PZU53" s="15"/>
      <c r="PZV53" s="15"/>
      <c r="PZW53" s="15"/>
      <c r="PZX53" s="15"/>
      <c r="PZY53" s="15"/>
      <c r="PZZ53" s="15"/>
      <c r="QAA53" s="15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15"/>
      <c r="QAN53" s="15"/>
      <c r="QAO53" s="15"/>
      <c r="QAP53" s="15"/>
      <c r="QAQ53" s="15"/>
      <c r="QAR53" s="15"/>
      <c r="QAS53" s="15"/>
      <c r="QAT53" s="15"/>
      <c r="QAU53" s="15"/>
      <c r="QAV53" s="15"/>
      <c r="QAW53" s="15"/>
      <c r="QAX53" s="15"/>
      <c r="QAY53" s="15"/>
      <c r="QAZ53" s="15"/>
      <c r="QBA53" s="15"/>
      <c r="QBB53" s="15"/>
      <c r="QBC53" s="15"/>
      <c r="QBD53" s="15"/>
      <c r="QBE53" s="15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15"/>
      <c r="QBR53" s="15"/>
      <c r="QBS53" s="15"/>
      <c r="QBT53" s="15"/>
      <c r="QBU53" s="15"/>
      <c r="QBV53" s="15"/>
      <c r="QBW53" s="15"/>
      <c r="QBX53" s="15"/>
      <c r="QBY53" s="15"/>
      <c r="QBZ53" s="15"/>
      <c r="QCA53" s="15"/>
      <c r="QCB53" s="15"/>
      <c r="QCC53" s="15"/>
      <c r="QCD53" s="15"/>
      <c r="QCE53" s="15"/>
      <c r="QCF53" s="15"/>
      <c r="QCG53" s="15"/>
      <c r="QCH53" s="15"/>
      <c r="QCI53" s="15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15"/>
      <c r="QCV53" s="15"/>
      <c r="QCW53" s="15"/>
      <c r="QCX53" s="15"/>
      <c r="QCY53" s="15"/>
      <c r="QCZ53" s="15"/>
      <c r="QDA53" s="15"/>
      <c r="QDB53" s="15"/>
      <c r="QDC53" s="15"/>
      <c r="QDD53" s="15"/>
      <c r="QDE53" s="15"/>
      <c r="QDF53" s="15"/>
      <c r="QDG53" s="15"/>
      <c r="QDH53" s="15"/>
      <c r="QDI53" s="15"/>
      <c r="QDJ53" s="15"/>
      <c r="QDK53" s="15"/>
      <c r="QDL53" s="15"/>
      <c r="QDM53" s="15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15"/>
      <c r="QDZ53" s="15"/>
      <c r="QEA53" s="15"/>
      <c r="QEB53" s="15"/>
      <c r="QEC53" s="15"/>
      <c r="QED53" s="15"/>
      <c r="QEE53" s="15"/>
      <c r="QEF53" s="15"/>
      <c r="QEG53" s="15"/>
      <c r="QEH53" s="15"/>
      <c r="QEI53" s="15"/>
      <c r="QEJ53" s="15"/>
      <c r="QEK53" s="15"/>
      <c r="QEL53" s="15"/>
      <c r="QEM53" s="15"/>
      <c r="QEN53" s="15"/>
      <c r="QEO53" s="15"/>
      <c r="QEP53" s="15"/>
      <c r="QEQ53" s="15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15"/>
      <c r="QFD53" s="15"/>
      <c r="QFE53" s="15"/>
      <c r="QFF53" s="15"/>
      <c r="QFG53" s="15"/>
      <c r="QFH53" s="15"/>
      <c r="QFI53" s="15"/>
      <c r="QFJ53" s="15"/>
      <c r="QFK53" s="15"/>
      <c r="QFL53" s="15"/>
      <c r="QFM53" s="15"/>
      <c r="QFN53" s="15"/>
      <c r="QFO53" s="15"/>
      <c r="QFP53" s="15"/>
      <c r="QFQ53" s="15"/>
      <c r="QFR53" s="15"/>
      <c r="QFS53" s="15"/>
      <c r="QFT53" s="15"/>
      <c r="QFU53" s="15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15"/>
      <c r="QGH53" s="15"/>
      <c r="QGI53" s="15"/>
      <c r="QGJ53" s="15"/>
      <c r="QGK53" s="15"/>
      <c r="QGL53" s="15"/>
      <c r="QGM53" s="15"/>
      <c r="QGN53" s="15"/>
      <c r="QGO53" s="15"/>
      <c r="QGP53" s="15"/>
      <c r="QGQ53" s="15"/>
      <c r="QGR53" s="15"/>
      <c r="QGS53" s="15"/>
      <c r="QGT53" s="15"/>
      <c r="QGU53" s="15"/>
      <c r="QGV53" s="15"/>
      <c r="QGW53" s="15"/>
      <c r="QGX53" s="15"/>
      <c r="QGY53" s="15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15"/>
      <c r="QHL53" s="15"/>
      <c r="QHM53" s="15"/>
      <c r="QHN53" s="15"/>
      <c r="QHO53" s="15"/>
      <c r="QHP53" s="15"/>
      <c r="QHQ53" s="15"/>
      <c r="QHR53" s="15"/>
      <c r="QHS53" s="15"/>
      <c r="QHT53" s="15"/>
      <c r="QHU53" s="15"/>
      <c r="QHV53" s="15"/>
      <c r="QHW53" s="15"/>
      <c r="QHX53" s="15"/>
      <c r="QHY53" s="15"/>
      <c r="QHZ53" s="15"/>
      <c r="QIA53" s="15"/>
      <c r="QIB53" s="15"/>
      <c r="QIC53" s="15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15"/>
      <c r="QIP53" s="15"/>
      <c r="QIQ53" s="15"/>
      <c r="QIR53" s="15"/>
      <c r="QIS53" s="15"/>
      <c r="QIT53" s="15"/>
      <c r="QIU53" s="15"/>
      <c r="QIV53" s="15"/>
      <c r="QIW53" s="15"/>
      <c r="QIX53" s="15"/>
      <c r="QIY53" s="15"/>
      <c r="QIZ53" s="15"/>
      <c r="QJA53" s="15"/>
      <c r="QJB53" s="15"/>
      <c r="QJC53" s="15"/>
      <c r="QJD53" s="15"/>
      <c r="QJE53" s="15"/>
      <c r="QJF53" s="15"/>
      <c r="QJG53" s="15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15"/>
      <c r="QJT53" s="15"/>
      <c r="QJU53" s="15"/>
      <c r="QJV53" s="15"/>
      <c r="QJW53" s="15"/>
      <c r="QJX53" s="15"/>
      <c r="QJY53" s="15"/>
      <c r="QJZ53" s="15"/>
      <c r="QKA53" s="15"/>
      <c r="QKB53" s="15"/>
      <c r="QKC53" s="15"/>
      <c r="QKD53" s="15"/>
      <c r="QKE53" s="15"/>
      <c r="QKF53" s="15"/>
      <c r="QKG53" s="15"/>
      <c r="QKH53" s="15"/>
      <c r="QKI53" s="15"/>
      <c r="QKJ53" s="15"/>
      <c r="QKK53" s="15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15"/>
      <c r="QKX53" s="15"/>
      <c r="QKY53" s="15"/>
      <c r="QKZ53" s="15"/>
      <c r="QLA53" s="15"/>
      <c r="QLB53" s="15"/>
      <c r="QLC53" s="15"/>
      <c r="QLD53" s="15"/>
      <c r="QLE53" s="15"/>
      <c r="QLF53" s="15"/>
      <c r="QLG53" s="15"/>
      <c r="QLH53" s="15"/>
      <c r="QLI53" s="15"/>
      <c r="QLJ53" s="15"/>
      <c r="QLK53" s="15"/>
      <c r="QLL53" s="15"/>
      <c r="QLM53" s="15"/>
      <c r="QLN53" s="15"/>
      <c r="QLO53" s="15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15"/>
      <c r="QMB53" s="15"/>
      <c r="QMC53" s="15"/>
      <c r="QMD53" s="15"/>
      <c r="QME53" s="15"/>
      <c r="QMF53" s="15"/>
      <c r="QMG53" s="15"/>
      <c r="QMH53" s="15"/>
      <c r="QMI53" s="15"/>
      <c r="QMJ53" s="15"/>
      <c r="QMK53" s="15"/>
      <c r="QML53" s="15"/>
      <c r="QMM53" s="15"/>
      <c r="QMN53" s="15"/>
      <c r="QMO53" s="15"/>
      <c r="QMP53" s="15"/>
      <c r="QMQ53" s="15"/>
      <c r="QMR53" s="15"/>
      <c r="QMS53" s="15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15"/>
      <c r="QNF53" s="15"/>
      <c r="QNG53" s="15"/>
      <c r="QNH53" s="15"/>
      <c r="QNI53" s="15"/>
      <c r="QNJ53" s="15"/>
      <c r="QNK53" s="15"/>
      <c r="QNL53" s="15"/>
      <c r="QNM53" s="15"/>
      <c r="QNN53" s="15"/>
      <c r="QNO53" s="15"/>
      <c r="QNP53" s="15"/>
      <c r="QNQ53" s="15"/>
      <c r="QNR53" s="15"/>
      <c r="QNS53" s="15"/>
      <c r="QNT53" s="15"/>
      <c r="QNU53" s="15"/>
      <c r="QNV53" s="15"/>
      <c r="QNW53" s="15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15"/>
      <c r="QOJ53" s="15"/>
      <c r="QOK53" s="15"/>
      <c r="QOL53" s="15"/>
      <c r="QOM53" s="15"/>
      <c r="QON53" s="15"/>
      <c r="QOO53" s="15"/>
      <c r="QOP53" s="15"/>
      <c r="QOQ53" s="15"/>
      <c r="QOR53" s="15"/>
      <c r="QOS53" s="15"/>
      <c r="QOT53" s="15"/>
      <c r="QOU53" s="15"/>
      <c r="QOV53" s="15"/>
      <c r="QOW53" s="15"/>
      <c r="QOX53" s="15"/>
      <c r="QOY53" s="15"/>
      <c r="QOZ53" s="15"/>
      <c r="QPA53" s="15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15"/>
      <c r="QPN53" s="15"/>
      <c r="QPO53" s="15"/>
      <c r="QPP53" s="15"/>
      <c r="QPQ53" s="15"/>
      <c r="QPR53" s="15"/>
      <c r="QPS53" s="15"/>
      <c r="QPT53" s="15"/>
      <c r="QPU53" s="15"/>
      <c r="QPV53" s="15"/>
      <c r="QPW53" s="15"/>
      <c r="QPX53" s="15"/>
      <c r="QPY53" s="15"/>
      <c r="QPZ53" s="15"/>
      <c r="QQA53" s="15"/>
      <c r="QQB53" s="15"/>
      <c r="QQC53" s="15"/>
      <c r="QQD53" s="15"/>
      <c r="QQE53" s="15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15"/>
      <c r="QQR53" s="15"/>
      <c r="QQS53" s="15"/>
      <c r="QQT53" s="15"/>
      <c r="QQU53" s="15"/>
      <c r="QQV53" s="15"/>
      <c r="QQW53" s="15"/>
      <c r="QQX53" s="15"/>
      <c r="QQY53" s="15"/>
      <c r="QQZ53" s="15"/>
      <c r="QRA53" s="15"/>
      <c r="QRB53" s="15"/>
      <c r="QRC53" s="15"/>
      <c r="QRD53" s="15"/>
      <c r="QRE53" s="15"/>
      <c r="QRF53" s="15"/>
      <c r="QRG53" s="15"/>
      <c r="QRH53" s="15"/>
      <c r="QRI53" s="15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15"/>
      <c r="QRV53" s="15"/>
      <c r="QRW53" s="15"/>
      <c r="QRX53" s="15"/>
      <c r="QRY53" s="15"/>
      <c r="QRZ53" s="15"/>
      <c r="QSA53" s="15"/>
      <c r="QSB53" s="15"/>
      <c r="QSC53" s="15"/>
      <c r="QSD53" s="15"/>
      <c r="QSE53" s="15"/>
      <c r="QSF53" s="15"/>
      <c r="QSG53" s="15"/>
      <c r="QSH53" s="15"/>
      <c r="QSI53" s="15"/>
      <c r="QSJ53" s="15"/>
      <c r="QSK53" s="15"/>
      <c r="QSL53" s="15"/>
      <c r="QSM53" s="15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15"/>
      <c r="QSZ53" s="15"/>
      <c r="QTA53" s="15"/>
      <c r="QTB53" s="15"/>
      <c r="QTC53" s="15"/>
      <c r="QTD53" s="15"/>
      <c r="QTE53" s="15"/>
      <c r="QTF53" s="15"/>
      <c r="QTG53" s="15"/>
      <c r="QTH53" s="15"/>
      <c r="QTI53" s="15"/>
      <c r="QTJ53" s="15"/>
      <c r="QTK53" s="15"/>
      <c r="QTL53" s="15"/>
      <c r="QTM53" s="15"/>
      <c r="QTN53" s="15"/>
      <c r="QTO53" s="15"/>
      <c r="QTP53" s="15"/>
      <c r="QTQ53" s="15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15"/>
      <c r="QUD53" s="15"/>
      <c r="QUE53" s="15"/>
      <c r="QUF53" s="15"/>
      <c r="QUG53" s="15"/>
      <c r="QUH53" s="15"/>
      <c r="QUI53" s="15"/>
      <c r="QUJ53" s="15"/>
      <c r="QUK53" s="15"/>
      <c r="QUL53" s="15"/>
      <c r="QUM53" s="15"/>
      <c r="QUN53" s="15"/>
      <c r="QUO53" s="15"/>
      <c r="QUP53" s="15"/>
      <c r="QUQ53" s="15"/>
      <c r="QUR53" s="15"/>
      <c r="QUS53" s="15"/>
      <c r="QUT53" s="15"/>
      <c r="QUU53" s="15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15"/>
      <c r="QVH53" s="15"/>
      <c r="QVI53" s="15"/>
      <c r="QVJ53" s="15"/>
      <c r="QVK53" s="15"/>
      <c r="QVL53" s="15"/>
      <c r="QVM53" s="15"/>
      <c r="QVN53" s="15"/>
      <c r="QVO53" s="15"/>
      <c r="QVP53" s="15"/>
      <c r="QVQ53" s="15"/>
      <c r="QVR53" s="15"/>
      <c r="QVS53" s="15"/>
      <c r="QVT53" s="15"/>
      <c r="QVU53" s="15"/>
      <c r="QVV53" s="15"/>
      <c r="QVW53" s="15"/>
      <c r="QVX53" s="15"/>
      <c r="QVY53" s="15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15"/>
      <c r="QWL53" s="15"/>
      <c r="QWM53" s="15"/>
      <c r="QWN53" s="15"/>
      <c r="QWO53" s="15"/>
      <c r="QWP53" s="15"/>
      <c r="QWQ53" s="15"/>
      <c r="QWR53" s="15"/>
      <c r="QWS53" s="15"/>
      <c r="QWT53" s="15"/>
      <c r="QWU53" s="15"/>
      <c r="QWV53" s="15"/>
      <c r="QWW53" s="15"/>
      <c r="QWX53" s="15"/>
      <c r="QWY53" s="15"/>
      <c r="QWZ53" s="15"/>
      <c r="QXA53" s="15"/>
      <c r="QXB53" s="15"/>
      <c r="QXC53" s="15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15"/>
      <c r="QXP53" s="15"/>
      <c r="QXQ53" s="15"/>
      <c r="QXR53" s="15"/>
      <c r="QXS53" s="15"/>
      <c r="QXT53" s="15"/>
      <c r="QXU53" s="15"/>
      <c r="QXV53" s="15"/>
      <c r="QXW53" s="15"/>
      <c r="QXX53" s="15"/>
      <c r="QXY53" s="15"/>
      <c r="QXZ53" s="15"/>
      <c r="QYA53" s="15"/>
      <c r="QYB53" s="15"/>
      <c r="QYC53" s="15"/>
      <c r="QYD53" s="15"/>
      <c r="QYE53" s="15"/>
      <c r="QYF53" s="15"/>
      <c r="QYG53" s="15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15"/>
      <c r="QYT53" s="15"/>
      <c r="QYU53" s="15"/>
      <c r="QYV53" s="15"/>
      <c r="QYW53" s="15"/>
      <c r="QYX53" s="15"/>
      <c r="QYY53" s="15"/>
      <c r="QYZ53" s="15"/>
      <c r="QZA53" s="15"/>
      <c r="QZB53" s="15"/>
      <c r="QZC53" s="15"/>
      <c r="QZD53" s="15"/>
      <c r="QZE53" s="15"/>
      <c r="QZF53" s="15"/>
      <c r="QZG53" s="15"/>
      <c r="QZH53" s="15"/>
      <c r="QZI53" s="15"/>
      <c r="QZJ53" s="15"/>
      <c r="QZK53" s="15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15"/>
      <c r="QZX53" s="15"/>
      <c r="QZY53" s="15"/>
      <c r="QZZ53" s="15"/>
      <c r="RAA53" s="15"/>
      <c r="RAB53" s="15"/>
      <c r="RAC53" s="15"/>
      <c r="RAD53" s="15"/>
      <c r="RAE53" s="15"/>
      <c r="RAF53" s="15"/>
      <c r="RAG53" s="15"/>
      <c r="RAH53" s="15"/>
      <c r="RAI53" s="15"/>
      <c r="RAJ53" s="15"/>
      <c r="RAK53" s="15"/>
      <c r="RAL53" s="15"/>
      <c r="RAM53" s="15"/>
      <c r="RAN53" s="15"/>
      <c r="RAO53" s="15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15"/>
      <c r="RBB53" s="15"/>
      <c r="RBC53" s="15"/>
      <c r="RBD53" s="15"/>
      <c r="RBE53" s="15"/>
      <c r="RBF53" s="15"/>
      <c r="RBG53" s="15"/>
      <c r="RBH53" s="15"/>
      <c r="RBI53" s="15"/>
      <c r="RBJ53" s="15"/>
      <c r="RBK53" s="15"/>
      <c r="RBL53" s="15"/>
      <c r="RBM53" s="15"/>
      <c r="RBN53" s="15"/>
      <c r="RBO53" s="15"/>
      <c r="RBP53" s="15"/>
      <c r="RBQ53" s="15"/>
      <c r="RBR53" s="15"/>
      <c r="RBS53" s="15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15"/>
      <c r="RCF53" s="15"/>
      <c r="RCG53" s="15"/>
      <c r="RCH53" s="15"/>
      <c r="RCI53" s="15"/>
      <c r="RCJ53" s="15"/>
      <c r="RCK53" s="15"/>
      <c r="RCL53" s="15"/>
      <c r="RCM53" s="15"/>
      <c r="RCN53" s="15"/>
      <c r="RCO53" s="15"/>
      <c r="RCP53" s="15"/>
      <c r="RCQ53" s="15"/>
      <c r="RCR53" s="15"/>
      <c r="RCS53" s="15"/>
      <c r="RCT53" s="15"/>
      <c r="RCU53" s="15"/>
      <c r="RCV53" s="15"/>
      <c r="RCW53" s="15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15"/>
      <c r="RDJ53" s="15"/>
      <c r="RDK53" s="15"/>
      <c r="RDL53" s="15"/>
      <c r="RDM53" s="15"/>
      <c r="RDN53" s="15"/>
      <c r="RDO53" s="15"/>
      <c r="RDP53" s="15"/>
      <c r="RDQ53" s="15"/>
      <c r="RDR53" s="15"/>
      <c r="RDS53" s="15"/>
      <c r="RDT53" s="15"/>
      <c r="RDU53" s="15"/>
      <c r="RDV53" s="15"/>
      <c r="RDW53" s="15"/>
      <c r="RDX53" s="15"/>
      <c r="RDY53" s="15"/>
      <c r="RDZ53" s="15"/>
      <c r="REA53" s="15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15"/>
      <c r="REN53" s="15"/>
      <c r="REO53" s="15"/>
      <c r="REP53" s="15"/>
      <c r="REQ53" s="15"/>
      <c r="RER53" s="15"/>
      <c r="RES53" s="15"/>
      <c r="RET53" s="15"/>
      <c r="REU53" s="15"/>
      <c r="REV53" s="15"/>
      <c r="REW53" s="15"/>
      <c r="REX53" s="15"/>
      <c r="REY53" s="15"/>
      <c r="REZ53" s="15"/>
      <c r="RFA53" s="15"/>
      <c r="RFB53" s="15"/>
      <c r="RFC53" s="15"/>
      <c r="RFD53" s="15"/>
      <c r="RFE53" s="15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15"/>
      <c r="RFR53" s="15"/>
      <c r="RFS53" s="15"/>
      <c r="RFT53" s="15"/>
      <c r="RFU53" s="15"/>
      <c r="RFV53" s="15"/>
      <c r="RFW53" s="15"/>
      <c r="RFX53" s="15"/>
      <c r="RFY53" s="15"/>
      <c r="RFZ53" s="15"/>
      <c r="RGA53" s="15"/>
      <c r="RGB53" s="15"/>
      <c r="RGC53" s="15"/>
      <c r="RGD53" s="15"/>
      <c r="RGE53" s="15"/>
      <c r="RGF53" s="15"/>
      <c r="RGG53" s="15"/>
      <c r="RGH53" s="15"/>
      <c r="RGI53" s="15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15"/>
      <c r="RGV53" s="15"/>
      <c r="RGW53" s="15"/>
      <c r="RGX53" s="15"/>
      <c r="RGY53" s="15"/>
      <c r="RGZ53" s="15"/>
      <c r="RHA53" s="15"/>
      <c r="RHB53" s="15"/>
      <c r="RHC53" s="15"/>
      <c r="RHD53" s="15"/>
      <c r="RHE53" s="15"/>
      <c r="RHF53" s="15"/>
      <c r="RHG53" s="15"/>
      <c r="RHH53" s="15"/>
      <c r="RHI53" s="15"/>
      <c r="RHJ53" s="15"/>
      <c r="RHK53" s="15"/>
      <c r="RHL53" s="15"/>
      <c r="RHM53" s="15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15"/>
      <c r="RHZ53" s="15"/>
      <c r="RIA53" s="15"/>
      <c r="RIB53" s="15"/>
      <c r="RIC53" s="15"/>
      <c r="RID53" s="15"/>
      <c r="RIE53" s="15"/>
      <c r="RIF53" s="15"/>
      <c r="RIG53" s="15"/>
      <c r="RIH53" s="15"/>
      <c r="RII53" s="15"/>
      <c r="RIJ53" s="15"/>
      <c r="RIK53" s="15"/>
      <c r="RIL53" s="15"/>
      <c r="RIM53" s="15"/>
      <c r="RIN53" s="15"/>
      <c r="RIO53" s="15"/>
      <c r="RIP53" s="15"/>
      <c r="RIQ53" s="15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15"/>
      <c r="RJD53" s="15"/>
      <c r="RJE53" s="15"/>
      <c r="RJF53" s="15"/>
      <c r="RJG53" s="15"/>
      <c r="RJH53" s="15"/>
      <c r="RJI53" s="15"/>
      <c r="RJJ53" s="15"/>
      <c r="RJK53" s="15"/>
      <c r="RJL53" s="15"/>
      <c r="RJM53" s="15"/>
      <c r="RJN53" s="15"/>
      <c r="RJO53" s="15"/>
      <c r="RJP53" s="15"/>
      <c r="RJQ53" s="15"/>
      <c r="RJR53" s="15"/>
      <c r="RJS53" s="15"/>
      <c r="RJT53" s="15"/>
      <c r="RJU53" s="15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15"/>
      <c r="RKH53" s="15"/>
      <c r="RKI53" s="15"/>
      <c r="RKJ53" s="15"/>
      <c r="RKK53" s="15"/>
      <c r="RKL53" s="15"/>
      <c r="RKM53" s="15"/>
      <c r="RKN53" s="15"/>
      <c r="RKO53" s="15"/>
      <c r="RKP53" s="15"/>
      <c r="RKQ53" s="15"/>
      <c r="RKR53" s="15"/>
      <c r="RKS53" s="15"/>
      <c r="RKT53" s="15"/>
      <c r="RKU53" s="15"/>
      <c r="RKV53" s="15"/>
      <c r="RKW53" s="15"/>
      <c r="RKX53" s="15"/>
      <c r="RKY53" s="15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15"/>
      <c r="RLL53" s="15"/>
      <c r="RLM53" s="15"/>
      <c r="RLN53" s="15"/>
      <c r="RLO53" s="15"/>
      <c r="RLP53" s="15"/>
      <c r="RLQ53" s="15"/>
      <c r="RLR53" s="15"/>
      <c r="RLS53" s="15"/>
      <c r="RLT53" s="15"/>
      <c r="RLU53" s="15"/>
      <c r="RLV53" s="15"/>
      <c r="RLW53" s="15"/>
      <c r="RLX53" s="15"/>
      <c r="RLY53" s="15"/>
      <c r="RLZ53" s="15"/>
      <c r="RMA53" s="15"/>
      <c r="RMB53" s="15"/>
      <c r="RMC53" s="15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15"/>
      <c r="RMP53" s="15"/>
      <c r="RMQ53" s="15"/>
      <c r="RMR53" s="15"/>
      <c r="RMS53" s="15"/>
      <c r="RMT53" s="15"/>
      <c r="RMU53" s="15"/>
      <c r="RMV53" s="15"/>
      <c r="RMW53" s="15"/>
      <c r="RMX53" s="15"/>
      <c r="RMY53" s="15"/>
      <c r="RMZ53" s="15"/>
      <c r="RNA53" s="15"/>
      <c r="RNB53" s="15"/>
      <c r="RNC53" s="15"/>
      <c r="RND53" s="15"/>
      <c r="RNE53" s="15"/>
      <c r="RNF53" s="15"/>
      <c r="RNG53" s="15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15"/>
      <c r="RNT53" s="15"/>
      <c r="RNU53" s="15"/>
      <c r="RNV53" s="15"/>
      <c r="RNW53" s="15"/>
      <c r="RNX53" s="15"/>
      <c r="RNY53" s="15"/>
      <c r="RNZ53" s="15"/>
      <c r="ROA53" s="15"/>
      <c r="ROB53" s="15"/>
      <c r="ROC53" s="15"/>
      <c r="ROD53" s="15"/>
      <c r="ROE53" s="15"/>
      <c r="ROF53" s="15"/>
      <c r="ROG53" s="15"/>
      <c r="ROH53" s="15"/>
      <c r="ROI53" s="15"/>
      <c r="ROJ53" s="15"/>
      <c r="ROK53" s="15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15"/>
      <c r="ROX53" s="15"/>
      <c r="ROY53" s="15"/>
      <c r="ROZ53" s="15"/>
      <c r="RPA53" s="15"/>
      <c r="RPB53" s="15"/>
      <c r="RPC53" s="15"/>
      <c r="RPD53" s="15"/>
      <c r="RPE53" s="15"/>
      <c r="RPF53" s="15"/>
      <c r="RPG53" s="15"/>
      <c r="RPH53" s="15"/>
      <c r="RPI53" s="15"/>
      <c r="RPJ53" s="15"/>
      <c r="RPK53" s="15"/>
      <c r="RPL53" s="15"/>
      <c r="RPM53" s="15"/>
      <c r="RPN53" s="15"/>
      <c r="RPO53" s="15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15"/>
      <c r="RQB53" s="15"/>
      <c r="RQC53" s="15"/>
      <c r="RQD53" s="15"/>
      <c r="RQE53" s="15"/>
      <c r="RQF53" s="15"/>
      <c r="RQG53" s="15"/>
      <c r="RQH53" s="15"/>
      <c r="RQI53" s="15"/>
      <c r="RQJ53" s="15"/>
      <c r="RQK53" s="15"/>
      <c r="RQL53" s="15"/>
      <c r="RQM53" s="15"/>
      <c r="RQN53" s="15"/>
      <c r="RQO53" s="15"/>
      <c r="RQP53" s="15"/>
      <c r="RQQ53" s="15"/>
      <c r="RQR53" s="15"/>
      <c r="RQS53" s="15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15"/>
      <c r="RRF53" s="15"/>
      <c r="RRG53" s="15"/>
      <c r="RRH53" s="15"/>
      <c r="RRI53" s="15"/>
      <c r="RRJ53" s="15"/>
      <c r="RRK53" s="15"/>
      <c r="RRL53" s="15"/>
      <c r="RRM53" s="15"/>
      <c r="RRN53" s="15"/>
      <c r="RRO53" s="15"/>
      <c r="RRP53" s="15"/>
      <c r="RRQ53" s="15"/>
      <c r="RRR53" s="15"/>
      <c r="RRS53" s="15"/>
      <c r="RRT53" s="15"/>
      <c r="RRU53" s="15"/>
      <c r="RRV53" s="15"/>
      <c r="RRW53" s="15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15"/>
      <c r="RSJ53" s="15"/>
      <c r="RSK53" s="15"/>
      <c r="RSL53" s="15"/>
      <c r="RSM53" s="15"/>
      <c r="RSN53" s="15"/>
      <c r="RSO53" s="15"/>
      <c r="RSP53" s="15"/>
      <c r="RSQ53" s="15"/>
      <c r="RSR53" s="15"/>
      <c r="RSS53" s="15"/>
      <c r="RST53" s="15"/>
      <c r="RSU53" s="15"/>
      <c r="RSV53" s="15"/>
      <c r="RSW53" s="15"/>
      <c r="RSX53" s="15"/>
      <c r="RSY53" s="15"/>
      <c r="RSZ53" s="15"/>
      <c r="RTA53" s="15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15"/>
      <c r="RTN53" s="15"/>
      <c r="RTO53" s="15"/>
      <c r="RTP53" s="15"/>
      <c r="RTQ53" s="15"/>
      <c r="RTR53" s="15"/>
      <c r="RTS53" s="15"/>
      <c r="RTT53" s="15"/>
      <c r="RTU53" s="15"/>
      <c r="RTV53" s="15"/>
      <c r="RTW53" s="15"/>
      <c r="RTX53" s="15"/>
      <c r="RTY53" s="15"/>
      <c r="RTZ53" s="15"/>
      <c r="RUA53" s="15"/>
      <c r="RUB53" s="15"/>
      <c r="RUC53" s="15"/>
      <c r="RUD53" s="15"/>
      <c r="RUE53" s="15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15"/>
      <c r="RUR53" s="15"/>
      <c r="RUS53" s="15"/>
      <c r="RUT53" s="15"/>
      <c r="RUU53" s="15"/>
      <c r="RUV53" s="15"/>
      <c r="RUW53" s="15"/>
      <c r="RUX53" s="15"/>
      <c r="RUY53" s="15"/>
      <c r="RUZ53" s="15"/>
      <c r="RVA53" s="15"/>
      <c r="RVB53" s="15"/>
      <c r="RVC53" s="15"/>
      <c r="RVD53" s="15"/>
      <c r="RVE53" s="15"/>
      <c r="RVF53" s="15"/>
      <c r="RVG53" s="15"/>
      <c r="RVH53" s="15"/>
      <c r="RVI53" s="15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15"/>
      <c r="RVV53" s="15"/>
      <c r="RVW53" s="15"/>
      <c r="RVX53" s="15"/>
      <c r="RVY53" s="15"/>
      <c r="RVZ53" s="15"/>
      <c r="RWA53" s="15"/>
      <c r="RWB53" s="15"/>
      <c r="RWC53" s="15"/>
      <c r="RWD53" s="15"/>
      <c r="RWE53" s="15"/>
      <c r="RWF53" s="15"/>
      <c r="RWG53" s="15"/>
      <c r="RWH53" s="15"/>
      <c r="RWI53" s="15"/>
      <c r="RWJ53" s="15"/>
      <c r="RWK53" s="15"/>
      <c r="RWL53" s="15"/>
      <c r="RWM53" s="15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15"/>
      <c r="RWZ53" s="15"/>
      <c r="RXA53" s="15"/>
      <c r="RXB53" s="15"/>
      <c r="RXC53" s="15"/>
      <c r="RXD53" s="15"/>
      <c r="RXE53" s="15"/>
      <c r="RXF53" s="15"/>
      <c r="RXG53" s="15"/>
      <c r="RXH53" s="15"/>
      <c r="RXI53" s="15"/>
      <c r="RXJ53" s="15"/>
      <c r="RXK53" s="15"/>
      <c r="RXL53" s="15"/>
      <c r="RXM53" s="15"/>
      <c r="RXN53" s="15"/>
      <c r="RXO53" s="15"/>
      <c r="RXP53" s="15"/>
      <c r="RXQ53" s="15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15"/>
      <c r="RYD53" s="15"/>
      <c r="RYE53" s="15"/>
      <c r="RYF53" s="15"/>
      <c r="RYG53" s="15"/>
      <c r="RYH53" s="15"/>
      <c r="RYI53" s="15"/>
      <c r="RYJ53" s="15"/>
      <c r="RYK53" s="15"/>
      <c r="RYL53" s="15"/>
      <c r="RYM53" s="15"/>
      <c r="RYN53" s="15"/>
      <c r="RYO53" s="15"/>
      <c r="RYP53" s="15"/>
      <c r="RYQ53" s="15"/>
      <c r="RYR53" s="15"/>
      <c r="RYS53" s="15"/>
      <c r="RYT53" s="15"/>
      <c r="RYU53" s="15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15"/>
      <c r="RZH53" s="15"/>
      <c r="RZI53" s="15"/>
      <c r="RZJ53" s="15"/>
      <c r="RZK53" s="15"/>
      <c r="RZL53" s="15"/>
      <c r="RZM53" s="15"/>
      <c r="RZN53" s="15"/>
      <c r="RZO53" s="15"/>
      <c r="RZP53" s="15"/>
      <c r="RZQ53" s="15"/>
      <c r="RZR53" s="15"/>
      <c r="RZS53" s="15"/>
      <c r="RZT53" s="15"/>
      <c r="RZU53" s="15"/>
      <c r="RZV53" s="15"/>
      <c r="RZW53" s="15"/>
      <c r="RZX53" s="15"/>
      <c r="RZY53" s="15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15"/>
      <c r="SAL53" s="15"/>
      <c r="SAM53" s="15"/>
      <c r="SAN53" s="15"/>
      <c r="SAO53" s="15"/>
      <c r="SAP53" s="15"/>
      <c r="SAQ53" s="15"/>
      <c r="SAR53" s="15"/>
      <c r="SAS53" s="15"/>
      <c r="SAT53" s="15"/>
      <c r="SAU53" s="15"/>
      <c r="SAV53" s="15"/>
      <c r="SAW53" s="15"/>
      <c r="SAX53" s="15"/>
      <c r="SAY53" s="15"/>
      <c r="SAZ53" s="15"/>
      <c r="SBA53" s="15"/>
      <c r="SBB53" s="15"/>
      <c r="SBC53" s="15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15"/>
      <c r="SBP53" s="15"/>
      <c r="SBQ53" s="15"/>
      <c r="SBR53" s="15"/>
      <c r="SBS53" s="15"/>
      <c r="SBT53" s="15"/>
      <c r="SBU53" s="15"/>
      <c r="SBV53" s="15"/>
      <c r="SBW53" s="15"/>
      <c r="SBX53" s="15"/>
      <c r="SBY53" s="15"/>
      <c r="SBZ53" s="15"/>
      <c r="SCA53" s="15"/>
      <c r="SCB53" s="15"/>
      <c r="SCC53" s="15"/>
      <c r="SCD53" s="15"/>
      <c r="SCE53" s="15"/>
      <c r="SCF53" s="15"/>
      <c r="SCG53" s="15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15"/>
      <c r="SCT53" s="15"/>
      <c r="SCU53" s="15"/>
      <c r="SCV53" s="15"/>
      <c r="SCW53" s="15"/>
      <c r="SCX53" s="15"/>
      <c r="SCY53" s="15"/>
      <c r="SCZ53" s="15"/>
      <c r="SDA53" s="15"/>
      <c r="SDB53" s="15"/>
      <c r="SDC53" s="15"/>
      <c r="SDD53" s="15"/>
      <c r="SDE53" s="15"/>
      <c r="SDF53" s="15"/>
      <c r="SDG53" s="15"/>
      <c r="SDH53" s="15"/>
      <c r="SDI53" s="15"/>
      <c r="SDJ53" s="15"/>
      <c r="SDK53" s="15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15"/>
      <c r="SDX53" s="15"/>
      <c r="SDY53" s="15"/>
      <c r="SDZ53" s="15"/>
      <c r="SEA53" s="15"/>
      <c r="SEB53" s="15"/>
      <c r="SEC53" s="15"/>
      <c r="SED53" s="15"/>
      <c r="SEE53" s="15"/>
      <c r="SEF53" s="15"/>
      <c r="SEG53" s="15"/>
      <c r="SEH53" s="15"/>
      <c r="SEI53" s="15"/>
      <c r="SEJ53" s="15"/>
      <c r="SEK53" s="15"/>
      <c r="SEL53" s="15"/>
      <c r="SEM53" s="15"/>
      <c r="SEN53" s="15"/>
      <c r="SEO53" s="15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15"/>
      <c r="SFB53" s="15"/>
      <c r="SFC53" s="15"/>
      <c r="SFD53" s="15"/>
      <c r="SFE53" s="15"/>
      <c r="SFF53" s="15"/>
      <c r="SFG53" s="15"/>
      <c r="SFH53" s="15"/>
      <c r="SFI53" s="15"/>
      <c r="SFJ53" s="15"/>
      <c r="SFK53" s="15"/>
      <c r="SFL53" s="15"/>
      <c r="SFM53" s="15"/>
      <c r="SFN53" s="15"/>
      <c r="SFO53" s="15"/>
      <c r="SFP53" s="15"/>
      <c r="SFQ53" s="15"/>
      <c r="SFR53" s="15"/>
      <c r="SFS53" s="15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15"/>
      <c r="SGF53" s="15"/>
      <c r="SGG53" s="15"/>
      <c r="SGH53" s="15"/>
      <c r="SGI53" s="15"/>
      <c r="SGJ53" s="15"/>
      <c r="SGK53" s="15"/>
      <c r="SGL53" s="15"/>
      <c r="SGM53" s="15"/>
      <c r="SGN53" s="15"/>
      <c r="SGO53" s="15"/>
      <c r="SGP53" s="15"/>
      <c r="SGQ53" s="15"/>
      <c r="SGR53" s="15"/>
      <c r="SGS53" s="15"/>
      <c r="SGT53" s="15"/>
      <c r="SGU53" s="15"/>
      <c r="SGV53" s="15"/>
      <c r="SGW53" s="15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15"/>
      <c r="SHJ53" s="15"/>
      <c r="SHK53" s="15"/>
      <c r="SHL53" s="15"/>
      <c r="SHM53" s="15"/>
      <c r="SHN53" s="15"/>
      <c r="SHO53" s="15"/>
      <c r="SHP53" s="15"/>
      <c r="SHQ53" s="15"/>
      <c r="SHR53" s="15"/>
      <c r="SHS53" s="15"/>
      <c r="SHT53" s="15"/>
      <c r="SHU53" s="15"/>
      <c r="SHV53" s="15"/>
      <c r="SHW53" s="15"/>
      <c r="SHX53" s="15"/>
      <c r="SHY53" s="15"/>
      <c r="SHZ53" s="15"/>
      <c r="SIA53" s="15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15"/>
      <c r="SIN53" s="15"/>
      <c r="SIO53" s="15"/>
      <c r="SIP53" s="15"/>
      <c r="SIQ53" s="15"/>
      <c r="SIR53" s="15"/>
      <c r="SIS53" s="15"/>
      <c r="SIT53" s="15"/>
      <c r="SIU53" s="15"/>
      <c r="SIV53" s="15"/>
      <c r="SIW53" s="15"/>
      <c r="SIX53" s="15"/>
      <c r="SIY53" s="15"/>
      <c r="SIZ53" s="15"/>
      <c r="SJA53" s="15"/>
      <c r="SJB53" s="15"/>
      <c r="SJC53" s="15"/>
      <c r="SJD53" s="15"/>
      <c r="SJE53" s="15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15"/>
      <c r="SJR53" s="15"/>
      <c r="SJS53" s="15"/>
      <c r="SJT53" s="15"/>
      <c r="SJU53" s="15"/>
      <c r="SJV53" s="15"/>
      <c r="SJW53" s="15"/>
      <c r="SJX53" s="15"/>
      <c r="SJY53" s="15"/>
      <c r="SJZ53" s="15"/>
      <c r="SKA53" s="15"/>
      <c r="SKB53" s="15"/>
      <c r="SKC53" s="15"/>
      <c r="SKD53" s="15"/>
      <c r="SKE53" s="15"/>
      <c r="SKF53" s="15"/>
      <c r="SKG53" s="15"/>
      <c r="SKH53" s="15"/>
      <c r="SKI53" s="15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15"/>
      <c r="SKV53" s="15"/>
      <c r="SKW53" s="15"/>
      <c r="SKX53" s="15"/>
      <c r="SKY53" s="15"/>
      <c r="SKZ53" s="15"/>
      <c r="SLA53" s="15"/>
      <c r="SLB53" s="15"/>
      <c r="SLC53" s="15"/>
      <c r="SLD53" s="15"/>
      <c r="SLE53" s="15"/>
      <c r="SLF53" s="15"/>
      <c r="SLG53" s="15"/>
      <c r="SLH53" s="15"/>
      <c r="SLI53" s="15"/>
      <c r="SLJ53" s="15"/>
      <c r="SLK53" s="15"/>
      <c r="SLL53" s="15"/>
      <c r="SLM53" s="15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15"/>
      <c r="SLZ53" s="15"/>
      <c r="SMA53" s="15"/>
      <c r="SMB53" s="15"/>
      <c r="SMC53" s="15"/>
      <c r="SMD53" s="15"/>
      <c r="SME53" s="15"/>
      <c r="SMF53" s="15"/>
      <c r="SMG53" s="15"/>
      <c r="SMH53" s="15"/>
      <c r="SMI53" s="15"/>
      <c r="SMJ53" s="15"/>
      <c r="SMK53" s="15"/>
      <c r="SML53" s="15"/>
      <c r="SMM53" s="15"/>
      <c r="SMN53" s="15"/>
      <c r="SMO53" s="15"/>
      <c r="SMP53" s="15"/>
      <c r="SMQ53" s="15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15"/>
      <c r="SND53" s="15"/>
      <c r="SNE53" s="15"/>
      <c r="SNF53" s="15"/>
      <c r="SNG53" s="15"/>
      <c r="SNH53" s="15"/>
      <c r="SNI53" s="15"/>
      <c r="SNJ53" s="15"/>
      <c r="SNK53" s="15"/>
      <c r="SNL53" s="15"/>
      <c r="SNM53" s="15"/>
      <c r="SNN53" s="15"/>
      <c r="SNO53" s="15"/>
      <c r="SNP53" s="15"/>
      <c r="SNQ53" s="15"/>
      <c r="SNR53" s="15"/>
      <c r="SNS53" s="15"/>
      <c r="SNT53" s="15"/>
      <c r="SNU53" s="15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15"/>
      <c r="SOH53" s="15"/>
      <c r="SOI53" s="15"/>
      <c r="SOJ53" s="15"/>
      <c r="SOK53" s="15"/>
      <c r="SOL53" s="15"/>
      <c r="SOM53" s="15"/>
      <c r="SON53" s="15"/>
      <c r="SOO53" s="15"/>
      <c r="SOP53" s="15"/>
      <c r="SOQ53" s="15"/>
      <c r="SOR53" s="15"/>
      <c r="SOS53" s="15"/>
      <c r="SOT53" s="15"/>
      <c r="SOU53" s="15"/>
      <c r="SOV53" s="15"/>
      <c r="SOW53" s="15"/>
      <c r="SOX53" s="15"/>
      <c r="SOY53" s="15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15"/>
      <c r="SPL53" s="15"/>
      <c r="SPM53" s="15"/>
      <c r="SPN53" s="15"/>
      <c r="SPO53" s="15"/>
      <c r="SPP53" s="15"/>
      <c r="SPQ53" s="15"/>
      <c r="SPR53" s="15"/>
      <c r="SPS53" s="15"/>
      <c r="SPT53" s="15"/>
      <c r="SPU53" s="15"/>
      <c r="SPV53" s="15"/>
      <c r="SPW53" s="15"/>
      <c r="SPX53" s="15"/>
      <c r="SPY53" s="15"/>
      <c r="SPZ53" s="15"/>
      <c r="SQA53" s="15"/>
      <c r="SQB53" s="15"/>
      <c r="SQC53" s="15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15"/>
      <c r="SQP53" s="15"/>
      <c r="SQQ53" s="15"/>
      <c r="SQR53" s="15"/>
      <c r="SQS53" s="15"/>
      <c r="SQT53" s="15"/>
      <c r="SQU53" s="15"/>
      <c r="SQV53" s="15"/>
      <c r="SQW53" s="15"/>
      <c r="SQX53" s="15"/>
      <c r="SQY53" s="15"/>
      <c r="SQZ53" s="15"/>
      <c r="SRA53" s="15"/>
      <c r="SRB53" s="15"/>
      <c r="SRC53" s="15"/>
      <c r="SRD53" s="15"/>
      <c r="SRE53" s="15"/>
      <c r="SRF53" s="15"/>
      <c r="SRG53" s="15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15"/>
      <c r="SRT53" s="15"/>
      <c r="SRU53" s="15"/>
      <c r="SRV53" s="15"/>
      <c r="SRW53" s="15"/>
      <c r="SRX53" s="15"/>
      <c r="SRY53" s="15"/>
      <c r="SRZ53" s="15"/>
      <c r="SSA53" s="15"/>
      <c r="SSB53" s="15"/>
      <c r="SSC53" s="15"/>
      <c r="SSD53" s="15"/>
      <c r="SSE53" s="15"/>
      <c r="SSF53" s="15"/>
      <c r="SSG53" s="15"/>
      <c r="SSH53" s="15"/>
      <c r="SSI53" s="15"/>
      <c r="SSJ53" s="15"/>
      <c r="SSK53" s="15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15"/>
      <c r="SSX53" s="15"/>
      <c r="SSY53" s="15"/>
      <c r="SSZ53" s="15"/>
      <c r="STA53" s="15"/>
      <c r="STB53" s="15"/>
      <c r="STC53" s="15"/>
      <c r="STD53" s="15"/>
      <c r="STE53" s="15"/>
      <c r="STF53" s="15"/>
      <c r="STG53" s="15"/>
      <c r="STH53" s="15"/>
      <c r="STI53" s="15"/>
      <c r="STJ53" s="15"/>
      <c r="STK53" s="15"/>
      <c r="STL53" s="15"/>
      <c r="STM53" s="15"/>
      <c r="STN53" s="15"/>
      <c r="STO53" s="15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15"/>
      <c r="SUB53" s="15"/>
      <c r="SUC53" s="15"/>
      <c r="SUD53" s="15"/>
      <c r="SUE53" s="15"/>
      <c r="SUF53" s="15"/>
      <c r="SUG53" s="15"/>
      <c r="SUH53" s="15"/>
      <c r="SUI53" s="15"/>
      <c r="SUJ53" s="15"/>
      <c r="SUK53" s="15"/>
      <c r="SUL53" s="15"/>
      <c r="SUM53" s="15"/>
      <c r="SUN53" s="15"/>
      <c r="SUO53" s="15"/>
      <c r="SUP53" s="15"/>
      <c r="SUQ53" s="15"/>
      <c r="SUR53" s="15"/>
      <c r="SUS53" s="15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15"/>
      <c r="SVF53" s="15"/>
      <c r="SVG53" s="15"/>
      <c r="SVH53" s="15"/>
      <c r="SVI53" s="15"/>
      <c r="SVJ53" s="15"/>
      <c r="SVK53" s="15"/>
      <c r="SVL53" s="15"/>
      <c r="SVM53" s="15"/>
      <c r="SVN53" s="15"/>
      <c r="SVO53" s="15"/>
      <c r="SVP53" s="15"/>
      <c r="SVQ53" s="15"/>
      <c r="SVR53" s="15"/>
      <c r="SVS53" s="15"/>
      <c r="SVT53" s="15"/>
      <c r="SVU53" s="15"/>
      <c r="SVV53" s="15"/>
      <c r="SVW53" s="15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15"/>
      <c r="SWJ53" s="15"/>
      <c r="SWK53" s="15"/>
      <c r="SWL53" s="15"/>
      <c r="SWM53" s="15"/>
      <c r="SWN53" s="15"/>
      <c r="SWO53" s="15"/>
      <c r="SWP53" s="15"/>
      <c r="SWQ53" s="15"/>
      <c r="SWR53" s="15"/>
      <c r="SWS53" s="15"/>
      <c r="SWT53" s="15"/>
      <c r="SWU53" s="15"/>
      <c r="SWV53" s="15"/>
      <c r="SWW53" s="15"/>
      <c r="SWX53" s="15"/>
      <c r="SWY53" s="15"/>
      <c r="SWZ53" s="15"/>
      <c r="SXA53" s="15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15"/>
      <c r="SXN53" s="15"/>
      <c r="SXO53" s="15"/>
      <c r="SXP53" s="15"/>
      <c r="SXQ53" s="15"/>
      <c r="SXR53" s="15"/>
      <c r="SXS53" s="15"/>
      <c r="SXT53" s="15"/>
      <c r="SXU53" s="15"/>
      <c r="SXV53" s="15"/>
      <c r="SXW53" s="15"/>
      <c r="SXX53" s="15"/>
      <c r="SXY53" s="15"/>
      <c r="SXZ53" s="15"/>
      <c r="SYA53" s="15"/>
      <c r="SYB53" s="15"/>
      <c r="SYC53" s="15"/>
      <c r="SYD53" s="15"/>
      <c r="SYE53" s="15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15"/>
      <c r="SYR53" s="15"/>
      <c r="SYS53" s="15"/>
      <c r="SYT53" s="15"/>
      <c r="SYU53" s="15"/>
      <c r="SYV53" s="15"/>
      <c r="SYW53" s="15"/>
      <c r="SYX53" s="15"/>
      <c r="SYY53" s="15"/>
      <c r="SYZ53" s="15"/>
      <c r="SZA53" s="15"/>
      <c r="SZB53" s="15"/>
      <c r="SZC53" s="15"/>
      <c r="SZD53" s="15"/>
      <c r="SZE53" s="15"/>
      <c r="SZF53" s="15"/>
      <c r="SZG53" s="15"/>
      <c r="SZH53" s="15"/>
      <c r="SZI53" s="15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15"/>
      <c r="SZV53" s="15"/>
      <c r="SZW53" s="15"/>
      <c r="SZX53" s="15"/>
      <c r="SZY53" s="15"/>
      <c r="SZZ53" s="15"/>
      <c r="TAA53" s="15"/>
      <c r="TAB53" s="15"/>
      <c r="TAC53" s="15"/>
      <c r="TAD53" s="15"/>
      <c r="TAE53" s="15"/>
      <c r="TAF53" s="15"/>
      <c r="TAG53" s="15"/>
      <c r="TAH53" s="15"/>
      <c r="TAI53" s="15"/>
      <c r="TAJ53" s="15"/>
      <c r="TAK53" s="15"/>
      <c r="TAL53" s="15"/>
      <c r="TAM53" s="15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15"/>
      <c r="TAZ53" s="15"/>
      <c r="TBA53" s="15"/>
      <c r="TBB53" s="15"/>
      <c r="TBC53" s="15"/>
      <c r="TBD53" s="15"/>
      <c r="TBE53" s="15"/>
      <c r="TBF53" s="15"/>
      <c r="TBG53" s="15"/>
      <c r="TBH53" s="15"/>
      <c r="TBI53" s="15"/>
      <c r="TBJ53" s="15"/>
      <c r="TBK53" s="15"/>
      <c r="TBL53" s="15"/>
      <c r="TBM53" s="15"/>
      <c r="TBN53" s="15"/>
      <c r="TBO53" s="15"/>
      <c r="TBP53" s="15"/>
      <c r="TBQ53" s="15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15"/>
      <c r="TCD53" s="15"/>
      <c r="TCE53" s="15"/>
      <c r="TCF53" s="15"/>
      <c r="TCG53" s="15"/>
      <c r="TCH53" s="15"/>
      <c r="TCI53" s="15"/>
      <c r="TCJ53" s="15"/>
      <c r="TCK53" s="15"/>
      <c r="TCL53" s="15"/>
      <c r="TCM53" s="15"/>
      <c r="TCN53" s="15"/>
      <c r="TCO53" s="15"/>
      <c r="TCP53" s="15"/>
      <c r="TCQ53" s="15"/>
      <c r="TCR53" s="15"/>
      <c r="TCS53" s="15"/>
      <c r="TCT53" s="15"/>
      <c r="TCU53" s="15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15"/>
      <c r="TDH53" s="15"/>
      <c r="TDI53" s="15"/>
      <c r="TDJ53" s="15"/>
      <c r="TDK53" s="15"/>
      <c r="TDL53" s="15"/>
      <c r="TDM53" s="15"/>
      <c r="TDN53" s="15"/>
      <c r="TDO53" s="15"/>
      <c r="TDP53" s="15"/>
      <c r="TDQ53" s="15"/>
      <c r="TDR53" s="15"/>
      <c r="TDS53" s="15"/>
      <c r="TDT53" s="15"/>
      <c r="TDU53" s="15"/>
      <c r="TDV53" s="15"/>
      <c r="TDW53" s="15"/>
      <c r="TDX53" s="15"/>
      <c r="TDY53" s="15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15"/>
      <c r="TEL53" s="15"/>
      <c r="TEM53" s="15"/>
      <c r="TEN53" s="15"/>
      <c r="TEO53" s="15"/>
      <c r="TEP53" s="15"/>
      <c r="TEQ53" s="15"/>
      <c r="TER53" s="15"/>
      <c r="TES53" s="15"/>
      <c r="TET53" s="15"/>
      <c r="TEU53" s="15"/>
      <c r="TEV53" s="15"/>
      <c r="TEW53" s="15"/>
      <c r="TEX53" s="15"/>
      <c r="TEY53" s="15"/>
      <c r="TEZ53" s="15"/>
      <c r="TFA53" s="15"/>
      <c r="TFB53" s="15"/>
      <c r="TFC53" s="15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15"/>
      <c r="TFP53" s="15"/>
      <c r="TFQ53" s="15"/>
      <c r="TFR53" s="15"/>
      <c r="TFS53" s="15"/>
      <c r="TFT53" s="15"/>
      <c r="TFU53" s="15"/>
      <c r="TFV53" s="15"/>
      <c r="TFW53" s="15"/>
      <c r="TFX53" s="15"/>
      <c r="TFY53" s="15"/>
      <c r="TFZ53" s="15"/>
      <c r="TGA53" s="15"/>
      <c r="TGB53" s="15"/>
      <c r="TGC53" s="15"/>
      <c r="TGD53" s="15"/>
      <c r="TGE53" s="15"/>
      <c r="TGF53" s="15"/>
      <c r="TGG53" s="15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15"/>
      <c r="TGT53" s="15"/>
      <c r="TGU53" s="15"/>
      <c r="TGV53" s="15"/>
      <c r="TGW53" s="15"/>
      <c r="TGX53" s="15"/>
      <c r="TGY53" s="15"/>
      <c r="TGZ53" s="15"/>
      <c r="THA53" s="15"/>
      <c r="THB53" s="15"/>
      <c r="THC53" s="15"/>
      <c r="THD53" s="15"/>
      <c r="THE53" s="15"/>
      <c r="THF53" s="15"/>
      <c r="THG53" s="15"/>
      <c r="THH53" s="15"/>
      <c r="THI53" s="15"/>
      <c r="THJ53" s="15"/>
      <c r="THK53" s="15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15"/>
      <c r="THX53" s="15"/>
      <c r="THY53" s="15"/>
      <c r="THZ53" s="15"/>
      <c r="TIA53" s="15"/>
      <c r="TIB53" s="15"/>
      <c r="TIC53" s="15"/>
      <c r="TID53" s="15"/>
      <c r="TIE53" s="15"/>
      <c r="TIF53" s="15"/>
      <c r="TIG53" s="15"/>
      <c r="TIH53" s="15"/>
      <c r="TII53" s="15"/>
      <c r="TIJ53" s="15"/>
      <c r="TIK53" s="15"/>
      <c r="TIL53" s="15"/>
      <c r="TIM53" s="15"/>
      <c r="TIN53" s="15"/>
      <c r="TIO53" s="15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15"/>
      <c r="TJB53" s="15"/>
      <c r="TJC53" s="15"/>
      <c r="TJD53" s="15"/>
      <c r="TJE53" s="15"/>
      <c r="TJF53" s="15"/>
      <c r="TJG53" s="15"/>
      <c r="TJH53" s="15"/>
      <c r="TJI53" s="15"/>
      <c r="TJJ53" s="15"/>
      <c r="TJK53" s="15"/>
      <c r="TJL53" s="15"/>
      <c r="TJM53" s="15"/>
      <c r="TJN53" s="15"/>
      <c r="TJO53" s="15"/>
      <c r="TJP53" s="15"/>
      <c r="TJQ53" s="15"/>
      <c r="TJR53" s="15"/>
      <c r="TJS53" s="15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15"/>
      <c r="TKF53" s="15"/>
      <c r="TKG53" s="15"/>
      <c r="TKH53" s="15"/>
      <c r="TKI53" s="15"/>
      <c r="TKJ53" s="15"/>
      <c r="TKK53" s="15"/>
      <c r="TKL53" s="15"/>
      <c r="TKM53" s="15"/>
      <c r="TKN53" s="15"/>
      <c r="TKO53" s="15"/>
      <c r="TKP53" s="15"/>
      <c r="TKQ53" s="15"/>
      <c r="TKR53" s="15"/>
      <c r="TKS53" s="15"/>
      <c r="TKT53" s="15"/>
      <c r="TKU53" s="15"/>
      <c r="TKV53" s="15"/>
      <c r="TKW53" s="15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15"/>
      <c r="TLJ53" s="15"/>
      <c r="TLK53" s="15"/>
      <c r="TLL53" s="15"/>
      <c r="TLM53" s="15"/>
      <c r="TLN53" s="15"/>
      <c r="TLO53" s="15"/>
      <c r="TLP53" s="15"/>
      <c r="TLQ53" s="15"/>
      <c r="TLR53" s="15"/>
      <c r="TLS53" s="15"/>
      <c r="TLT53" s="15"/>
      <c r="TLU53" s="15"/>
      <c r="TLV53" s="15"/>
      <c r="TLW53" s="15"/>
      <c r="TLX53" s="15"/>
      <c r="TLY53" s="15"/>
      <c r="TLZ53" s="15"/>
      <c r="TMA53" s="15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15"/>
      <c r="TMN53" s="15"/>
      <c r="TMO53" s="15"/>
      <c r="TMP53" s="15"/>
      <c r="TMQ53" s="15"/>
      <c r="TMR53" s="15"/>
      <c r="TMS53" s="15"/>
      <c r="TMT53" s="15"/>
      <c r="TMU53" s="15"/>
      <c r="TMV53" s="15"/>
      <c r="TMW53" s="15"/>
      <c r="TMX53" s="15"/>
      <c r="TMY53" s="15"/>
      <c r="TMZ53" s="15"/>
      <c r="TNA53" s="15"/>
      <c r="TNB53" s="15"/>
      <c r="TNC53" s="15"/>
      <c r="TND53" s="15"/>
      <c r="TNE53" s="15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15"/>
      <c r="TNR53" s="15"/>
      <c r="TNS53" s="15"/>
      <c r="TNT53" s="15"/>
      <c r="TNU53" s="15"/>
      <c r="TNV53" s="15"/>
      <c r="TNW53" s="15"/>
      <c r="TNX53" s="15"/>
      <c r="TNY53" s="15"/>
      <c r="TNZ53" s="15"/>
      <c r="TOA53" s="15"/>
      <c r="TOB53" s="15"/>
      <c r="TOC53" s="15"/>
      <c r="TOD53" s="15"/>
      <c r="TOE53" s="15"/>
      <c r="TOF53" s="15"/>
      <c r="TOG53" s="15"/>
      <c r="TOH53" s="15"/>
      <c r="TOI53" s="15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15"/>
      <c r="TOV53" s="15"/>
      <c r="TOW53" s="15"/>
      <c r="TOX53" s="15"/>
      <c r="TOY53" s="15"/>
      <c r="TOZ53" s="15"/>
      <c r="TPA53" s="15"/>
      <c r="TPB53" s="15"/>
      <c r="TPC53" s="15"/>
      <c r="TPD53" s="15"/>
      <c r="TPE53" s="15"/>
      <c r="TPF53" s="15"/>
      <c r="TPG53" s="15"/>
      <c r="TPH53" s="15"/>
      <c r="TPI53" s="15"/>
      <c r="TPJ53" s="15"/>
      <c r="TPK53" s="15"/>
      <c r="TPL53" s="15"/>
      <c r="TPM53" s="15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15"/>
      <c r="TPZ53" s="15"/>
      <c r="TQA53" s="15"/>
      <c r="TQB53" s="15"/>
      <c r="TQC53" s="15"/>
      <c r="TQD53" s="15"/>
      <c r="TQE53" s="15"/>
      <c r="TQF53" s="15"/>
      <c r="TQG53" s="15"/>
      <c r="TQH53" s="15"/>
      <c r="TQI53" s="15"/>
      <c r="TQJ53" s="15"/>
      <c r="TQK53" s="15"/>
      <c r="TQL53" s="15"/>
      <c r="TQM53" s="15"/>
      <c r="TQN53" s="15"/>
      <c r="TQO53" s="15"/>
      <c r="TQP53" s="15"/>
      <c r="TQQ53" s="15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15"/>
      <c r="TRD53" s="15"/>
      <c r="TRE53" s="15"/>
      <c r="TRF53" s="15"/>
      <c r="TRG53" s="15"/>
      <c r="TRH53" s="15"/>
      <c r="TRI53" s="15"/>
      <c r="TRJ53" s="15"/>
      <c r="TRK53" s="15"/>
      <c r="TRL53" s="15"/>
      <c r="TRM53" s="15"/>
      <c r="TRN53" s="15"/>
      <c r="TRO53" s="15"/>
      <c r="TRP53" s="15"/>
      <c r="TRQ53" s="15"/>
      <c r="TRR53" s="15"/>
      <c r="TRS53" s="15"/>
      <c r="TRT53" s="15"/>
      <c r="TRU53" s="15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15"/>
      <c r="TSH53" s="15"/>
      <c r="TSI53" s="15"/>
      <c r="TSJ53" s="15"/>
      <c r="TSK53" s="15"/>
      <c r="TSL53" s="15"/>
      <c r="TSM53" s="15"/>
      <c r="TSN53" s="15"/>
      <c r="TSO53" s="15"/>
      <c r="TSP53" s="15"/>
      <c r="TSQ53" s="15"/>
      <c r="TSR53" s="15"/>
      <c r="TSS53" s="15"/>
      <c r="TST53" s="15"/>
      <c r="TSU53" s="15"/>
      <c r="TSV53" s="15"/>
      <c r="TSW53" s="15"/>
      <c r="TSX53" s="15"/>
      <c r="TSY53" s="15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15"/>
      <c r="TTL53" s="15"/>
      <c r="TTM53" s="15"/>
      <c r="TTN53" s="15"/>
      <c r="TTO53" s="15"/>
      <c r="TTP53" s="15"/>
      <c r="TTQ53" s="15"/>
      <c r="TTR53" s="15"/>
      <c r="TTS53" s="15"/>
      <c r="TTT53" s="15"/>
      <c r="TTU53" s="15"/>
      <c r="TTV53" s="15"/>
      <c r="TTW53" s="15"/>
      <c r="TTX53" s="15"/>
      <c r="TTY53" s="15"/>
      <c r="TTZ53" s="15"/>
      <c r="TUA53" s="15"/>
      <c r="TUB53" s="15"/>
      <c r="TUC53" s="15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15"/>
      <c r="TUP53" s="15"/>
      <c r="TUQ53" s="15"/>
      <c r="TUR53" s="15"/>
      <c r="TUS53" s="15"/>
      <c r="TUT53" s="15"/>
      <c r="TUU53" s="15"/>
      <c r="TUV53" s="15"/>
      <c r="TUW53" s="15"/>
      <c r="TUX53" s="15"/>
      <c r="TUY53" s="15"/>
      <c r="TUZ53" s="15"/>
      <c r="TVA53" s="15"/>
      <c r="TVB53" s="15"/>
      <c r="TVC53" s="15"/>
      <c r="TVD53" s="15"/>
      <c r="TVE53" s="15"/>
      <c r="TVF53" s="15"/>
      <c r="TVG53" s="15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15"/>
      <c r="TVT53" s="15"/>
      <c r="TVU53" s="15"/>
      <c r="TVV53" s="15"/>
      <c r="TVW53" s="15"/>
      <c r="TVX53" s="15"/>
      <c r="TVY53" s="15"/>
      <c r="TVZ53" s="15"/>
      <c r="TWA53" s="15"/>
      <c r="TWB53" s="15"/>
      <c r="TWC53" s="15"/>
      <c r="TWD53" s="15"/>
      <c r="TWE53" s="15"/>
      <c r="TWF53" s="15"/>
      <c r="TWG53" s="15"/>
      <c r="TWH53" s="15"/>
      <c r="TWI53" s="15"/>
      <c r="TWJ53" s="15"/>
      <c r="TWK53" s="15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15"/>
      <c r="TWX53" s="15"/>
      <c r="TWY53" s="15"/>
      <c r="TWZ53" s="15"/>
      <c r="TXA53" s="15"/>
      <c r="TXB53" s="15"/>
      <c r="TXC53" s="15"/>
      <c r="TXD53" s="15"/>
      <c r="TXE53" s="15"/>
      <c r="TXF53" s="15"/>
      <c r="TXG53" s="15"/>
      <c r="TXH53" s="15"/>
      <c r="TXI53" s="15"/>
      <c r="TXJ53" s="15"/>
      <c r="TXK53" s="15"/>
      <c r="TXL53" s="15"/>
      <c r="TXM53" s="15"/>
      <c r="TXN53" s="15"/>
      <c r="TXO53" s="15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15"/>
      <c r="TYB53" s="15"/>
      <c r="TYC53" s="15"/>
      <c r="TYD53" s="15"/>
      <c r="TYE53" s="15"/>
      <c r="TYF53" s="15"/>
      <c r="TYG53" s="15"/>
      <c r="TYH53" s="15"/>
      <c r="TYI53" s="15"/>
      <c r="TYJ53" s="15"/>
      <c r="TYK53" s="15"/>
      <c r="TYL53" s="15"/>
      <c r="TYM53" s="15"/>
      <c r="TYN53" s="15"/>
      <c r="TYO53" s="15"/>
      <c r="TYP53" s="15"/>
      <c r="TYQ53" s="15"/>
      <c r="TYR53" s="15"/>
      <c r="TYS53" s="15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15"/>
      <c r="TZF53" s="15"/>
      <c r="TZG53" s="15"/>
      <c r="TZH53" s="15"/>
      <c r="TZI53" s="15"/>
      <c r="TZJ53" s="15"/>
      <c r="TZK53" s="15"/>
      <c r="TZL53" s="15"/>
      <c r="TZM53" s="15"/>
      <c r="TZN53" s="15"/>
      <c r="TZO53" s="15"/>
      <c r="TZP53" s="15"/>
      <c r="TZQ53" s="15"/>
      <c r="TZR53" s="15"/>
      <c r="TZS53" s="15"/>
      <c r="TZT53" s="15"/>
      <c r="TZU53" s="15"/>
      <c r="TZV53" s="15"/>
      <c r="TZW53" s="15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15"/>
      <c r="UAJ53" s="15"/>
      <c r="UAK53" s="15"/>
      <c r="UAL53" s="15"/>
      <c r="UAM53" s="15"/>
      <c r="UAN53" s="15"/>
      <c r="UAO53" s="15"/>
      <c r="UAP53" s="15"/>
      <c r="UAQ53" s="15"/>
      <c r="UAR53" s="15"/>
      <c r="UAS53" s="15"/>
      <c r="UAT53" s="15"/>
      <c r="UAU53" s="15"/>
      <c r="UAV53" s="15"/>
      <c r="UAW53" s="15"/>
      <c r="UAX53" s="15"/>
      <c r="UAY53" s="15"/>
      <c r="UAZ53" s="15"/>
      <c r="UBA53" s="15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15"/>
      <c r="UBN53" s="15"/>
      <c r="UBO53" s="15"/>
      <c r="UBP53" s="15"/>
      <c r="UBQ53" s="15"/>
      <c r="UBR53" s="15"/>
      <c r="UBS53" s="15"/>
      <c r="UBT53" s="15"/>
      <c r="UBU53" s="15"/>
      <c r="UBV53" s="15"/>
      <c r="UBW53" s="15"/>
      <c r="UBX53" s="15"/>
      <c r="UBY53" s="15"/>
      <c r="UBZ53" s="15"/>
      <c r="UCA53" s="15"/>
      <c r="UCB53" s="15"/>
      <c r="UCC53" s="15"/>
      <c r="UCD53" s="15"/>
      <c r="UCE53" s="15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15"/>
      <c r="UCR53" s="15"/>
      <c r="UCS53" s="15"/>
      <c r="UCT53" s="15"/>
      <c r="UCU53" s="15"/>
      <c r="UCV53" s="15"/>
      <c r="UCW53" s="15"/>
      <c r="UCX53" s="15"/>
      <c r="UCY53" s="15"/>
      <c r="UCZ53" s="15"/>
      <c r="UDA53" s="15"/>
      <c r="UDB53" s="15"/>
      <c r="UDC53" s="15"/>
      <c r="UDD53" s="15"/>
      <c r="UDE53" s="15"/>
      <c r="UDF53" s="15"/>
      <c r="UDG53" s="15"/>
      <c r="UDH53" s="15"/>
      <c r="UDI53" s="15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15"/>
      <c r="UDV53" s="15"/>
      <c r="UDW53" s="15"/>
      <c r="UDX53" s="15"/>
      <c r="UDY53" s="15"/>
      <c r="UDZ53" s="15"/>
      <c r="UEA53" s="15"/>
      <c r="UEB53" s="15"/>
      <c r="UEC53" s="15"/>
      <c r="UED53" s="15"/>
      <c r="UEE53" s="15"/>
      <c r="UEF53" s="15"/>
      <c r="UEG53" s="15"/>
      <c r="UEH53" s="15"/>
      <c r="UEI53" s="15"/>
      <c r="UEJ53" s="15"/>
      <c r="UEK53" s="15"/>
      <c r="UEL53" s="15"/>
      <c r="UEM53" s="15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15"/>
      <c r="UEZ53" s="15"/>
      <c r="UFA53" s="15"/>
      <c r="UFB53" s="15"/>
      <c r="UFC53" s="15"/>
      <c r="UFD53" s="15"/>
      <c r="UFE53" s="15"/>
      <c r="UFF53" s="15"/>
      <c r="UFG53" s="15"/>
      <c r="UFH53" s="15"/>
      <c r="UFI53" s="15"/>
      <c r="UFJ53" s="15"/>
      <c r="UFK53" s="15"/>
      <c r="UFL53" s="15"/>
      <c r="UFM53" s="15"/>
      <c r="UFN53" s="15"/>
      <c r="UFO53" s="15"/>
      <c r="UFP53" s="15"/>
      <c r="UFQ53" s="15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15"/>
      <c r="UGD53" s="15"/>
      <c r="UGE53" s="15"/>
      <c r="UGF53" s="15"/>
      <c r="UGG53" s="15"/>
      <c r="UGH53" s="15"/>
      <c r="UGI53" s="15"/>
      <c r="UGJ53" s="15"/>
      <c r="UGK53" s="15"/>
      <c r="UGL53" s="15"/>
      <c r="UGM53" s="15"/>
      <c r="UGN53" s="15"/>
      <c r="UGO53" s="15"/>
      <c r="UGP53" s="15"/>
      <c r="UGQ53" s="15"/>
      <c r="UGR53" s="15"/>
      <c r="UGS53" s="15"/>
      <c r="UGT53" s="15"/>
      <c r="UGU53" s="15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15"/>
      <c r="UHH53" s="15"/>
      <c r="UHI53" s="15"/>
      <c r="UHJ53" s="15"/>
      <c r="UHK53" s="15"/>
      <c r="UHL53" s="15"/>
      <c r="UHM53" s="15"/>
      <c r="UHN53" s="15"/>
      <c r="UHO53" s="15"/>
      <c r="UHP53" s="15"/>
      <c r="UHQ53" s="15"/>
      <c r="UHR53" s="15"/>
      <c r="UHS53" s="15"/>
      <c r="UHT53" s="15"/>
      <c r="UHU53" s="15"/>
      <c r="UHV53" s="15"/>
      <c r="UHW53" s="15"/>
      <c r="UHX53" s="15"/>
      <c r="UHY53" s="15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15"/>
      <c r="UIL53" s="15"/>
      <c r="UIM53" s="15"/>
      <c r="UIN53" s="15"/>
      <c r="UIO53" s="15"/>
      <c r="UIP53" s="15"/>
      <c r="UIQ53" s="15"/>
      <c r="UIR53" s="15"/>
      <c r="UIS53" s="15"/>
      <c r="UIT53" s="15"/>
      <c r="UIU53" s="15"/>
      <c r="UIV53" s="15"/>
      <c r="UIW53" s="15"/>
      <c r="UIX53" s="15"/>
      <c r="UIY53" s="15"/>
      <c r="UIZ53" s="15"/>
      <c r="UJA53" s="15"/>
      <c r="UJB53" s="15"/>
      <c r="UJC53" s="15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15"/>
      <c r="UJP53" s="15"/>
      <c r="UJQ53" s="15"/>
      <c r="UJR53" s="15"/>
      <c r="UJS53" s="15"/>
      <c r="UJT53" s="15"/>
      <c r="UJU53" s="15"/>
      <c r="UJV53" s="15"/>
      <c r="UJW53" s="15"/>
      <c r="UJX53" s="15"/>
      <c r="UJY53" s="15"/>
      <c r="UJZ53" s="15"/>
      <c r="UKA53" s="15"/>
      <c r="UKB53" s="15"/>
      <c r="UKC53" s="15"/>
      <c r="UKD53" s="15"/>
      <c r="UKE53" s="15"/>
      <c r="UKF53" s="15"/>
      <c r="UKG53" s="15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15"/>
      <c r="UKT53" s="15"/>
      <c r="UKU53" s="15"/>
      <c r="UKV53" s="15"/>
      <c r="UKW53" s="15"/>
      <c r="UKX53" s="15"/>
      <c r="UKY53" s="15"/>
      <c r="UKZ53" s="15"/>
      <c r="ULA53" s="15"/>
      <c r="ULB53" s="15"/>
      <c r="ULC53" s="15"/>
      <c r="ULD53" s="15"/>
      <c r="ULE53" s="15"/>
      <c r="ULF53" s="15"/>
      <c r="ULG53" s="15"/>
      <c r="ULH53" s="15"/>
      <c r="ULI53" s="15"/>
      <c r="ULJ53" s="15"/>
      <c r="ULK53" s="15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15"/>
      <c r="ULX53" s="15"/>
      <c r="ULY53" s="15"/>
      <c r="ULZ53" s="15"/>
      <c r="UMA53" s="15"/>
      <c r="UMB53" s="15"/>
      <c r="UMC53" s="15"/>
      <c r="UMD53" s="15"/>
      <c r="UME53" s="15"/>
      <c r="UMF53" s="15"/>
      <c r="UMG53" s="15"/>
      <c r="UMH53" s="15"/>
      <c r="UMI53" s="15"/>
      <c r="UMJ53" s="15"/>
      <c r="UMK53" s="15"/>
      <c r="UML53" s="15"/>
      <c r="UMM53" s="15"/>
      <c r="UMN53" s="15"/>
      <c r="UMO53" s="15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15"/>
      <c r="UNB53" s="15"/>
      <c r="UNC53" s="15"/>
      <c r="UND53" s="15"/>
      <c r="UNE53" s="15"/>
      <c r="UNF53" s="15"/>
      <c r="UNG53" s="15"/>
      <c r="UNH53" s="15"/>
      <c r="UNI53" s="15"/>
      <c r="UNJ53" s="15"/>
      <c r="UNK53" s="15"/>
      <c r="UNL53" s="15"/>
      <c r="UNM53" s="15"/>
      <c r="UNN53" s="15"/>
      <c r="UNO53" s="15"/>
      <c r="UNP53" s="15"/>
      <c r="UNQ53" s="15"/>
      <c r="UNR53" s="15"/>
      <c r="UNS53" s="15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15"/>
      <c r="UOF53" s="15"/>
      <c r="UOG53" s="15"/>
      <c r="UOH53" s="15"/>
      <c r="UOI53" s="15"/>
      <c r="UOJ53" s="15"/>
      <c r="UOK53" s="15"/>
      <c r="UOL53" s="15"/>
      <c r="UOM53" s="15"/>
      <c r="UON53" s="15"/>
      <c r="UOO53" s="15"/>
      <c r="UOP53" s="15"/>
      <c r="UOQ53" s="15"/>
      <c r="UOR53" s="15"/>
      <c r="UOS53" s="15"/>
      <c r="UOT53" s="15"/>
      <c r="UOU53" s="15"/>
      <c r="UOV53" s="15"/>
      <c r="UOW53" s="15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15"/>
      <c r="UPJ53" s="15"/>
      <c r="UPK53" s="15"/>
      <c r="UPL53" s="15"/>
      <c r="UPM53" s="15"/>
      <c r="UPN53" s="15"/>
      <c r="UPO53" s="15"/>
      <c r="UPP53" s="15"/>
      <c r="UPQ53" s="15"/>
      <c r="UPR53" s="15"/>
      <c r="UPS53" s="15"/>
      <c r="UPT53" s="15"/>
      <c r="UPU53" s="15"/>
      <c r="UPV53" s="15"/>
      <c r="UPW53" s="15"/>
      <c r="UPX53" s="15"/>
      <c r="UPY53" s="15"/>
      <c r="UPZ53" s="15"/>
      <c r="UQA53" s="15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15"/>
      <c r="UQN53" s="15"/>
      <c r="UQO53" s="15"/>
      <c r="UQP53" s="15"/>
      <c r="UQQ53" s="15"/>
      <c r="UQR53" s="15"/>
      <c r="UQS53" s="15"/>
      <c r="UQT53" s="15"/>
      <c r="UQU53" s="15"/>
      <c r="UQV53" s="15"/>
      <c r="UQW53" s="15"/>
      <c r="UQX53" s="15"/>
      <c r="UQY53" s="15"/>
      <c r="UQZ53" s="15"/>
      <c r="URA53" s="15"/>
      <c r="URB53" s="15"/>
      <c r="URC53" s="15"/>
      <c r="URD53" s="15"/>
      <c r="URE53" s="15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15"/>
      <c r="URR53" s="15"/>
      <c r="URS53" s="15"/>
      <c r="URT53" s="15"/>
      <c r="URU53" s="15"/>
      <c r="URV53" s="15"/>
      <c r="URW53" s="15"/>
      <c r="URX53" s="15"/>
      <c r="URY53" s="15"/>
      <c r="URZ53" s="15"/>
      <c r="USA53" s="15"/>
      <c r="USB53" s="15"/>
      <c r="USC53" s="15"/>
      <c r="USD53" s="15"/>
      <c r="USE53" s="15"/>
      <c r="USF53" s="15"/>
      <c r="USG53" s="15"/>
      <c r="USH53" s="15"/>
      <c r="USI53" s="15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15"/>
      <c r="USV53" s="15"/>
      <c r="USW53" s="15"/>
      <c r="USX53" s="15"/>
      <c r="USY53" s="15"/>
      <c r="USZ53" s="15"/>
      <c r="UTA53" s="15"/>
      <c r="UTB53" s="15"/>
      <c r="UTC53" s="15"/>
      <c r="UTD53" s="15"/>
      <c r="UTE53" s="15"/>
      <c r="UTF53" s="15"/>
      <c r="UTG53" s="15"/>
      <c r="UTH53" s="15"/>
      <c r="UTI53" s="15"/>
      <c r="UTJ53" s="15"/>
      <c r="UTK53" s="15"/>
      <c r="UTL53" s="15"/>
      <c r="UTM53" s="15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15"/>
      <c r="UTZ53" s="15"/>
      <c r="UUA53" s="15"/>
      <c r="UUB53" s="15"/>
      <c r="UUC53" s="15"/>
      <c r="UUD53" s="15"/>
      <c r="UUE53" s="15"/>
      <c r="UUF53" s="15"/>
      <c r="UUG53" s="15"/>
      <c r="UUH53" s="15"/>
      <c r="UUI53" s="15"/>
      <c r="UUJ53" s="15"/>
      <c r="UUK53" s="15"/>
      <c r="UUL53" s="15"/>
      <c r="UUM53" s="15"/>
      <c r="UUN53" s="15"/>
      <c r="UUO53" s="15"/>
      <c r="UUP53" s="15"/>
      <c r="UUQ53" s="15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15"/>
      <c r="UVD53" s="15"/>
      <c r="UVE53" s="15"/>
      <c r="UVF53" s="15"/>
      <c r="UVG53" s="15"/>
      <c r="UVH53" s="15"/>
      <c r="UVI53" s="15"/>
      <c r="UVJ53" s="15"/>
      <c r="UVK53" s="15"/>
      <c r="UVL53" s="15"/>
      <c r="UVM53" s="15"/>
      <c r="UVN53" s="15"/>
      <c r="UVO53" s="15"/>
      <c r="UVP53" s="15"/>
      <c r="UVQ53" s="15"/>
      <c r="UVR53" s="15"/>
      <c r="UVS53" s="15"/>
      <c r="UVT53" s="15"/>
      <c r="UVU53" s="15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15"/>
      <c r="UWH53" s="15"/>
      <c r="UWI53" s="15"/>
      <c r="UWJ53" s="15"/>
      <c r="UWK53" s="15"/>
      <c r="UWL53" s="15"/>
      <c r="UWM53" s="15"/>
      <c r="UWN53" s="15"/>
      <c r="UWO53" s="15"/>
      <c r="UWP53" s="15"/>
      <c r="UWQ53" s="15"/>
      <c r="UWR53" s="15"/>
      <c r="UWS53" s="15"/>
      <c r="UWT53" s="15"/>
      <c r="UWU53" s="15"/>
      <c r="UWV53" s="15"/>
      <c r="UWW53" s="15"/>
      <c r="UWX53" s="15"/>
      <c r="UWY53" s="15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15"/>
      <c r="UXL53" s="15"/>
      <c r="UXM53" s="15"/>
      <c r="UXN53" s="15"/>
      <c r="UXO53" s="15"/>
      <c r="UXP53" s="15"/>
      <c r="UXQ53" s="15"/>
      <c r="UXR53" s="15"/>
      <c r="UXS53" s="15"/>
      <c r="UXT53" s="15"/>
      <c r="UXU53" s="15"/>
      <c r="UXV53" s="15"/>
      <c r="UXW53" s="15"/>
      <c r="UXX53" s="15"/>
      <c r="UXY53" s="15"/>
      <c r="UXZ53" s="15"/>
      <c r="UYA53" s="15"/>
      <c r="UYB53" s="15"/>
      <c r="UYC53" s="15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15"/>
      <c r="UYP53" s="15"/>
      <c r="UYQ53" s="15"/>
      <c r="UYR53" s="15"/>
      <c r="UYS53" s="15"/>
      <c r="UYT53" s="15"/>
      <c r="UYU53" s="15"/>
      <c r="UYV53" s="15"/>
      <c r="UYW53" s="15"/>
      <c r="UYX53" s="15"/>
      <c r="UYY53" s="15"/>
      <c r="UYZ53" s="15"/>
      <c r="UZA53" s="15"/>
      <c r="UZB53" s="15"/>
      <c r="UZC53" s="15"/>
      <c r="UZD53" s="15"/>
      <c r="UZE53" s="15"/>
      <c r="UZF53" s="15"/>
      <c r="UZG53" s="15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15"/>
      <c r="UZT53" s="15"/>
      <c r="UZU53" s="15"/>
      <c r="UZV53" s="15"/>
      <c r="UZW53" s="15"/>
      <c r="UZX53" s="15"/>
      <c r="UZY53" s="15"/>
      <c r="UZZ53" s="15"/>
      <c r="VAA53" s="15"/>
      <c r="VAB53" s="15"/>
      <c r="VAC53" s="15"/>
      <c r="VAD53" s="15"/>
      <c r="VAE53" s="15"/>
      <c r="VAF53" s="15"/>
      <c r="VAG53" s="15"/>
      <c r="VAH53" s="15"/>
      <c r="VAI53" s="15"/>
      <c r="VAJ53" s="15"/>
      <c r="VAK53" s="15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15"/>
      <c r="VAX53" s="15"/>
      <c r="VAY53" s="15"/>
      <c r="VAZ53" s="15"/>
      <c r="VBA53" s="15"/>
      <c r="VBB53" s="15"/>
      <c r="VBC53" s="15"/>
      <c r="VBD53" s="15"/>
      <c r="VBE53" s="15"/>
      <c r="VBF53" s="15"/>
      <c r="VBG53" s="15"/>
      <c r="VBH53" s="15"/>
      <c r="VBI53" s="15"/>
      <c r="VBJ53" s="15"/>
      <c r="VBK53" s="15"/>
      <c r="VBL53" s="15"/>
      <c r="VBM53" s="15"/>
      <c r="VBN53" s="15"/>
      <c r="VBO53" s="15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15"/>
      <c r="VCB53" s="15"/>
      <c r="VCC53" s="15"/>
      <c r="VCD53" s="15"/>
      <c r="VCE53" s="15"/>
      <c r="VCF53" s="15"/>
      <c r="VCG53" s="15"/>
      <c r="VCH53" s="15"/>
      <c r="VCI53" s="15"/>
      <c r="VCJ53" s="15"/>
      <c r="VCK53" s="15"/>
      <c r="VCL53" s="15"/>
      <c r="VCM53" s="15"/>
      <c r="VCN53" s="15"/>
      <c r="VCO53" s="15"/>
      <c r="VCP53" s="15"/>
      <c r="VCQ53" s="15"/>
      <c r="VCR53" s="15"/>
      <c r="VCS53" s="15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15"/>
      <c r="VDF53" s="15"/>
      <c r="VDG53" s="15"/>
      <c r="VDH53" s="15"/>
      <c r="VDI53" s="15"/>
      <c r="VDJ53" s="15"/>
      <c r="VDK53" s="15"/>
      <c r="VDL53" s="15"/>
      <c r="VDM53" s="15"/>
      <c r="VDN53" s="15"/>
      <c r="VDO53" s="15"/>
      <c r="VDP53" s="15"/>
      <c r="VDQ53" s="15"/>
      <c r="VDR53" s="15"/>
      <c r="VDS53" s="15"/>
      <c r="VDT53" s="15"/>
      <c r="VDU53" s="15"/>
      <c r="VDV53" s="15"/>
      <c r="VDW53" s="15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15"/>
      <c r="VEJ53" s="15"/>
      <c r="VEK53" s="15"/>
      <c r="VEL53" s="15"/>
      <c r="VEM53" s="15"/>
      <c r="VEN53" s="15"/>
      <c r="VEO53" s="15"/>
      <c r="VEP53" s="15"/>
      <c r="VEQ53" s="15"/>
      <c r="VER53" s="15"/>
      <c r="VES53" s="15"/>
      <c r="VET53" s="15"/>
      <c r="VEU53" s="15"/>
      <c r="VEV53" s="15"/>
      <c r="VEW53" s="15"/>
      <c r="VEX53" s="15"/>
      <c r="VEY53" s="15"/>
      <c r="VEZ53" s="15"/>
      <c r="VFA53" s="15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15"/>
      <c r="VFN53" s="15"/>
      <c r="VFO53" s="15"/>
      <c r="VFP53" s="15"/>
      <c r="VFQ53" s="15"/>
      <c r="VFR53" s="15"/>
      <c r="VFS53" s="15"/>
      <c r="VFT53" s="15"/>
      <c r="VFU53" s="15"/>
      <c r="VFV53" s="15"/>
      <c r="VFW53" s="15"/>
      <c r="VFX53" s="15"/>
      <c r="VFY53" s="15"/>
      <c r="VFZ53" s="15"/>
      <c r="VGA53" s="15"/>
      <c r="VGB53" s="15"/>
      <c r="VGC53" s="15"/>
      <c r="VGD53" s="15"/>
      <c r="VGE53" s="15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15"/>
      <c r="VGR53" s="15"/>
      <c r="VGS53" s="15"/>
      <c r="VGT53" s="15"/>
      <c r="VGU53" s="15"/>
      <c r="VGV53" s="15"/>
      <c r="VGW53" s="15"/>
      <c r="VGX53" s="15"/>
      <c r="VGY53" s="15"/>
      <c r="VGZ53" s="15"/>
      <c r="VHA53" s="15"/>
      <c r="VHB53" s="15"/>
      <c r="VHC53" s="15"/>
      <c r="VHD53" s="15"/>
      <c r="VHE53" s="15"/>
      <c r="VHF53" s="15"/>
      <c r="VHG53" s="15"/>
      <c r="VHH53" s="15"/>
      <c r="VHI53" s="15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15"/>
      <c r="VHV53" s="15"/>
      <c r="VHW53" s="15"/>
      <c r="VHX53" s="15"/>
      <c r="VHY53" s="15"/>
      <c r="VHZ53" s="15"/>
      <c r="VIA53" s="15"/>
      <c r="VIB53" s="15"/>
      <c r="VIC53" s="15"/>
      <c r="VID53" s="15"/>
      <c r="VIE53" s="15"/>
      <c r="VIF53" s="15"/>
      <c r="VIG53" s="15"/>
      <c r="VIH53" s="15"/>
      <c r="VII53" s="15"/>
      <c r="VIJ53" s="15"/>
      <c r="VIK53" s="15"/>
      <c r="VIL53" s="15"/>
      <c r="VIM53" s="15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15"/>
      <c r="VIZ53" s="15"/>
      <c r="VJA53" s="15"/>
      <c r="VJB53" s="15"/>
      <c r="VJC53" s="15"/>
      <c r="VJD53" s="15"/>
      <c r="VJE53" s="15"/>
      <c r="VJF53" s="15"/>
      <c r="VJG53" s="15"/>
      <c r="VJH53" s="15"/>
      <c r="VJI53" s="15"/>
      <c r="VJJ53" s="15"/>
      <c r="VJK53" s="15"/>
      <c r="VJL53" s="15"/>
      <c r="VJM53" s="15"/>
      <c r="VJN53" s="15"/>
      <c r="VJO53" s="15"/>
      <c r="VJP53" s="15"/>
      <c r="VJQ53" s="15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15"/>
      <c r="VKD53" s="15"/>
      <c r="VKE53" s="15"/>
      <c r="VKF53" s="15"/>
      <c r="VKG53" s="15"/>
      <c r="VKH53" s="15"/>
      <c r="VKI53" s="15"/>
      <c r="VKJ53" s="15"/>
      <c r="VKK53" s="15"/>
      <c r="VKL53" s="15"/>
      <c r="VKM53" s="15"/>
      <c r="VKN53" s="15"/>
      <c r="VKO53" s="15"/>
      <c r="VKP53" s="15"/>
      <c r="VKQ53" s="15"/>
      <c r="VKR53" s="15"/>
      <c r="VKS53" s="15"/>
      <c r="VKT53" s="15"/>
      <c r="VKU53" s="15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15"/>
      <c r="VLH53" s="15"/>
      <c r="VLI53" s="15"/>
      <c r="VLJ53" s="15"/>
      <c r="VLK53" s="15"/>
      <c r="VLL53" s="15"/>
      <c r="VLM53" s="15"/>
      <c r="VLN53" s="15"/>
      <c r="VLO53" s="15"/>
      <c r="VLP53" s="15"/>
      <c r="VLQ53" s="15"/>
      <c r="VLR53" s="15"/>
      <c r="VLS53" s="15"/>
      <c r="VLT53" s="15"/>
      <c r="VLU53" s="15"/>
      <c r="VLV53" s="15"/>
      <c r="VLW53" s="15"/>
      <c r="VLX53" s="15"/>
      <c r="VLY53" s="15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15"/>
      <c r="VML53" s="15"/>
      <c r="VMM53" s="15"/>
      <c r="VMN53" s="15"/>
      <c r="VMO53" s="15"/>
      <c r="VMP53" s="15"/>
      <c r="VMQ53" s="15"/>
      <c r="VMR53" s="15"/>
      <c r="VMS53" s="15"/>
      <c r="VMT53" s="15"/>
      <c r="VMU53" s="15"/>
      <c r="VMV53" s="15"/>
      <c r="VMW53" s="15"/>
      <c r="VMX53" s="15"/>
      <c r="VMY53" s="15"/>
      <c r="VMZ53" s="15"/>
      <c r="VNA53" s="15"/>
      <c r="VNB53" s="15"/>
      <c r="VNC53" s="15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15"/>
      <c r="VNP53" s="15"/>
      <c r="VNQ53" s="15"/>
      <c r="VNR53" s="15"/>
      <c r="VNS53" s="15"/>
      <c r="VNT53" s="15"/>
      <c r="VNU53" s="15"/>
      <c r="VNV53" s="15"/>
      <c r="VNW53" s="15"/>
      <c r="VNX53" s="15"/>
      <c r="VNY53" s="15"/>
      <c r="VNZ53" s="15"/>
      <c r="VOA53" s="15"/>
      <c r="VOB53" s="15"/>
      <c r="VOC53" s="15"/>
      <c r="VOD53" s="15"/>
      <c r="VOE53" s="15"/>
      <c r="VOF53" s="15"/>
      <c r="VOG53" s="15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15"/>
      <c r="VOT53" s="15"/>
      <c r="VOU53" s="15"/>
      <c r="VOV53" s="15"/>
      <c r="VOW53" s="15"/>
      <c r="VOX53" s="15"/>
      <c r="VOY53" s="15"/>
      <c r="VOZ53" s="15"/>
      <c r="VPA53" s="15"/>
      <c r="VPB53" s="15"/>
      <c r="VPC53" s="15"/>
      <c r="VPD53" s="15"/>
      <c r="VPE53" s="15"/>
      <c r="VPF53" s="15"/>
      <c r="VPG53" s="15"/>
      <c r="VPH53" s="15"/>
      <c r="VPI53" s="15"/>
      <c r="VPJ53" s="15"/>
      <c r="VPK53" s="15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15"/>
      <c r="VPX53" s="15"/>
      <c r="VPY53" s="15"/>
      <c r="VPZ53" s="15"/>
      <c r="VQA53" s="15"/>
      <c r="VQB53" s="15"/>
      <c r="VQC53" s="15"/>
      <c r="VQD53" s="15"/>
      <c r="VQE53" s="15"/>
      <c r="VQF53" s="15"/>
      <c r="VQG53" s="15"/>
      <c r="VQH53" s="15"/>
      <c r="VQI53" s="15"/>
      <c r="VQJ53" s="15"/>
      <c r="VQK53" s="15"/>
      <c r="VQL53" s="15"/>
      <c r="VQM53" s="15"/>
      <c r="VQN53" s="15"/>
      <c r="VQO53" s="15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15"/>
      <c r="VRB53" s="15"/>
      <c r="VRC53" s="15"/>
      <c r="VRD53" s="15"/>
      <c r="VRE53" s="15"/>
      <c r="VRF53" s="15"/>
      <c r="VRG53" s="15"/>
      <c r="VRH53" s="15"/>
      <c r="VRI53" s="15"/>
      <c r="VRJ53" s="15"/>
      <c r="VRK53" s="15"/>
      <c r="VRL53" s="15"/>
      <c r="VRM53" s="15"/>
      <c r="VRN53" s="15"/>
      <c r="VRO53" s="15"/>
      <c r="VRP53" s="15"/>
      <c r="VRQ53" s="15"/>
      <c r="VRR53" s="15"/>
      <c r="VRS53" s="15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15"/>
      <c r="VSF53" s="15"/>
      <c r="VSG53" s="15"/>
      <c r="VSH53" s="15"/>
      <c r="VSI53" s="15"/>
      <c r="VSJ53" s="15"/>
      <c r="VSK53" s="15"/>
      <c r="VSL53" s="15"/>
      <c r="VSM53" s="15"/>
      <c r="VSN53" s="15"/>
      <c r="VSO53" s="15"/>
      <c r="VSP53" s="15"/>
      <c r="VSQ53" s="15"/>
      <c r="VSR53" s="15"/>
      <c r="VSS53" s="15"/>
      <c r="VST53" s="15"/>
      <c r="VSU53" s="15"/>
      <c r="VSV53" s="15"/>
      <c r="VSW53" s="15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15"/>
      <c r="VTJ53" s="15"/>
      <c r="VTK53" s="15"/>
      <c r="VTL53" s="15"/>
      <c r="VTM53" s="15"/>
      <c r="VTN53" s="15"/>
      <c r="VTO53" s="15"/>
      <c r="VTP53" s="15"/>
      <c r="VTQ53" s="15"/>
      <c r="VTR53" s="15"/>
      <c r="VTS53" s="15"/>
      <c r="VTT53" s="15"/>
      <c r="VTU53" s="15"/>
      <c r="VTV53" s="15"/>
      <c r="VTW53" s="15"/>
      <c r="VTX53" s="15"/>
      <c r="VTY53" s="15"/>
      <c r="VTZ53" s="15"/>
      <c r="VUA53" s="15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15"/>
      <c r="VUN53" s="15"/>
      <c r="VUO53" s="15"/>
      <c r="VUP53" s="15"/>
      <c r="VUQ53" s="15"/>
      <c r="VUR53" s="15"/>
      <c r="VUS53" s="15"/>
      <c r="VUT53" s="15"/>
      <c r="VUU53" s="15"/>
      <c r="VUV53" s="15"/>
      <c r="VUW53" s="15"/>
      <c r="VUX53" s="15"/>
      <c r="VUY53" s="15"/>
      <c r="VUZ53" s="15"/>
      <c r="VVA53" s="15"/>
      <c r="VVB53" s="15"/>
      <c r="VVC53" s="15"/>
      <c r="VVD53" s="15"/>
      <c r="VVE53" s="15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15"/>
      <c r="VVR53" s="15"/>
      <c r="VVS53" s="15"/>
      <c r="VVT53" s="15"/>
      <c r="VVU53" s="15"/>
      <c r="VVV53" s="15"/>
      <c r="VVW53" s="15"/>
      <c r="VVX53" s="15"/>
      <c r="VVY53" s="15"/>
      <c r="VVZ53" s="15"/>
      <c r="VWA53" s="15"/>
      <c r="VWB53" s="15"/>
      <c r="VWC53" s="15"/>
      <c r="VWD53" s="15"/>
      <c r="VWE53" s="15"/>
      <c r="VWF53" s="15"/>
      <c r="VWG53" s="15"/>
      <c r="VWH53" s="15"/>
      <c r="VWI53" s="15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15"/>
      <c r="VWV53" s="15"/>
      <c r="VWW53" s="15"/>
      <c r="VWX53" s="15"/>
      <c r="VWY53" s="15"/>
      <c r="VWZ53" s="15"/>
      <c r="VXA53" s="15"/>
      <c r="VXB53" s="15"/>
      <c r="VXC53" s="15"/>
      <c r="VXD53" s="15"/>
      <c r="VXE53" s="15"/>
      <c r="VXF53" s="15"/>
      <c r="VXG53" s="15"/>
      <c r="VXH53" s="15"/>
      <c r="VXI53" s="15"/>
      <c r="VXJ53" s="15"/>
      <c r="VXK53" s="15"/>
      <c r="VXL53" s="15"/>
      <c r="VXM53" s="15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15"/>
      <c r="VXZ53" s="15"/>
      <c r="VYA53" s="15"/>
      <c r="VYB53" s="15"/>
      <c r="VYC53" s="15"/>
      <c r="VYD53" s="15"/>
      <c r="VYE53" s="15"/>
      <c r="VYF53" s="15"/>
      <c r="VYG53" s="15"/>
      <c r="VYH53" s="15"/>
      <c r="VYI53" s="15"/>
      <c r="VYJ53" s="15"/>
      <c r="VYK53" s="15"/>
      <c r="VYL53" s="15"/>
      <c r="VYM53" s="15"/>
      <c r="VYN53" s="15"/>
      <c r="VYO53" s="15"/>
      <c r="VYP53" s="15"/>
      <c r="VYQ53" s="15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15"/>
      <c r="VZD53" s="15"/>
      <c r="VZE53" s="15"/>
      <c r="VZF53" s="15"/>
      <c r="VZG53" s="15"/>
      <c r="VZH53" s="15"/>
      <c r="VZI53" s="15"/>
      <c r="VZJ53" s="15"/>
      <c r="VZK53" s="15"/>
      <c r="VZL53" s="15"/>
      <c r="VZM53" s="15"/>
      <c r="VZN53" s="15"/>
      <c r="VZO53" s="15"/>
      <c r="VZP53" s="15"/>
      <c r="VZQ53" s="15"/>
      <c r="VZR53" s="15"/>
      <c r="VZS53" s="15"/>
      <c r="VZT53" s="15"/>
      <c r="VZU53" s="15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15"/>
      <c r="WAH53" s="15"/>
      <c r="WAI53" s="15"/>
      <c r="WAJ53" s="15"/>
      <c r="WAK53" s="15"/>
      <c r="WAL53" s="15"/>
      <c r="WAM53" s="15"/>
      <c r="WAN53" s="15"/>
      <c r="WAO53" s="15"/>
      <c r="WAP53" s="15"/>
      <c r="WAQ53" s="15"/>
      <c r="WAR53" s="15"/>
      <c r="WAS53" s="15"/>
      <c r="WAT53" s="15"/>
      <c r="WAU53" s="15"/>
      <c r="WAV53" s="15"/>
      <c r="WAW53" s="15"/>
      <c r="WAX53" s="15"/>
      <c r="WAY53" s="15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15"/>
      <c r="WBL53" s="15"/>
      <c r="WBM53" s="15"/>
      <c r="WBN53" s="15"/>
      <c r="WBO53" s="15"/>
      <c r="WBP53" s="15"/>
      <c r="WBQ53" s="15"/>
      <c r="WBR53" s="15"/>
      <c r="WBS53" s="15"/>
      <c r="WBT53" s="15"/>
      <c r="WBU53" s="15"/>
      <c r="WBV53" s="15"/>
      <c r="WBW53" s="15"/>
      <c r="WBX53" s="15"/>
      <c r="WBY53" s="15"/>
      <c r="WBZ53" s="15"/>
      <c r="WCA53" s="15"/>
      <c r="WCB53" s="15"/>
      <c r="WCC53" s="15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15"/>
      <c r="WCP53" s="15"/>
      <c r="WCQ53" s="15"/>
      <c r="WCR53" s="15"/>
      <c r="WCS53" s="15"/>
      <c r="WCT53" s="15"/>
      <c r="WCU53" s="15"/>
      <c r="WCV53" s="15"/>
      <c r="WCW53" s="15"/>
      <c r="WCX53" s="15"/>
      <c r="WCY53" s="15"/>
      <c r="WCZ53" s="15"/>
      <c r="WDA53" s="15"/>
      <c r="WDB53" s="15"/>
      <c r="WDC53" s="15"/>
      <c r="WDD53" s="15"/>
      <c r="WDE53" s="15"/>
      <c r="WDF53" s="15"/>
      <c r="WDG53" s="15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15"/>
      <c r="WDT53" s="15"/>
      <c r="WDU53" s="15"/>
      <c r="WDV53" s="15"/>
      <c r="WDW53" s="15"/>
      <c r="WDX53" s="15"/>
      <c r="WDY53" s="15"/>
      <c r="WDZ53" s="15"/>
      <c r="WEA53" s="15"/>
      <c r="WEB53" s="15"/>
      <c r="WEC53" s="15"/>
      <c r="WED53" s="15"/>
      <c r="WEE53" s="15"/>
      <c r="WEF53" s="15"/>
      <c r="WEG53" s="15"/>
      <c r="WEH53" s="15"/>
      <c r="WEI53" s="15"/>
      <c r="WEJ53" s="15"/>
      <c r="WEK53" s="15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15"/>
      <c r="WEX53" s="15"/>
      <c r="WEY53" s="15"/>
      <c r="WEZ53" s="15"/>
      <c r="WFA53" s="15"/>
      <c r="WFB53" s="15"/>
      <c r="WFC53" s="15"/>
      <c r="WFD53" s="15"/>
      <c r="WFE53" s="15"/>
      <c r="WFF53" s="15"/>
      <c r="WFG53" s="15"/>
      <c r="WFH53" s="15"/>
      <c r="WFI53" s="15"/>
      <c r="WFJ53" s="15"/>
      <c r="WFK53" s="15"/>
      <c r="WFL53" s="15"/>
      <c r="WFM53" s="15"/>
      <c r="WFN53" s="15"/>
      <c r="WFO53" s="15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15"/>
      <c r="WGB53" s="15"/>
      <c r="WGC53" s="15"/>
      <c r="WGD53" s="15"/>
      <c r="WGE53" s="15"/>
      <c r="WGF53" s="15"/>
      <c r="WGG53" s="15"/>
      <c r="WGH53" s="15"/>
      <c r="WGI53" s="15"/>
      <c r="WGJ53" s="15"/>
      <c r="WGK53" s="15"/>
      <c r="WGL53" s="15"/>
      <c r="WGM53" s="15"/>
      <c r="WGN53" s="15"/>
      <c r="WGO53" s="15"/>
      <c r="WGP53" s="15"/>
      <c r="WGQ53" s="15"/>
      <c r="WGR53" s="15"/>
      <c r="WGS53" s="15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15"/>
      <c r="WHF53" s="15"/>
      <c r="WHG53" s="15"/>
      <c r="WHH53" s="15"/>
      <c r="WHI53" s="15"/>
      <c r="WHJ53" s="15"/>
      <c r="WHK53" s="15"/>
      <c r="WHL53" s="15"/>
      <c r="WHM53" s="15"/>
      <c r="WHN53" s="15"/>
      <c r="WHO53" s="15"/>
      <c r="WHP53" s="15"/>
      <c r="WHQ53" s="15"/>
      <c r="WHR53" s="15"/>
      <c r="WHS53" s="15"/>
      <c r="WHT53" s="15"/>
      <c r="WHU53" s="15"/>
      <c r="WHV53" s="15"/>
      <c r="WHW53" s="15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15"/>
      <c r="WIJ53" s="15"/>
      <c r="WIK53" s="15"/>
      <c r="WIL53" s="15"/>
      <c r="WIM53" s="15"/>
      <c r="WIN53" s="15"/>
      <c r="WIO53" s="15"/>
      <c r="WIP53" s="15"/>
      <c r="WIQ53" s="15"/>
      <c r="WIR53" s="15"/>
      <c r="WIS53" s="15"/>
      <c r="WIT53" s="15"/>
      <c r="WIU53" s="15"/>
      <c r="WIV53" s="15"/>
      <c r="WIW53" s="15"/>
      <c r="WIX53" s="15"/>
      <c r="WIY53" s="15"/>
      <c r="WIZ53" s="15"/>
      <c r="WJA53" s="15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15"/>
      <c r="WJN53" s="15"/>
      <c r="WJO53" s="15"/>
      <c r="WJP53" s="15"/>
      <c r="WJQ53" s="15"/>
      <c r="WJR53" s="15"/>
      <c r="WJS53" s="15"/>
      <c r="WJT53" s="15"/>
      <c r="WJU53" s="15"/>
      <c r="WJV53" s="15"/>
      <c r="WJW53" s="15"/>
      <c r="WJX53" s="15"/>
      <c r="WJY53" s="15"/>
      <c r="WJZ53" s="15"/>
      <c r="WKA53" s="15"/>
      <c r="WKB53" s="15"/>
      <c r="WKC53" s="15"/>
      <c r="WKD53" s="15"/>
      <c r="WKE53" s="15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15"/>
      <c r="WKR53" s="15"/>
      <c r="WKS53" s="15"/>
      <c r="WKT53" s="15"/>
      <c r="WKU53" s="15"/>
      <c r="WKV53" s="15"/>
      <c r="WKW53" s="15"/>
      <c r="WKX53" s="15"/>
      <c r="WKY53" s="15"/>
      <c r="WKZ53" s="15"/>
      <c r="WLA53" s="15"/>
      <c r="WLB53" s="15"/>
      <c r="WLC53" s="15"/>
      <c r="WLD53" s="15"/>
      <c r="WLE53" s="15"/>
      <c r="WLF53" s="15"/>
      <c r="WLG53" s="15"/>
      <c r="WLH53" s="15"/>
      <c r="WLI53" s="15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15"/>
      <c r="WLV53" s="15"/>
      <c r="WLW53" s="15"/>
      <c r="WLX53" s="15"/>
      <c r="WLY53" s="15"/>
      <c r="WLZ53" s="15"/>
      <c r="WMA53" s="15"/>
      <c r="WMB53" s="15"/>
      <c r="WMC53" s="15"/>
      <c r="WMD53" s="15"/>
      <c r="WME53" s="15"/>
      <c r="WMF53" s="15"/>
      <c r="WMG53" s="15"/>
      <c r="WMH53" s="15"/>
      <c r="WMI53" s="15"/>
      <c r="WMJ53" s="15"/>
      <c r="WMK53" s="15"/>
      <c r="WML53" s="15"/>
      <c r="WMM53" s="15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15"/>
      <c r="WMZ53" s="15"/>
      <c r="WNA53" s="15"/>
      <c r="WNB53" s="15"/>
      <c r="WNC53" s="15"/>
      <c r="WND53" s="15"/>
      <c r="WNE53" s="15"/>
      <c r="WNF53" s="15"/>
      <c r="WNG53" s="15"/>
      <c r="WNH53" s="15"/>
      <c r="WNI53" s="15"/>
      <c r="WNJ53" s="15"/>
      <c r="WNK53" s="15"/>
      <c r="WNL53" s="15"/>
      <c r="WNM53" s="15"/>
      <c r="WNN53" s="15"/>
      <c r="WNO53" s="15"/>
      <c r="WNP53" s="15"/>
      <c r="WNQ53" s="15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15"/>
      <c r="WOD53" s="15"/>
      <c r="WOE53" s="15"/>
      <c r="WOF53" s="15"/>
      <c r="WOG53" s="15"/>
      <c r="WOH53" s="15"/>
      <c r="WOI53" s="15"/>
      <c r="WOJ53" s="15"/>
      <c r="WOK53" s="15"/>
      <c r="WOL53" s="15"/>
      <c r="WOM53" s="15"/>
      <c r="WON53" s="15"/>
      <c r="WOO53" s="15"/>
      <c r="WOP53" s="15"/>
      <c r="WOQ53" s="15"/>
      <c r="WOR53" s="15"/>
      <c r="WOS53" s="15"/>
      <c r="WOT53" s="15"/>
      <c r="WOU53" s="15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15"/>
      <c r="WPH53" s="15"/>
      <c r="WPI53" s="15"/>
      <c r="WPJ53" s="15"/>
      <c r="WPK53" s="15"/>
      <c r="WPL53" s="15"/>
      <c r="WPM53" s="15"/>
      <c r="WPN53" s="15"/>
      <c r="WPO53" s="15"/>
      <c r="WPP53" s="15"/>
      <c r="WPQ53" s="15"/>
      <c r="WPR53" s="15"/>
      <c r="WPS53" s="15"/>
      <c r="WPT53" s="15"/>
      <c r="WPU53" s="15"/>
      <c r="WPV53" s="15"/>
      <c r="WPW53" s="15"/>
      <c r="WPX53" s="15"/>
      <c r="WPY53" s="15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15"/>
      <c r="WQL53" s="15"/>
      <c r="WQM53" s="15"/>
      <c r="WQN53" s="15"/>
      <c r="WQO53" s="15"/>
      <c r="WQP53" s="15"/>
      <c r="WQQ53" s="15"/>
      <c r="WQR53" s="15"/>
      <c r="WQS53" s="15"/>
      <c r="WQT53" s="15"/>
      <c r="WQU53" s="15"/>
      <c r="WQV53" s="15"/>
      <c r="WQW53" s="15"/>
      <c r="WQX53" s="15"/>
      <c r="WQY53" s="15"/>
      <c r="WQZ53" s="15"/>
      <c r="WRA53" s="15"/>
      <c r="WRB53" s="15"/>
      <c r="WRC53" s="15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15"/>
      <c r="WRP53" s="15"/>
      <c r="WRQ53" s="15"/>
      <c r="WRR53" s="15"/>
      <c r="WRS53" s="15"/>
      <c r="WRT53" s="15"/>
      <c r="WRU53" s="15"/>
      <c r="WRV53" s="15"/>
      <c r="WRW53" s="15"/>
      <c r="WRX53" s="15"/>
      <c r="WRY53" s="15"/>
      <c r="WRZ53" s="15"/>
      <c r="WSA53" s="15"/>
      <c r="WSB53" s="15"/>
      <c r="WSC53" s="15"/>
      <c r="WSD53" s="15"/>
      <c r="WSE53" s="15"/>
      <c r="WSF53" s="15"/>
      <c r="WSG53" s="15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15"/>
      <c r="WST53" s="15"/>
      <c r="WSU53" s="15"/>
      <c r="WSV53" s="15"/>
      <c r="WSW53" s="15"/>
      <c r="WSX53" s="15"/>
      <c r="WSY53" s="15"/>
      <c r="WSZ53" s="15"/>
      <c r="WTA53" s="15"/>
      <c r="WTB53" s="15"/>
      <c r="WTC53" s="15"/>
      <c r="WTD53" s="15"/>
      <c r="WTE53" s="15"/>
      <c r="WTF53" s="15"/>
      <c r="WTG53" s="15"/>
      <c r="WTH53" s="15"/>
      <c r="WTI53" s="15"/>
      <c r="WTJ53" s="15"/>
      <c r="WTK53" s="15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15"/>
      <c r="WTX53" s="15"/>
      <c r="WTY53" s="15"/>
      <c r="WTZ53" s="15"/>
      <c r="WUA53" s="15"/>
      <c r="WUB53" s="15"/>
      <c r="WUC53" s="15"/>
      <c r="WUD53" s="15"/>
      <c r="WUE53" s="15"/>
      <c r="WUF53" s="15"/>
      <c r="WUG53" s="15"/>
      <c r="WUH53" s="15"/>
      <c r="WUI53" s="15"/>
      <c r="WUJ53" s="15"/>
      <c r="WUK53" s="15"/>
      <c r="WUL53" s="15"/>
      <c r="WUM53" s="15"/>
      <c r="WUN53" s="15"/>
      <c r="WUO53" s="15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15"/>
      <c r="WVB53" s="15"/>
      <c r="WVC53" s="15"/>
      <c r="WVD53" s="15"/>
      <c r="WVE53" s="15"/>
      <c r="WVF53" s="15"/>
      <c r="WVG53" s="15"/>
      <c r="WVH53" s="15"/>
      <c r="WVI53" s="15"/>
      <c r="WVJ53" s="15"/>
      <c r="WVK53" s="15"/>
      <c r="WVL53" s="15"/>
      <c r="WVM53" s="15"/>
      <c r="WVN53" s="15"/>
      <c r="WVO53" s="15"/>
      <c r="WVP53" s="15"/>
      <c r="WVQ53" s="15"/>
      <c r="WVR53" s="15"/>
      <c r="WVS53" s="15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15"/>
      <c r="WWF53" s="15"/>
      <c r="WWG53" s="15"/>
      <c r="WWH53" s="15"/>
      <c r="WWI53" s="15"/>
      <c r="WWJ53" s="15"/>
      <c r="WWK53" s="15"/>
      <c r="WWL53" s="15"/>
      <c r="WWM53" s="15"/>
      <c r="WWN53" s="15"/>
      <c r="WWO53" s="15"/>
      <c r="WWP53" s="15"/>
      <c r="WWQ53" s="15"/>
      <c r="WWR53" s="15"/>
      <c r="WWS53" s="15"/>
      <c r="WWT53" s="15"/>
      <c r="WWU53" s="15"/>
      <c r="WWV53" s="15"/>
      <c r="WWW53" s="15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15"/>
      <c r="WXJ53" s="15"/>
      <c r="WXK53" s="15"/>
      <c r="WXL53" s="15"/>
      <c r="WXM53" s="15"/>
      <c r="WXN53" s="15"/>
      <c r="WXO53" s="15"/>
      <c r="WXP53" s="15"/>
      <c r="WXQ53" s="15"/>
      <c r="WXR53" s="15"/>
      <c r="WXS53" s="15"/>
      <c r="WXT53" s="15"/>
      <c r="WXU53" s="15"/>
      <c r="WXV53" s="15"/>
      <c r="WXW53" s="15"/>
      <c r="WXX53" s="15"/>
      <c r="WXY53" s="15"/>
      <c r="WXZ53" s="15"/>
      <c r="WYA53" s="15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15"/>
      <c r="WYN53" s="15"/>
      <c r="WYO53" s="15"/>
      <c r="WYP53" s="15"/>
      <c r="WYQ53" s="15"/>
      <c r="WYR53" s="15"/>
      <c r="WYS53" s="15"/>
      <c r="WYT53" s="15"/>
      <c r="WYU53" s="15"/>
      <c r="WYV53" s="15"/>
      <c r="WYW53" s="15"/>
      <c r="WYX53" s="15"/>
      <c r="WYY53" s="15"/>
      <c r="WYZ53" s="15"/>
      <c r="WZA53" s="15"/>
      <c r="WZB53" s="15"/>
      <c r="WZC53" s="15"/>
      <c r="WZD53" s="15"/>
      <c r="WZE53" s="15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15"/>
      <c r="WZR53" s="15"/>
      <c r="WZS53" s="15"/>
      <c r="WZT53" s="15"/>
      <c r="WZU53" s="15"/>
      <c r="WZV53" s="15"/>
      <c r="WZW53" s="15"/>
      <c r="WZX53" s="15"/>
      <c r="WZY53" s="15"/>
      <c r="WZZ53" s="15"/>
      <c r="XAA53" s="15"/>
      <c r="XAB53" s="15"/>
      <c r="XAC53" s="15"/>
      <c r="XAD53" s="15"/>
      <c r="XAE53" s="15"/>
      <c r="XAF53" s="15"/>
      <c r="XAG53" s="15"/>
      <c r="XAH53" s="15"/>
      <c r="XAI53" s="15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15"/>
      <c r="XAV53" s="15"/>
      <c r="XAW53" s="15"/>
      <c r="XAX53" s="15"/>
      <c r="XAY53" s="15"/>
      <c r="XAZ53" s="15"/>
      <c r="XBA53" s="15"/>
      <c r="XBB53" s="15"/>
      <c r="XBC53" s="15"/>
      <c r="XBD53" s="15"/>
      <c r="XBE53" s="15"/>
      <c r="XBF53" s="15"/>
      <c r="XBG53" s="15"/>
      <c r="XBH53" s="15"/>
      <c r="XBI53" s="15"/>
      <c r="XBJ53" s="15"/>
      <c r="XBK53" s="15"/>
      <c r="XBL53" s="15"/>
      <c r="XBM53" s="15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15"/>
      <c r="XBZ53" s="15"/>
      <c r="XCA53" s="15"/>
      <c r="XCB53" s="15"/>
      <c r="XCC53" s="15"/>
      <c r="XCD53" s="15"/>
      <c r="XCE53" s="15"/>
      <c r="XCF53" s="15"/>
      <c r="XCG53" s="15"/>
      <c r="XCH53" s="15"/>
      <c r="XCI53" s="15"/>
      <c r="XCJ53" s="15"/>
      <c r="XCK53" s="15"/>
      <c r="XCL53" s="15"/>
      <c r="XCM53" s="15"/>
      <c r="XCN53" s="15"/>
      <c r="XCO53" s="15"/>
      <c r="XCP53" s="15"/>
      <c r="XCQ53" s="15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15"/>
      <c r="XDD53" s="15"/>
      <c r="XDE53" s="15"/>
      <c r="XDF53" s="15"/>
      <c r="XDG53" s="15"/>
      <c r="XDH53" s="15"/>
      <c r="XDI53" s="15"/>
      <c r="XDJ53" s="15"/>
      <c r="XDK53" s="15"/>
      <c r="XDL53" s="15"/>
      <c r="XDM53" s="15"/>
      <c r="XDN53" s="15"/>
      <c r="XDO53" s="15"/>
      <c r="XDP53" s="15"/>
      <c r="XDQ53" s="15"/>
      <c r="XDR53" s="15"/>
      <c r="XDS53" s="15"/>
      <c r="XDT53" s="15"/>
      <c r="XDU53" s="15"/>
      <c r="XDV53" s="15"/>
      <c r="XDW53" s="15"/>
      <c r="XDX53" s="15"/>
      <c r="XDY53" s="15"/>
      <c r="XDZ53" s="15"/>
      <c r="XEA53" s="15"/>
      <c r="XEB53" s="15"/>
      <c r="XEC53" s="15"/>
      <c r="XED53" s="15"/>
      <c r="XEE53" s="15"/>
      <c r="XEF53" s="15"/>
      <c r="XEG53" s="15"/>
      <c r="XEH53" s="15"/>
      <c r="XEI53" s="15"/>
      <c r="XEJ53" s="15"/>
      <c r="XEK53" s="15"/>
      <c r="XEL53" s="15"/>
      <c r="XEM53" s="15"/>
      <c r="XEN53" s="15"/>
      <c r="XEO53" s="15"/>
      <c r="XEP53" s="15"/>
      <c r="XEQ53" s="15"/>
      <c r="XER53" s="15"/>
      <c r="XES53" s="15"/>
      <c r="XET53" s="15"/>
      <c r="XEU53" s="15"/>
      <c r="XEV53" s="15"/>
      <c r="XEW53" s="15"/>
      <c r="XEX53" s="15"/>
      <c r="XEY53" s="15"/>
      <c r="XEZ53" s="15"/>
      <c r="XFA53" s="15"/>
      <c r="XFB53" s="15"/>
      <c r="XFC53" s="15"/>
    </row>
    <row r="54" spans="2:16383" s="15" customFormat="1">
      <c r="B54" s="148" t="s">
        <v>27</v>
      </c>
      <c r="C54" s="121"/>
      <c r="D54" s="123">
        <f ca="1">IFERROR(D53/C53-1,"na")</f>
        <v>-0.24511127273061895</v>
      </c>
      <c r="E54" s="123">
        <f t="shared" ref="E54:M54" ca="1" si="8">IFERROR(E53/D53-1,"na")</f>
        <v>-0.41781725227895561</v>
      </c>
      <c r="F54" s="123">
        <f t="shared" ca="1" si="8"/>
        <v>-1.1113343629719787</v>
      </c>
      <c r="G54" s="123">
        <f t="shared" ca="1" si="8"/>
        <v>10.211062628088786</v>
      </c>
      <c r="H54" s="123">
        <f t="shared" ca="1" si="8"/>
        <v>1.190319702005334</v>
      </c>
      <c r="I54" s="123">
        <f t="shared" ca="1" si="8"/>
        <v>0.66655894672365124</v>
      </c>
      <c r="J54" s="123">
        <f t="shared" ca="1" si="8"/>
        <v>0.44229936229609845</v>
      </c>
      <c r="K54" s="123">
        <f t="shared" ca="1" si="8"/>
        <v>0.36466200858000986</v>
      </c>
      <c r="L54" s="123">
        <f t="shared" ca="1" si="8"/>
        <v>0.3110361239524202</v>
      </c>
      <c r="M54" s="123">
        <f t="shared" ca="1" si="8"/>
        <v>4.0000000000000036E-2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</row>
    <row r="55" spans="2:16383">
      <c r="B55" t="s">
        <v>210</v>
      </c>
      <c r="C55" s="122">
        <f>+INDEX(Model!$A:$AP,MATCH("Gross Revenue",Model!$A:$A,0),MATCH(DCF!C$51,Model!$3:$3,0))</f>
        <v>9735.9035585324546</v>
      </c>
      <c r="D55" s="122">
        <f>+INDEX(Model!$A:$AP,MATCH("Gross Revenue",Model!$A:$A,0),MATCH(DCF!D$51,Model!$3:$3,0))</f>
        <v>13885.525239528481</v>
      </c>
      <c r="E55" s="122">
        <f ca="1">+INDEX(Model!$A:$AP,MATCH("Gross Revenue",Model!$A:$A,0),MATCH(DCF!E$51,Model!$3:$3,0))</f>
        <v>17790.380494450546</v>
      </c>
      <c r="F55" s="122">
        <f ca="1">+INDEX(Model!$A:$AP,MATCH("Gross Revenue",Model!$A:$A,0),MATCH(DCF!F$51,Model!$3:$3,0))</f>
        <v>21889.397163361726</v>
      </c>
      <c r="G55" s="122">
        <f ca="1">+INDEX(Model!$A:$AP,MATCH("Gross Revenue",Model!$A:$A,0),MATCH(DCF!G$51,Model!$3:$3,0))</f>
        <v>26194.755905463302</v>
      </c>
      <c r="H55" s="122">
        <f ca="1">+INDEX(Model!$A:$AP,MATCH("Gross Revenue",Model!$A:$A,0),MATCH(DCF!H$51,Model!$3:$3,0))</f>
        <v>30282.853411641707</v>
      </c>
      <c r="I55" s="122">
        <f ca="1">+INDEX(Model!$A:$AP,MATCH("Gross Revenue",Model!$A:$A,0),MATCH(DCF!I$51,Model!$3:$3,0))</f>
        <v>34587.063924973321</v>
      </c>
      <c r="J55" s="122">
        <f ca="1">+INDEX(Model!$A:$AP,MATCH("Gross Revenue",Model!$A:$A,0),MATCH(DCF!J$51,Model!$3:$3,0))</f>
        <v>39099.510346543429</v>
      </c>
      <c r="K55" s="122">
        <f ca="1">+INDEX(Model!$A:$AP,MATCH("Gross Revenue",Model!$A:$A,0),MATCH(DCF!K$51,Model!$3:$3,0))</f>
        <v>43843.960523102323</v>
      </c>
      <c r="L55" s="122">
        <f ca="1">+INDEX(Model!$A:$AP,MATCH("Gross Revenue",Model!$A:$A,0),MATCH(DCF!L$51,Model!$3:$3,0))</f>
        <v>48835.985692769922</v>
      </c>
      <c r="M55" s="175">
        <f ca="1">+L55*(1+$K$36)</f>
        <v>50789.425120480722</v>
      </c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  <c r="AKX55" s="15"/>
      <c r="AKY55" s="15"/>
      <c r="AKZ55" s="15"/>
      <c r="ALA55" s="15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15"/>
      <c r="ALN55" s="15"/>
      <c r="ALO55" s="15"/>
      <c r="ALP55" s="15"/>
      <c r="ALQ55" s="15"/>
      <c r="ALR55" s="15"/>
      <c r="ALS55" s="15"/>
      <c r="ALT55" s="15"/>
      <c r="ALU55" s="15"/>
      <c r="ALV55" s="15"/>
      <c r="ALW55" s="15"/>
      <c r="ALX55" s="15"/>
      <c r="ALY55" s="15"/>
      <c r="ALZ55" s="15"/>
      <c r="AMA55" s="15"/>
      <c r="AMB55" s="15"/>
      <c r="AMC55" s="15"/>
      <c r="AMD55" s="15"/>
      <c r="AME55" s="15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15"/>
      <c r="AMR55" s="15"/>
      <c r="AMS55" s="15"/>
      <c r="AMT55" s="15"/>
      <c r="AMU55" s="15"/>
      <c r="AMV55" s="15"/>
      <c r="AMW55" s="15"/>
      <c r="AMX55" s="15"/>
      <c r="AMY55" s="15"/>
      <c r="AMZ55" s="15"/>
      <c r="ANA55" s="15"/>
      <c r="ANB55" s="15"/>
      <c r="ANC55" s="15"/>
      <c r="AND55" s="15"/>
      <c r="ANE55" s="15"/>
      <c r="ANF55" s="15"/>
      <c r="ANG55" s="15"/>
      <c r="ANH55" s="15"/>
      <c r="ANI55" s="15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15"/>
      <c r="ANV55" s="15"/>
      <c r="ANW55" s="15"/>
      <c r="ANX55" s="15"/>
      <c r="ANY55" s="15"/>
      <c r="ANZ55" s="15"/>
      <c r="AOA55" s="15"/>
      <c r="AOB55" s="15"/>
      <c r="AOC55" s="15"/>
      <c r="AOD55" s="15"/>
      <c r="AOE55" s="15"/>
      <c r="AOF55" s="15"/>
      <c r="AOG55" s="15"/>
      <c r="AOH55" s="15"/>
      <c r="AOI55" s="15"/>
      <c r="AOJ55" s="15"/>
      <c r="AOK55" s="15"/>
      <c r="AOL55" s="15"/>
      <c r="AOM55" s="15"/>
      <c r="AON55" s="15"/>
      <c r="AOO55" s="15"/>
      <c r="AOP55" s="15"/>
      <c r="AOQ55" s="15"/>
      <c r="AOR55" s="15"/>
      <c r="AOS55" s="15"/>
      <c r="AOT55" s="15"/>
      <c r="AOU55" s="15"/>
      <c r="AOV55" s="15"/>
      <c r="AOW55" s="15"/>
      <c r="AOX55" s="15"/>
      <c r="AOY55" s="15"/>
      <c r="AOZ55" s="15"/>
      <c r="APA55" s="15"/>
      <c r="APB55" s="15"/>
      <c r="APC55" s="15"/>
      <c r="APD55" s="15"/>
      <c r="APE55" s="15"/>
      <c r="APF55" s="15"/>
      <c r="APG55" s="15"/>
      <c r="APH55" s="15"/>
      <c r="API55" s="15"/>
      <c r="APJ55" s="15"/>
      <c r="APK55" s="15"/>
      <c r="APL55" s="15"/>
      <c r="APM55" s="15"/>
      <c r="APN55" s="15"/>
      <c r="APO55" s="15"/>
      <c r="APP55" s="15"/>
      <c r="APQ55" s="15"/>
      <c r="APR55" s="15"/>
      <c r="APS55" s="15"/>
      <c r="APT55" s="15"/>
      <c r="APU55" s="15"/>
      <c r="APV55" s="15"/>
      <c r="APW55" s="15"/>
      <c r="APX55" s="15"/>
      <c r="APY55" s="15"/>
      <c r="APZ55" s="15"/>
      <c r="AQA55" s="15"/>
      <c r="AQB55" s="15"/>
      <c r="AQC55" s="15"/>
      <c r="AQD55" s="15"/>
      <c r="AQE55" s="15"/>
      <c r="AQF55" s="15"/>
      <c r="AQG55" s="15"/>
      <c r="AQH55" s="15"/>
      <c r="AQI55" s="15"/>
      <c r="AQJ55" s="15"/>
      <c r="AQK55" s="15"/>
      <c r="AQL55" s="15"/>
      <c r="AQM55" s="15"/>
      <c r="AQN55" s="15"/>
      <c r="AQO55" s="15"/>
      <c r="AQP55" s="15"/>
      <c r="AQQ55" s="15"/>
      <c r="AQR55" s="15"/>
      <c r="AQS55" s="15"/>
      <c r="AQT55" s="15"/>
      <c r="AQU55" s="15"/>
      <c r="AQV55" s="15"/>
      <c r="AQW55" s="15"/>
      <c r="AQX55" s="15"/>
      <c r="AQY55" s="15"/>
      <c r="AQZ55" s="15"/>
      <c r="ARA55" s="15"/>
      <c r="ARB55" s="15"/>
      <c r="ARC55" s="15"/>
      <c r="ARD55" s="15"/>
      <c r="ARE55" s="15"/>
      <c r="ARF55" s="15"/>
      <c r="ARG55" s="15"/>
      <c r="ARH55" s="15"/>
      <c r="ARI55" s="15"/>
      <c r="ARJ55" s="15"/>
      <c r="ARK55" s="15"/>
      <c r="ARL55" s="15"/>
      <c r="ARM55" s="15"/>
      <c r="ARN55" s="15"/>
      <c r="ARO55" s="15"/>
      <c r="ARP55" s="15"/>
      <c r="ARQ55" s="15"/>
      <c r="ARR55" s="15"/>
      <c r="ARS55" s="15"/>
      <c r="ART55" s="15"/>
      <c r="ARU55" s="15"/>
      <c r="ARV55" s="15"/>
      <c r="ARW55" s="15"/>
      <c r="ARX55" s="15"/>
      <c r="ARY55" s="15"/>
      <c r="ARZ55" s="15"/>
      <c r="ASA55" s="15"/>
      <c r="ASB55" s="15"/>
      <c r="ASC55" s="15"/>
      <c r="ASD55" s="15"/>
      <c r="ASE55" s="15"/>
      <c r="ASF55" s="15"/>
      <c r="ASG55" s="15"/>
      <c r="ASH55" s="15"/>
      <c r="ASI55" s="15"/>
      <c r="ASJ55" s="15"/>
      <c r="ASK55" s="15"/>
      <c r="ASL55" s="15"/>
      <c r="ASM55" s="15"/>
      <c r="ASN55" s="15"/>
      <c r="ASO55" s="15"/>
      <c r="ASP55" s="15"/>
      <c r="ASQ55" s="15"/>
      <c r="ASR55" s="15"/>
      <c r="ASS55" s="15"/>
      <c r="AST55" s="15"/>
      <c r="ASU55" s="15"/>
      <c r="ASV55" s="15"/>
      <c r="ASW55" s="15"/>
      <c r="ASX55" s="15"/>
      <c r="ASY55" s="15"/>
      <c r="ASZ55" s="15"/>
      <c r="ATA55" s="15"/>
      <c r="ATB55" s="15"/>
      <c r="ATC55" s="15"/>
      <c r="ATD55" s="15"/>
      <c r="ATE55" s="15"/>
      <c r="ATF55" s="15"/>
      <c r="ATG55" s="15"/>
      <c r="ATH55" s="15"/>
      <c r="ATI55" s="15"/>
      <c r="ATJ55" s="15"/>
      <c r="ATK55" s="15"/>
      <c r="ATL55" s="15"/>
      <c r="ATM55" s="15"/>
      <c r="ATN55" s="15"/>
      <c r="ATO55" s="15"/>
      <c r="ATP55" s="15"/>
      <c r="ATQ55" s="15"/>
      <c r="ATR55" s="15"/>
      <c r="ATS55" s="15"/>
      <c r="ATT55" s="15"/>
      <c r="ATU55" s="15"/>
      <c r="ATV55" s="15"/>
      <c r="ATW55" s="15"/>
      <c r="ATX55" s="15"/>
      <c r="ATY55" s="15"/>
      <c r="ATZ55" s="15"/>
      <c r="AUA55" s="15"/>
      <c r="AUB55" s="15"/>
      <c r="AUC55" s="15"/>
      <c r="AUD55" s="15"/>
      <c r="AUE55" s="15"/>
      <c r="AUF55" s="15"/>
      <c r="AUG55" s="15"/>
      <c r="AUH55" s="15"/>
      <c r="AUI55" s="15"/>
      <c r="AUJ55" s="15"/>
      <c r="AUK55" s="15"/>
      <c r="AUL55" s="15"/>
      <c r="AUM55" s="15"/>
      <c r="AUN55" s="15"/>
      <c r="AUO55" s="15"/>
      <c r="AUP55" s="15"/>
      <c r="AUQ55" s="15"/>
      <c r="AUR55" s="15"/>
      <c r="AUS55" s="15"/>
      <c r="AUT55" s="15"/>
      <c r="AUU55" s="15"/>
      <c r="AUV55" s="15"/>
      <c r="AUW55" s="15"/>
      <c r="AUX55" s="15"/>
      <c r="AUY55" s="15"/>
      <c r="AUZ55" s="15"/>
      <c r="AVA55" s="15"/>
      <c r="AVB55" s="15"/>
      <c r="AVC55" s="15"/>
      <c r="AVD55" s="15"/>
      <c r="AVE55" s="15"/>
      <c r="AVF55" s="15"/>
      <c r="AVG55" s="15"/>
      <c r="AVH55" s="15"/>
      <c r="AVI55" s="15"/>
      <c r="AVJ55" s="15"/>
      <c r="AVK55" s="15"/>
      <c r="AVL55" s="15"/>
      <c r="AVM55" s="15"/>
      <c r="AVN55" s="15"/>
      <c r="AVO55" s="15"/>
      <c r="AVP55" s="15"/>
      <c r="AVQ55" s="15"/>
      <c r="AVR55" s="15"/>
      <c r="AVS55" s="15"/>
      <c r="AVT55" s="15"/>
      <c r="AVU55" s="15"/>
      <c r="AVV55" s="15"/>
      <c r="AVW55" s="15"/>
      <c r="AVX55" s="15"/>
      <c r="AVY55" s="15"/>
      <c r="AVZ55" s="15"/>
      <c r="AWA55" s="15"/>
      <c r="AWB55" s="15"/>
      <c r="AWC55" s="15"/>
      <c r="AWD55" s="15"/>
      <c r="AWE55" s="15"/>
      <c r="AWF55" s="15"/>
      <c r="AWG55" s="15"/>
      <c r="AWH55" s="15"/>
      <c r="AWI55" s="15"/>
      <c r="AWJ55" s="15"/>
      <c r="AWK55" s="15"/>
      <c r="AWL55" s="15"/>
      <c r="AWM55" s="15"/>
      <c r="AWN55" s="15"/>
      <c r="AWO55" s="15"/>
      <c r="AWP55" s="15"/>
      <c r="AWQ55" s="15"/>
      <c r="AWR55" s="15"/>
      <c r="AWS55" s="15"/>
      <c r="AWT55" s="15"/>
      <c r="AWU55" s="15"/>
      <c r="AWV55" s="15"/>
      <c r="AWW55" s="15"/>
      <c r="AWX55" s="15"/>
      <c r="AWY55" s="15"/>
      <c r="AWZ55" s="15"/>
      <c r="AXA55" s="15"/>
      <c r="AXB55" s="15"/>
      <c r="AXC55" s="15"/>
      <c r="AXD55" s="15"/>
      <c r="AXE55" s="15"/>
      <c r="AXF55" s="15"/>
      <c r="AXG55" s="15"/>
      <c r="AXH55" s="15"/>
      <c r="AXI55" s="15"/>
      <c r="AXJ55" s="15"/>
      <c r="AXK55" s="15"/>
      <c r="AXL55" s="15"/>
      <c r="AXM55" s="15"/>
      <c r="AXN55" s="15"/>
      <c r="AXO55" s="15"/>
      <c r="AXP55" s="15"/>
      <c r="AXQ55" s="15"/>
      <c r="AXR55" s="15"/>
      <c r="AXS55" s="15"/>
      <c r="AXT55" s="15"/>
      <c r="AXU55" s="15"/>
      <c r="AXV55" s="15"/>
      <c r="AXW55" s="15"/>
      <c r="AXX55" s="15"/>
      <c r="AXY55" s="15"/>
      <c r="AXZ55" s="15"/>
      <c r="AYA55" s="15"/>
      <c r="AYB55" s="15"/>
      <c r="AYC55" s="15"/>
      <c r="AYD55" s="15"/>
      <c r="AYE55" s="15"/>
      <c r="AYF55" s="15"/>
      <c r="AYG55" s="15"/>
      <c r="AYH55" s="15"/>
      <c r="AYI55" s="15"/>
      <c r="AYJ55" s="15"/>
      <c r="AYK55" s="15"/>
      <c r="AYL55" s="15"/>
      <c r="AYM55" s="15"/>
      <c r="AYN55" s="15"/>
      <c r="AYO55" s="15"/>
      <c r="AYP55" s="15"/>
      <c r="AYQ55" s="15"/>
      <c r="AYR55" s="15"/>
      <c r="AYS55" s="15"/>
      <c r="AYT55" s="15"/>
      <c r="AYU55" s="15"/>
      <c r="AYV55" s="15"/>
      <c r="AYW55" s="15"/>
      <c r="AYX55" s="15"/>
      <c r="AYY55" s="15"/>
      <c r="AYZ55" s="15"/>
      <c r="AZA55" s="15"/>
      <c r="AZB55" s="15"/>
      <c r="AZC55" s="15"/>
      <c r="AZD55" s="15"/>
      <c r="AZE55" s="15"/>
      <c r="AZF55" s="15"/>
      <c r="AZG55" s="15"/>
      <c r="AZH55" s="15"/>
      <c r="AZI55" s="15"/>
      <c r="AZJ55" s="15"/>
      <c r="AZK55" s="15"/>
      <c r="AZL55" s="15"/>
      <c r="AZM55" s="15"/>
      <c r="AZN55" s="15"/>
      <c r="AZO55" s="15"/>
      <c r="AZP55" s="15"/>
      <c r="AZQ55" s="15"/>
      <c r="AZR55" s="15"/>
      <c r="AZS55" s="15"/>
      <c r="AZT55" s="15"/>
      <c r="AZU55" s="15"/>
      <c r="AZV55" s="15"/>
      <c r="AZW55" s="15"/>
      <c r="AZX55" s="15"/>
      <c r="AZY55" s="15"/>
      <c r="AZZ55" s="15"/>
      <c r="BAA55" s="15"/>
      <c r="BAB55" s="15"/>
      <c r="BAC55" s="15"/>
      <c r="BAD55" s="15"/>
      <c r="BAE55" s="15"/>
      <c r="BAF55" s="15"/>
      <c r="BAG55" s="15"/>
      <c r="BAH55" s="15"/>
      <c r="BAI55" s="15"/>
      <c r="BAJ55" s="15"/>
      <c r="BAK55" s="15"/>
      <c r="BAL55" s="15"/>
      <c r="BAM55" s="15"/>
      <c r="BAN55" s="15"/>
      <c r="BAO55" s="15"/>
      <c r="BAP55" s="15"/>
      <c r="BAQ55" s="15"/>
      <c r="BAR55" s="15"/>
      <c r="BAS55" s="15"/>
      <c r="BAT55" s="15"/>
      <c r="BAU55" s="15"/>
      <c r="BAV55" s="15"/>
      <c r="BAW55" s="15"/>
      <c r="BAX55" s="15"/>
      <c r="BAY55" s="15"/>
      <c r="BAZ55" s="15"/>
      <c r="BBA55" s="15"/>
      <c r="BBB55" s="15"/>
      <c r="BBC55" s="15"/>
      <c r="BBD55" s="15"/>
      <c r="BBE55" s="15"/>
      <c r="BBF55" s="15"/>
      <c r="BBG55" s="15"/>
      <c r="BBH55" s="15"/>
      <c r="BBI55" s="15"/>
      <c r="BBJ55" s="15"/>
      <c r="BBK55" s="15"/>
      <c r="BBL55" s="15"/>
      <c r="BBM55" s="15"/>
      <c r="BBN55" s="15"/>
      <c r="BBO55" s="15"/>
      <c r="BBP55" s="15"/>
      <c r="BBQ55" s="15"/>
      <c r="BBR55" s="15"/>
      <c r="BBS55" s="15"/>
      <c r="BBT55" s="15"/>
      <c r="BBU55" s="15"/>
      <c r="BBV55" s="15"/>
      <c r="BBW55" s="15"/>
      <c r="BBX55" s="15"/>
      <c r="BBY55" s="15"/>
      <c r="BBZ55" s="15"/>
      <c r="BCA55" s="15"/>
      <c r="BCB55" s="15"/>
      <c r="BCC55" s="15"/>
      <c r="BCD55" s="15"/>
      <c r="BCE55" s="15"/>
      <c r="BCF55" s="15"/>
      <c r="BCG55" s="15"/>
      <c r="BCH55" s="15"/>
      <c r="BCI55" s="15"/>
      <c r="BCJ55" s="15"/>
      <c r="BCK55" s="15"/>
      <c r="BCL55" s="15"/>
      <c r="BCM55" s="15"/>
      <c r="BCN55" s="15"/>
      <c r="BCO55" s="15"/>
      <c r="BCP55" s="15"/>
      <c r="BCQ55" s="15"/>
      <c r="BCR55" s="15"/>
      <c r="BCS55" s="15"/>
      <c r="BCT55" s="15"/>
      <c r="BCU55" s="15"/>
      <c r="BCV55" s="15"/>
      <c r="BCW55" s="15"/>
      <c r="BCX55" s="15"/>
      <c r="BCY55" s="15"/>
      <c r="BCZ55" s="15"/>
      <c r="BDA55" s="15"/>
      <c r="BDB55" s="15"/>
      <c r="BDC55" s="15"/>
      <c r="BDD55" s="15"/>
      <c r="BDE55" s="15"/>
      <c r="BDF55" s="15"/>
      <c r="BDG55" s="15"/>
      <c r="BDH55" s="15"/>
      <c r="BDI55" s="15"/>
      <c r="BDJ55" s="15"/>
      <c r="BDK55" s="15"/>
      <c r="BDL55" s="15"/>
      <c r="BDM55" s="15"/>
      <c r="BDN55" s="15"/>
      <c r="BDO55" s="15"/>
      <c r="BDP55" s="15"/>
      <c r="BDQ55" s="15"/>
      <c r="BDR55" s="15"/>
      <c r="BDS55" s="15"/>
      <c r="BDT55" s="15"/>
      <c r="BDU55" s="15"/>
      <c r="BDV55" s="15"/>
      <c r="BDW55" s="15"/>
      <c r="BDX55" s="15"/>
      <c r="BDY55" s="15"/>
      <c r="BDZ55" s="15"/>
      <c r="BEA55" s="15"/>
      <c r="BEB55" s="15"/>
      <c r="BEC55" s="15"/>
      <c r="BED55" s="15"/>
      <c r="BEE55" s="15"/>
      <c r="BEF55" s="15"/>
      <c r="BEG55" s="15"/>
      <c r="BEH55" s="15"/>
      <c r="BEI55" s="15"/>
      <c r="BEJ55" s="15"/>
      <c r="BEK55" s="15"/>
      <c r="BEL55" s="15"/>
      <c r="BEM55" s="15"/>
      <c r="BEN55" s="15"/>
      <c r="BEO55" s="15"/>
      <c r="BEP55" s="15"/>
      <c r="BEQ55" s="15"/>
      <c r="BER55" s="15"/>
      <c r="BES55" s="15"/>
      <c r="BET55" s="15"/>
      <c r="BEU55" s="15"/>
      <c r="BEV55" s="15"/>
      <c r="BEW55" s="15"/>
      <c r="BEX55" s="15"/>
      <c r="BEY55" s="15"/>
      <c r="BEZ55" s="15"/>
      <c r="BFA55" s="15"/>
      <c r="BFB55" s="15"/>
      <c r="BFC55" s="15"/>
      <c r="BFD55" s="15"/>
      <c r="BFE55" s="15"/>
      <c r="BFF55" s="15"/>
      <c r="BFG55" s="15"/>
      <c r="BFH55" s="15"/>
      <c r="BFI55" s="15"/>
      <c r="BFJ55" s="15"/>
      <c r="BFK55" s="15"/>
      <c r="BFL55" s="15"/>
      <c r="BFM55" s="15"/>
      <c r="BFN55" s="15"/>
      <c r="BFO55" s="15"/>
      <c r="BFP55" s="15"/>
      <c r="BFQ55" s="15"/>
      <c r="BFR55" s="15"/>
      <c r="BFS55" s="15"/>
      <c r="BFT55" s="15"/>
      <c r="BFU55" s="15"/>
      <c r="BFV55" s="15"/>
      <c r="BFW55" s="15"/>
      <c r="BFX55" s="15"/>
      <c r="BFY55" s="15"/>
      <c r="BFZ55" s="15"/>
      <c r="BGA55" s="15"/>
      <c r="BGB55" s="15"/>
      <c r="BGC55" s="15"/>
      <c r="BGD55" s="15"/>
      <c r="BGE55" s="15"/>
      <c r="BGF55" s="15"/>
      <c r="BGG55" s="15"/>
      <c r="BGH55" s="15"/>
      <c r="BGI55" s="15"/>
      <c r="BGJ55" s="15"/>
      <c r="BGK55" s="15"/>
      <c r="BGL55" s="15"/>
      <c r="BGM55" s="15"/>
      <c r="BGN55" s="15"/>
      <c r="BGO55" s="15"/>
      <c r="BGP55" s="15"/>
      <c r="BGQ55" s="15"/>
      <c r="BGR55" s="15"/>
      <c r="BGS55" s="15"/>
      <c r="BGT55" s="15"/>
      <c r="BGU55" s="15"/>
      <c r="BGV55" s="15"/>
      <c r="BGW55" s="15"/>
      <c r="BGX55" s="15"/>
      <c r="BGY55" s="15"/>
      <c r="BGZ55" s="15"/>
      <c r="BHA55" s="15"/>
      <c r="BHB55" s="15"/>
      <c r="BHC55" s="15"/>
      <c r="BHD55" s="15"/>
      <c r="BHE55" s="15"/>
      <c r="BHF55" s="15"/>
      <c r="BHG55" s="15"/>
      <c r="BHH55" s="15"/>
      <c r="BHI55" s="15"/>
      <c r="BHJ55" s="15"/>
      <c r="BHK55" s="15"/>
      <c r="BHL55" s="15"/>
      <c r="BHM55" s="15"/>
      <c r="BHN55" s="15"/>
      <c r="BHO55" s="15"/>
      <c r="BHP55" s="15"/>
      <c r="BHQ55" s="15"/>
      <c r="BHR55" s="15"/>
      <c r="BHS55" s="15"/>
      <c r="BHT55" s="15"/>
      <c r="BHU55" s="15"/>
      <c r="BHV55" s="15"/>
      <c r="BHW55" s="15"/>
      <c r="BHX55" s="15"/>
      <c r="BHY55" s="15"/>
      <c r="BHZ55" s="15"/>
      <c r="BIA55" s="15"/>
      <c r="BIB55" s="15"/>
      <c r="BIC55" s="15"/>
      <c r="BID55" s="15"/>
      <c r="BIE55" s="15"/>
      <c r="BIF55" s="15"/>
      <c r="BIG55" s="15"/>
      <c r="BIH55" s="15"/>
      <c r="BII55" s="15"/>
      <c r="BIJ55" s="15"/>
      <c r="BIK55" s="15"/>
      <c r="BIL55" s="15"/>
      <c r="BIM55" s="15"/>
      <c r="BIN55" s="15"/>
      <c r="BIO55" s="15"/>
      <c r="BIP55" s="15"/>
      <c r="BIQ55" s="15"/>
      <c r="BIR55" s="15"/>
      <c r="BIS55" s="15"/>
      <c r="BIT55" s="15"/>
      <c r="BIU55" s="15"/>
      <c r="BIV55" s="15"/>
      <c r="BIW55" s="15"/>
      <c r="BIX55" s="15"/>
      <c r="BIY55" s="15"/>
      <c r="BIZ55" s="15"/>
      <c r="BJA55" s="15"/>
      <c r="BJB55" s="15"/>
      <c r="BJC55" s="15"/>
      <c r="BJD55" s="15"/>
      <c r="BJE55" s="15"/>
      <c r="BJF55" s="15"/>
      <c r="BJG55" s="15"/>
      <c r="BJH55" s="15"/>
      <c r="BJI55" s="15"/>
      <c r="BJJ55" s="15"/>
      <c r="BJK55" s="15"/>
      <c r="BJL55" s="15"/>
      <c r="BJM55" s="15"/>
      <c r="BJN55" s="15"/>
      <c r="BJO55" s="15"/>
      <c r="BJP55" s="15"/>
      <c r="BJQ55" s="15"/>
      <c r="BJR55" s="15"/>
      <c r="BJS55" s="15"/>
      <c r="BJT55" s="15"/>
      <c r="BJU55" s="15"/>
      <c r="BJV55" s="15"/>
      <c r="BJW55" s="15"/>
      <c r="BJX55" s="15"/>
      <c r="BJY55" s="15"/>
      <c r="BJZ55" s="15"/>
      <c r="BKA55" s="15"/>
      <c r="BKB55" s="15"/>
      <c r="BKC55" s="15"/>
      <c r="BKD55" s="15"/>
      <c r="BKE55" s="15"/>
      <c r="BKF55" s="15"/>
      <c r="BKG55" s="15"/>
      <c r="BKH55" s="15"/>
      <c r="BKI55" s="15"/>
      <c r="BKJ55" s="15"/>
      <c r="BKK55" s="15"/>
      <c r="BKL55" s="15"/>
      <c r="BKM55" s="15"/>
      <c r="BKN55" s="15"/>
      <c r="BKO55" s="15"/>
      <c r="BKP55" s="15"/>
      <c r="BKQ55" s="15"/>
      <c r="BKR55" s="15"/>
      <c r="BKS55" s="15"/>
      <c r="BKT55" s="15"/>
      <c r="BKU55" s="15"/>
      <c r="BKV55" s="15"/>
      <c r="BKW55" s="15"/>
      <c r="BKX55" s="15"/>
      <c r="BKY55" s="15"/>
      <c r="BKZ55" s="15"/>
      <c r="BLA55" s="15"/>
      <c r="BLB55" s="15"/>
      <c r="BLC55" s="15"/>
      <c r="BLD55" s="15"/>
      <c r="BLE55" s="15"/>
      <c r="BLF55" s="15"/>
      <c r="BLG55" s="15"/>
      <c r="BLH55" s="15"/>
      <c r="BLI55" s="15"/>
      <c r="BLJ55" s="15"/>
      <c r="BLK55" s="15"/>
      <c r="BLL55" s="15"/>
      <c r="BLM55" s="15"/>
      <c r="BLN55" s="15"/>
      <c r="BLO55" s="15"/>
      <c r="BLP55" s="15"/>
      <c r="BLQ55" s="15"/>
      <c r="BLR55" s="15"/>
      <c r="BLS55" s="15"/>
      <c r="BLT55" s="15"/>
      <c r="BLU55" s="15"/>
      <c r="BLV55" s="15"/>
      <c r="BLW55" s="15"/>
      <c r="BLX55" s="15"/>
      <c r="BLY55" s="15"/>
      <c r="BLZ55" s="15"/>
      <c r="BMA55" s="15"/>
      <c r="BMB55" s="15"/>
      <c r="BMC55" s="15"/>
      <c r="BMD55" s="15"/>
      <c r="BME55" s="15"/>
      <c r="BMF55" s="15"/>
      <c r="BMG55" s="15"/>
      <c r="BMH55" s="15"/>
      <c r="BMI55" s="15"/>
      <c r="BMJ55" s="15"/>
      <c r="BMK55" s="15"/>
      <c r="BML55" s="15"/>
      <c r="BMM55" s="15"/>
      <c r="BMN55" s="15"/>
      <c r="BMO55" s="15"/>
      <c r="BMP55" s="15"/>
      <c r="BMQ55" s="15"/>
      <c r="BMR55" s="15"/>
      <c r="BMS55" s="15"/>
      <c r="BMT55" s="15"/>
      <c r="BMU55" s="15"/>
      <c r="BMV55" s="15"/>
      <c r="BMW55" s="15"/>
      <c r="BMX55" s="15"/>
      <c r="BMY55" s="15"/>
      <c r="BMZ55" s="15"/>
      <c r="BNA55" s="15"/>
      <c r="BNB55" s="15"/>
      <c r="BNC55" s="15"/>
      <c r="BND55" s="15"/>
      <c r="BNE55" s="15"/>
      <c r="BNF55" s="15"/>
      <c r="BNG55" s="15"/>
      <c r="BNH55" s="15"/>
      <c r="BNI55" s="15"/>
      <c r="BNJ55" s="15"/>
      <c r="BNK55" s="15"/>
      <c r="BNL55" s="15"/>
      <c r="BNM55" s="15"/>
      <c r="BNN55" s="15"/>
      <c r="BNO55" s="15"/>
      <c r="BNP55" s="15"/>
      <c r="BNQ55" s="15"/>
      <c r="BNR55" s="15"/>
      <c r="BNS55" s="15"/>
      <c r="BNT55" s="15"/>
      <c r="BNU55" s="15"/>
      <c r="BNV55" s="15"/>
      <c r="BNW55" s="15"/>
      <c r="BNX55" s="15"/>
      <c r="BNY55" s="15"/>
      <c r="BNZ55" s="15"/>
      <c r="BOA55" s="15"/>
      <c r="BOB55" s="15"/>
      <c r="BOC55" s="15"/>
      <c r="BOD55" s="15"/>
      <c r="BOE55" s="15"/>
      <c r="BOF55" s="15"/>
      <c r="BOG55" s="15"/>
      <c r="BOH55" s="15"/>
      <c r="BOI55" s="15"/>
      <c r="BOJ55" s="15"/>
      <c r="BOK55" s="15"/>
      <c r="BOL55" s="15"/>
      <c r="BOM55" s="15"/>
      <c r="BON55" s="15"/>
      <c r="BOO55" s="15"/>
      <c r="BOP55" s="15"/>
      <c r="BOQ55" s="15"/>
      <c r="BOR55" s="15"/>
      <c r="BOS55" s="15"/>
      <c r="BOT55" s="15"/>
      <c r="BOU55" s="15"/>
      <c r="BOV55" s="15"/>
      <c r="BOW55" s="15"/>
      <c r="BOX55" s="15"/>
      <c r="BOY55" s="15"/>
      <c r="BOZ55" s="15"/>
      <c r="BPA55" s="15"/>
      <c r="BPB55" s="15"/>
      <c r="BPC55" s="15"/>
      <c r="BPD55" s="15"/>
      <c r="BPE55" s="15"/>
      <c r="BPF55" s="15"/>
      <c r="BPG55" s="15"/>
      <c r="BPH55" s="15"/>
      <c r="BPI55" s="15"/>
      <c r="BPJ55" s="15"/>
      <c r="BPK55" s="15"/>
      <c r="BPL55" s="15"/>
      <c r="BPM55" s="15"/>
      <c r="BPN55" s="15"/>
      <c r="BPO55" s="15"/>
      <c r="BPP55" s="15"/>
      <c r="BPQ55" s="15"/>
      <c r="BPR55" s="15"/>
      <c r="BPS55" s="15"/>
      <c r="BPT55" s="15"/>
      <c r="BPU55" s="15"/>
      <c r="BPV55" s="15"/>
      <c r="BPW55" s="15"/>
      <c r="BPX55" s="15"/>
      <c r="BPY55" s="15"/>
      <c r="BPZ55" s="15"/>
      <c r="BQA55" s="15"/>
      <c r="BQB55" s="15"/>
      <c r="BQC55" s="15"/>
      <c r="BQD55" s="15"/>
      <c r="BQE55" s="15"/>
      <c r="BQF55" s="15"/>
      <c r="BQG55" s="15"/>
      <c r="BQH55" s="15"/>
      <c r="BQI55" s="15"/>
      <c r="BQJ55" s="15"/>
      <c r="BQK55" s="15"/>
      <c r="BQL55" s="15"/>
      <c r="BQM55" s="15"/>
      <c r="BQN55" s="15"/>
      <c r="BQO55" s="15"/>
      <c r="BQP55" s="15"/>
      <c r="BQQ55" s="15"/>
      <c r="BQR55" s="15"/>
      <c r="BQS55" s="15"/>
      <c r="BQT55" s="15"/>
      <c r="BQU55" s="15"/>
      <c r="BQV55" s="15"/>
      <c r="BQW55" s="15"/>
      <c r="BQX55" s="15"/>
      <c r="BQY55" s="15"/>
      <c r="BQZ55" s="15"/>
      <c r="BRA55" s="15"/>
      <c r="BRB55" s="15"/>
      <c r="BRC55" s="15"/>
      <c r="BRD55" s="15"/>
      <c r="BRE55" s="15"/>
      <c r="BRF55" s="15"/>
      <c r="BRG55" s="15"/>
      <c r="BRH55" s="15"/>
      <c r="BRI55" s="15"/>
      <c r="BRJ55" s="15"/>
      <c r="BRK55" s="15"/>
      <c r="BRL55" s="15"/>
      <c r="BRM55" s="15"/>
      <c r="BRN55" s="15"/>
      <c r="BRO55" s="15"/>
      <c r="BRP55" s="15"/>
      <c r="BRQ55" s="15"/>
      <c r="BRR55" s="15"/>
      <c r="BRS55" s="15"/>
      <c r="BRT55" s="15"/>
      <c r="BRU55" s="15"/>
      <c r="BRV55" s="15"/>
      <c r="BRW55" s="15"/>
      <c r="BRX55" s="15"/>
      <c r="BRY55" s="15"/>
      <c r="BRZ55" s="15"/>
      <c r="BSA55" s="15"/>
      <c r="BSB55" s="15"/>
      <c r="BSC55" s="15"/>
      <c r="BSD55" s="15"/>
      <c r="BSE55" s="15"/>
      <c r="BSF55" s="15"/>
      <c r="BSG55" s="15"/>
      <c r="BSH55" s="15"/>
      <c r="BSI55" s="15"/>
      <c r="BSJ55" s="15"/>
      <c r="BSK55" s="15"/>
      <c r="BSL55" s="15"/>
      <c r="BSM55" s="15"/>
      <c r="BSN55" s="15"/>
      <c r="BSO55" s="15"/>
      <c r="BSP55" s="15"/>
      <c r="BSQ55" s="15"/>
      <c r="BSR55" s="15"/>
      <c r="BSS55" s="15"/>
      <c r="BST55" s="15"/>
      <c r="BSU55" s="15"/>
      <c r="BSV55" s="15"/>
      <c r="BSW55" s="15"/>
      <c r="BSX55" s="15"/>
      <c r="BSY55" s="15"/>
      <c r="BSZ55" s="15"/>
      <c r="BTA55" s="15"/>
      <c r="BTB55" s="15"/>
      <c r="BTC55" s="15"/>
      <c r="BTD55" s="15"/>
      <c r="BTE55" s="15"/>
      <c r="BTF55" s="15"/>
      <c r="BTG55" s="15"/>
      <c r="BTH55" s="15"/>
      <c r="BTI55" s="15"/>
      <c r="BTJ55" s="15"/>
      <c r="BTK55" s="15"/>
      <c r="BTL55" s="15"/>
      <c r="BTM55" s="15"/>
      <c r="BTN55" s="15"/>
      <c r="BTO55" s="15"/>
      <c r="BTP55" s="15"/>
      <c r="BTQ55" s="15"/>
      <c r="BTR55" s="15"/>
      <c r="BTS55" s="15"/>
      <c r="BTT55" s="15"/>
      <c r="BTU55" s="15"/>
      <c r="BTV55" s="15"/>
      <c r="BTW55" s="15"/>
      <c r="BTX55" s="15"/>
      <c r="BTY55" s="15"/>
      <c r="BTZ55" s="15"/>
      <c r="BUA55" s="15"/>
      <c r="BUB55" s="15"/>
      <c r="BUC55" s="15"/>
      <c r="BUD55" s="15"/>
      <c r="BUE55" s="15"/>
      <c r="BUF55" s="15"/>
      <c r="BUG55" s="15"/>
      <c r="BUH55" s="15"/>
      <c r="BUI55" s="15"/>
      <c r="BUJ55" s="15"/>
      <c r="BUK55" s="15"/>
      <c r="BUL55" s="15"/>
      <c r="BUM55" s="15"/>
      <c r="BUN55" s="15"/>
      <c r="BUO55" s="15"/>
      <c r="BUP55" s="15"/>
      <c r="BUQ55" s="15"/>
      <c r="BUR55" s="15"/>
      <c r="BUS55" s="15"/>
      <c r="BUT55" s="15"/>
      <c r="BUU55" s="15"/>
      <c r="BUV55" s="15"/>
      <c r="BUW55" s="15"/>
      <c r="BUX55" s="15"/>
      <c r="BUY55" s="15"/>
      <c r="BUZ55" s="15"/>
      <c r="BVA55" s="15"/>
      <c r="BVB55" s="15"/>
      <c r="BVC55" s="15"/>
      <c r="BVD55" s="15"/>
      <c r="BVE55" s="15"/>
      <c r="BVF55" s="15"/>
      <c r="BVG55" s="15"/>
      <c r="BVH55" s="15"/>
      <c r="BVI55" s="15"/>
      <c r="BVJ55" s="15"/>
      <c r="BVK55" s="15"/>
      <c r="BVL55" s="15"/>
      <c r="BVM55" s="15"/>
      <c r="BVN55" s="15"/>
      <c r="BVO55" s="15"/>
      <c r="BVP55" s="15"/>
      <c r="BVQ55" s="15"/>
      <c r="BVR55" s="15"/>
      <c r="BVS55" s="15"/>
      <c r="BVT55" s="15"/>
      <c r="BVU55" s="15"/>
      <c r="BVV55" s="15"/>
      <c r="BVW55" s="15"/>
      <c r="BVX55" s="15"/>
      <c r="BVY55" s="15"/>
      <c r="BVZ55" s="15"/>
      <c r="BWA55" s="15"/>
      <c r="BWB55" s="15"/>
      <c r="BWC55" s="15"/>
      <c r="BWD55" s="15"/>
      <c r="BWE55" s="15"/>
      <c r="BWF55" s="15"/>
      <c r="BWG55" s="15"/>
      <c r="BWH55" s="15"/>
      <c r="BWI55" s="15"/>
      <c r="BWJ55" s="15"/>
      <c r="BWK55" s="15"/>
      <c r="BWL55" s="15"/>
      <c r="BWM55" s="15"/>
      <c r="BWN55" s="15"/>
      <c r="BWO55" s="15"/>
      <c r="BWP55" s="15"/>
      <c r="BWQ55" s="15"/>
      <c r="BWR55" s="15"/>
      <c r="BWS55" s="15"/>
      <c r="BWT55" s="15"/>
      <c r="BWU55" s="15"/>
      <c r="BWV55" s="15"/>
      <c r="BWW55" s="15"/>
      <c r="BWX55" s="15"/>
      <c r="BWY55" s="15"/>
      <c r="BWZ55" s="15"/>
      <c r="BXA55" s="15"/>
      <c r="BXB55" s="15"/>
      <c r="BXC55" s="15"/>
      <c r="BXD55" s="15"/>
      <c r="BXE55" s="15"/>
      <c r="BXF55" s="15"/>
      <c r="BXG55" s="15"/>
      <c r="BXH55" s="15"/>
      <c r="BXI55" s="15"/>
      <c r="BXJ55" s="15"/>
      <c r="BXK55" s="15"/>
      <c r="BXL55" s="15"/>
      <c r="BXM55" s="15"/>
      <c r="BXN55" s="15"/>
      <c r="BXO55" s="15"/>
      <c r="BXP55" s="15"/>
      <c r="BXQ55" s="15"/>
      <c r="BXR55" s="15"/>
      <c r="BXS55" s="15"/>
      <c r="BXT55" s="15"/>
      <c r="BXU55" s="15"/>
      <c r="BXV55" s="15"/>
      <c r="BXW55" s="15"/>
      <c r="BXX55" s="15"/>
      <c r="BXY55" s="15"/>
      <c r="BXZ55" s="15"/>
      <c r="BYA55" s="15"/>
      <c r="BYB55" s="15"/>
      <c r="BYC55" s="15"/>
      <c r="BYD55" s="15"/>
      <c r="BYE55" s="15"/>
      <c r="BYF55" s="15"/>
      <c r="BYG55" s="15"/>
      <c r="BYH55" s="15"/>
      <c r="BYI55" s="15"/>
      <c r="BYJ55" s="15"/>
      <c r="BYK55" s="15"/>
      <c r="BYL55" s="15"/>
      <c r="BYM55" s="15"/>
      <c r="BYN55" s="15"/>
      <c r="BYO55" s="15"/>
      <c r="BYP55" s="15"/>
      <c r="BYQ55" s="15"/>
      <c r="BYR55" s="15"/>
      <c r="BYS55" s="15"/>
      <c r="BYT55" s="15"/>
      <c r="BYU55" s="15"/>
      <c r="BYV55" s="15"/>
      <c r="BYW55" s="15"/>
      <c r="BYX55" s="15"/>
      <c r="BYY55" s="15"/>
      <c r="BYZ55" s="15"/>
      <c r="BZA55" s="15"/>
      <c r="BZB55" s="15"/>
      <c r="BZC55" s="15"/>
      <c r="BZD55" s="15"/>
      <c r="BZE55" s="15"/>
      <c r="BZF55" s="15"/>
      <c r="BZG55" s="15"/>
      <c r="BZH55" s="15"/>
      <c r="BZI55" s="15"/>
      <c r="BZJ55" s="15"/>
      <c r="BZK55" s="15"/>
      <c r="BZL55" s="15"/>
      <c r="BZM55" s="15"/>
      <c r="BZN55" s="15"/>
      <c r="BZO55" s="15"/>
      <c r="BZP55" s="15"/>
      <c r="BZQ55" s="15"/>
      <c r="BZR55" s="15"/>
      <c r="BZS55" s="15"/>
      <c r="BZT55" s="15"/>
      <c r="BZU55" s="15"/>
      <c r="BZV55" s="15"/>
      <c r="BZW55" s="15"/>
      <c r="BZX55" s="15"/>
      <c r="BZY55" s="15"/>
      <c r="BZZ55" s="15"/>
      <c r="CAA55" s="15"/>
      <c r="CAB55" s="15"/>
      <c r="CAC55" s="15"/>
      <c r="CAD55" s="15"/>
      <c r="CAE55" s="15"/>
      <c r="CAF55" s="15"/>
      <c r="CAG55" s="15"/>
      <c r="CAH55" s="15"/>
      <c r="CAI55" s="15"/>
      <c r="CAJ55" s="15"/>
      <c r="CAK55" s="15"/>
      <c r="CAL55" s="15"/>
      <c r="CAM55" s="15"/>
      <c r="CAN55" s="15"/>
      <c r="CAO55" s="15"/>
      <c r="CAP55" s="15"/>
      <c r="CAQ55" s="15"/>
      <c r="CAR55" s="15"/>
      <c r="CAS55" s="15"/>
      <c r="CAT55" s="15"/>
      <c r="CAU55" s="15"/>
      <c r="CAV55" s="15"/>
      <c r="CAW55" s="15"/>
      <c r="CAX55" s="15"/>
      <c r="CAY55" s="15"/>
      <c r="CAZ55" s="15"/>
      <c r="CBA55" s="15"/>
      <c r="CBB55" s="15"/>
      <c r="CBC55" s="15"/>
      <c r="CBD55" s="15"/>
      <c r="CBE55" s="15"/>
      <c r="CBF55" s="15"/>
      <c r="CBG55" s="15"/>
      <c r="CBH55" s="15"/>
      <c r="CBI55" s="15"/>
      <c r="CBJ55" s="15"/>
      <c r="CBK55" s="15"/>
      <c r="CBL55" s="15"/>
      <c r="CBM55" s="15"/>
      <c r="CBN55" s="15"/>
      <c r="CBO55" s="15"/>
      <c r="CBP55" s="15"/>
      <c r="CBQ55" s="15"/>
      <c r="CBR55" s="15"/>
      <c r="CBS55" s="15"/>
      <c r="CBT55" s="15"/>
      <c r="CBU55" s="15"/>
      <c r="CBV55" s="15"/>
      <c r="CBW55" s="15"/>
      <c r="CBX55" s="15"/>
      <c r="CBY55" s="15"/>
      <c r="CBZ55" s="15"/>
      <c r="CCA55" s="15"/>
      <c r="CCB55" s="15"/>
      <c r="CCC55" s="15"/>
      <c r="CCD55" s="15"/>
      <c r="CCE55" s="15"/>
      <c r="CCF55" s="15"/>
      <c r="CCG55" s="15"/>
      <c r="CCH55" s="15"/>
      <c r="CCI55" s="15"/>
      <c r="CCJ55" s="15"/>
      <c r="CCK55" s="15"/>
      <c r="CCL55" s="15"/>
      <c r="CCM55" s="15"/>
      <c r="CCN55" s="15"/>
      <c r="CCO55" s="15"/>
      <c r="CCP55" s="15"/>
      <c r="CCQ55" s="15"/>
      <c r="CCR55" s="15"/>
      <c r="CCS55" s="15"/>
      <c r="CCT55" s="15"/>
      <c r="CCU55" s="15"/>
      <c r="CCV55" s="15"/>
      <c r="CCW55" s="15"/>
      <c r="CCX55" s="15"/>
      <c r="CCY55" s="15"/>
      <c r="CCZ55" s="15"/>
      <c r="CDA55" s="15"/>
      <c r="CDB55" s="15"/>
      <c r="CDC55" s="15"/>
      <c r="CDD55" s="15"/>
      <c r="CDE55" s="15"/>
      <c r="CDF55" s="15"/>
      <c r="CDG55" s="15"/>
      <c r="CDH55" s="15"/>
      <c r="CDI55" s="15"/>
      <c r="CDJ55" s="15"/>
      <c r="CDK55" s="15"/>
      <c r="CDL55" s="15"/>
      <c r="CDM55" s="15"/>
      <c r="CDN55" s="15"/>
      <c r="CDO55" s="15"/>
      <c r="CDP55" s="15"/>
      <c r="CDQ55" s="15"/>
      <c r="CDR55" s="15"/>
      <c r="CDS55" s="15"/>
      <c r="CDT55" s="15"/>
      <c r="CDU55" s="15"/>
      <c r="CDV55" s="15"/>
      <c r="CDW55" s="15"/>
      <c r="CDX55" s="15"/>
      <c r="CDY55" s="15"/>
      <c r="CDZ55" s="15"/>
      <c r="CEA55" s="15"/>
      <c r="CEB55" s="15"/>
      <c r="CEC55" s="15"/>
      <c r="CED55" s="15"/>
      <c r="CEE55" s="15"/>
      <c r="CEF55" s="15"/>
      <c r="CEG55" s="15"/>
      <c r="CEH55" s="15"/>
      <c r="CEI55" s="15"/>
      <c r="CEJ55" s="15"/>
      <c r="CEK55" s="15"/>
      <c r="CEL55" s="15"/>
      <c r="CEM55" s="15"/>
      <c r="CEN55" s="15"/>
      <c r="CEO55" s="15"/>
      <c r="CEP55" s="15"/>
      <c r="CEQ55" s="15"/>
      <c r="CER55" s="15"/>
      <c r="CES55" s="15"/>
      <c r="CET55" s="15"/>
      <c r="CEU55" s="15"/>
      <c r="CEV55" s="15"/>
      <c r="CEW55" s="15"/>
      <c r="CEX55" s="15"/>
      <c r="CEY55" s="15"/>
      <c r="CEZ55" s="15"/>
      <c r="CFA55" s="15"/>
      <c r="CFB55" s="15"/>
      <c r="CFC55" s="15"/>
      <c r="CFD55" s="15"/>
      <c r="CFE55" s="15"/>
      <c r="CFF55" s="15"/>
      <c r="CFG55" s="15"/>
      <c r="CFH55" s="15"/>
      <c r="CFI55" s="15"/>
      <c r="CFJ55" s="15"/>
      <c r="CFK55" s="15"/>
      <c r="CFL55" s="15"/>
      <c r="CFM55" s="15"/>
      <c r="CFN55" s="15"/>
      <c r="CFO55" s="15"/>
      <c r="CFP55" s="15"/>
      <c r="CFQ55" s="15"/>
      <c r="CFR55" s="15"/>
      <c r="CFS55" s="15"/>
      <c r="CFT55" s="15"/>
      <c r="CFU55" s="15"/>
      <c r="CFV55" s="15"/>
      <c r="CFW55" s="15"/>
      <c r="CFX55" s="15"/>
      <c r="CFY55" s="15"/>
      <c r="CFZ55" s="15"/>
      <c r="CGA55" s="15"/>
      <c r="CGB55" s="15"/>
      <c r="CGC55" s="15"/>
      <c r="CGD55" s="15"/>
      <c r="CGE55" s="15"/>
      <c r="CGF55" s="15"/>
      <c r="CGG55" s="15"/>
      <c r="CGH55" s="15"/>
      <c r="CGI55" s="15"/>
      <c r="CGJ55" s="15"/>
      <c r="CGK55" s="15"/>
      <c r="CGL55" s="15"/>
      <c r="CGM55" s="15"/>
      <c r="CGN55" s="15"/>
      <c r="CGO55" s="15"/>
      <c r="CGP55" s="15"/>
      <c r="CGQ55" s="15"/>
      <c r="CGR55" s="15"/>
      <c r="CGS55" s="15"/>
      <c r="CGT55" s="15"/>
      <c r="CGU55" s="15"/>
      <c r="CGV55" s="15"/>
      <c r="CGW55" s="15"/>
      <c r="CGX55" s="15"/>
      <c r="CGY55" s="15"/>
      <c r="CGZ55" s="15"/>
      <c r="CHA55" s="15"/>
      <c r="CHB55" s="15"/>
      <c r="CHC55" s="15"/>
      <c r="CHD55" s="15"/>
      <c r="CHE55" s="15"/>
      <c r="CHF55" s="15"/>
      <c r="CHG55" s="15"/>
      <c r="CHH55" s="15"/>
      <c r="CHI55" s="15"/>
      <c r="CHJ55" s="15"/>
      <c r="CHK55" s="15"/>
      <c r="CHL55" s="15"/>
      <c r="CHM55" s="15"/>
      <c r="CHN55" s="15"/>
      <c r="CHO55" s="15"/>
      <c r="CHP55" s="15"/>
      <c r="CHQ55" s="15"/>
      <c r="CHR55" s="15"/>
      <c r="CHS55" s="15"/>
      <c r="CHT55" s="15"/>
      <c r="CHU55" s="15"/>
      <c r="CHV55" s="15"/>
      <c r="CHW55" s="15"/>
      <c r="CHX55" s="15"/>
      <c r="CHY55" s="15"/>
      <c r="CHZ55" s="15"/>
      <c r="CIA55" s="15"/>
      <c r="CIB55" s="15"/>
      <c r="CIC55" s="15"/>
      <c r="CID55" s="15"/>
      <c r="CIE55" s="15"/>
      <c r="CIF55" s="15"/>
      <c r="CIG55" s="15"/>
      <c r="CIH55" s="15"/>
      <c r="CII55" s="15"/>
      <c r="CIJ55" s="15"/>
      <c r="CIK55" s="15"/>
      <c r="CIL55" s="15"/>
      <c r="CIM55" s="15"/>
      <c r="CIN55" s="15"/>
      <c r="CIO55" s="15"/>
      <c r="CIP55" s="15"/>
      <c r="CIQ55" s="15"/>
      <c r="CIR55" s="15"/>
      <c r="CIS55" s="15"/>
      <c r="CIT55" s="15"/>
      <c r="CIU55" s="15"/>
      <c r="CIV55" s="15"/>
      <c r="CIW55" s="15"/>
      <c r="CIX55" s="15"/>
      <c r="CIY55" s="15"/>
      <c r="CIZ55" s="15"/>
      <c r="CJA55" s="15"/>
      <c r="CJB55" s="15"/>
      <c r="CJC55" s="15"/>
      <c r="CJD55" s="15"/>
      <c r="CJE55" s="15"/>
      <c r="CJF55" s="15"/>
      <c r="CJG55" s="15"/>
      <c r="CJH55" s="15"/>
      <c r="CJI55" s="15"/>
      <c r="CJJ55" s="15"/>
      <c r="CJK55" s="15"/>
      <c r="CJL55" s="15"/>
      <c r="CJM55" s="15"/>
      <c r="CJN55" s="15"/>
      <c r="CJO55" s="15"/>
      <c r="CJP55" s="15"/>
      <c r="CJQ55" s="15"/>
      <c r="CJR55" s="15"/>
      <c r="CJS55" s="15"/>
      <c r="CJT55" s="15"/>
      <c r="CJU55" s="15"/>
      <c r="CJV55" s="15"/>
      <c r="CJW55" s="15"/>
      <c r="CJX55" s="15"/>
      <c r="CJY55" s="15"/>
      <c r="CJZ55" s="15"/>
      <c r="CKA55" s="15"/>
      <c r="CKB55" s="15"/>
      <c r="CKC55" s="15"/>
      <c r="CKD55" s="15"/>
      <c r="CKE55" s="15"/>
      <c r="CKF55" s="15"/>
      <c r="CKG55" s="15"/>
      <c r="CKH55" s="15"/>
      <c r="CKI55" s="15"/>
      <c r="CKJ55" s="15"/>
      <c r="CKK55" s="15"/>
      <c r="CKL55" s="15"/>
      <c r="CKM55" s="15"/>
      <c r="CKN55" s="15"/>
      <c r="CKO55" s="15"/>
      <c r="CKP55" s="15"/>
      <c r="CKQ55" s="15"/>
      <c r="CKR55" s="15"/>
      <c r="CKS55" s="15"/>
      <c r="CKT55" s="15"/>
      <c r="CKU55" s="15"/>
      <c r="CKV55" s="15"/>
      <c r="CKW55" s="15"/>
      <c r="CKX55" s="15"/>
      <c r="CKY55" s="15"/>
      <c r="CKZ55" s="15"/>
      <c r="CLA55" s="15"/>
      <c r="CLB55" s="15"/>
      <c r="CLC55" s="15"/>
      <c r="CLD55" s="15"/>
      <c r="CLE55" s="15"/>
      <c r="CLF55" s="15"/>
      <c r="CLG55" s="15"/>
      <c r="CLH55" s="15"/>
      <c r="CLI55" s="15"/>
      <c r="CLJ55" s="15"/>
      <c r="CLK55" s="15"/>
      <c r="CLL55" s="15"/>
      <c r="CLM55" s="15"/>
      <c r="CLN55" s="15"/>
      <c r="CLO55" s="15"/>
      <c r="CLP55" s="15"/>
      <c r="CLQ55" s="15"/>
      <c r="CLR55" s="15"/>
      <c r="CLS55" s="15"/>
      <c r="CLT55" s="15"/>
      <c r="CLU55" s="15"/>
      <c r="CLV55" s="15"/>
      <c r="CLW55" s="15"/>
      <c r="CLX55" s="15"/>
      <c r="CLY55" s="15"/>
      <c r="CLZ55" s="15"/>
      <c r="CMA55" s="15"/>
      <c r="CMB55" s="15"/>
      <c r="CMC55" s="15"/>
      <c r="CMD55" s="15"/>
      <c r="CME55" s="15"/>
      <c r="CMF55" s="15"/>
      <c r="CMG55" s="15"/>
      <c r="CMH55" s="15"/>
      <c r="CMI55" s="15"/>
      <c r="CMJ55" s="15"/>
      <c r="CMK55" s="15"/>
      <c r="CML55" s="15"/>
      <c r="CMM55" s="15"/>
      <c r="CMN55" s="15"/>
      <c r="CMO55" s="15"/>
      <c r="CMP55" s="15"/>
      <c r="CMQ55" s="15"/>
      <c r="CMR55" s="15"/>
      <c r="CMS55" s="15"/>
      <c r="CMT55" s="15"/>
      <c r="CMU55" s="15"/>
      <c r="CMV55" s="15"/>
      <c r="CMW55" s="15"/>
      <c r="CMX55" s="15"/>
      <c r="CMY55" s="15"/>
      <c r="CMZ55" s="15"/>
      <c r="CNA55" s="15"/>
      <c r="CNB55" s="15"/>
      <c r="CNC55" s="15"/>
      <c r="CND55" s="15"/>
      <c r="CNE55" s="15"/>
      <c r="CNF55" s="15"/>
      <c r="CNG55" s="15"/>
      <c r="CNH55" s="15"/>
      <c r="CNI55" s="15"/>
      <c r="CNJ55" s="15"/>
      <c r="CNK55" s="15"/>
      <c r="CNL55" s="15"/>
      <c r="CNM55" s="15"/>
      <c r="CNN55" s="15"/>
      <c r="CNO55" s="15"/>
      <c r="CNP55" s="15"/>
      <c r="CNQ55" s="15"/>
      <c r="CNR55" s="15"/>
      <c r="CNS55" s="15"/>
      <c r="CNT55" s="15"/>
      <c r="CNU55" s="15"/>
      <c r="CNV55" s="15"/>
      <c r="CNW55" s="15"/>
      <c r="CNX55" s="15"/>
      <c r="CNY55" s="15"/>
      <c r="CNZ55" s="15"/>
      <c r="COA55" s="15"/>
      <c r="COB55" s="15"/>
      <c r="COC55" s="15"/>
      <c r="COD55" s="15"/>
      <c r="COE55" s="15"/>
      <c r="COF55" s="15"/>
      <c r="COG55" s="15"/>
      <c r="COH55" s="15"/>
      <c r="COI55" s="15"/>
      <c r="COJ55" s="15"/>
      <c r="COK55" s="15"/>
      <c r="COL55" s="15"/>
      <c r="COM55" s="15"/>
      <c r="CON55" s="15"/>
      <c r="COO55" s="15"/>
      <c r="COP55" s="15"/>
      <c r="COQ55" s="15"/>
      <c r="COR55" s="15"/>
      <c r="COS55" s="15"/>
      <c r="COT55" s="15"/>
      <c r="COU55" s="15"/>
      <c r="COV55" s="15"/>
      <c r="COW55" s="15"/>
      <c r="COX55" s="15"/>
      <c r="COY55" s="15"/>
      <c r="COZ55" s="15"/>
      <c r="CPA55" s="15"/>
      <c r="CPB55" s="15"/>
      <c r="CPC55" s="15"/>
      <c r="CPD55" s="15"/>
      <c r="CPE55" s="15"/>
      <c r="CPF55" s="15"/>
      <c r="CPG55" s="15"/>
      <c r="CPH55" s="15"/>
      <c r="CPI55" s="15"/>
      <c r="CPJ55" s="15"/>
      <c r="CPK55" s="15"/>
      <c r="CPL55" s="15"/>
      <c r="CPM55" s="15"/>
      <c r="CPN55" s="15"/>
      <c r="CPO55" s="15"/>
      <c r="CPP55" s="15"/>
      <c r="CPQ55" s="15"/>
      <c r="CPR55" s="15"/>
      <c r="CPS55" s="15"/>
      <c r="CPT55" s="15"/>
      <c r="CPU55" s="15"/>
      <c r="CPV55" s="15"/>
      <c r="CPW55" s="15"/>
      <c r="CPX55" s="15"/>
      <c r="CPY55" s="15"/>
      <c r="CPZ55" s="15"/>
      <c r="CQA55" s="15"/>
      <c r="CQB55" s="15"/>
      <c r="CQC55" s="15"/>
      <c r="CQD55" s="15"/>
      <c r="CQE55" s="15"/>
      <c r="CQF55" s="15"/>
      <c r="CQG55" s="15"/>
      <c r="CQH55" s="15"/>
      <c r="CQI55" s="15"/>
      <c r="CQJ55" s="15"/>
      <c r="CQK55" s="15"/>
      <c r="CQL55" s="15"/>
      <c r="CQM55" s="15"/>
      <c r="CQN55" s="15"/>
      <c r="CQO55" s="15"/>
      <c r="CQP55" s="15"/>
      <c r="CQQ55" s="15"/>
      <c r="CQR55" s="15"/>
      <c r="CQS55" s="15"/>
      <c r="CQT55" s="15"/>
      <c r="CQU55" s="15"/>
      <c r="CQV55" s="15"/>
      <c r="CQW55" s="15"/>
      <c r="CQX55" s="15"/>
      <c r="CQY55" s="15"/>
      <c r="CQZ55" s="15"/>
      <c r="CRA55" s="15"/>
      <c r="CRB55" s="15"/>
      <c r="CRC55" s="15"/>
      <c r="CRD55" s="15"/>
      <c r="CRE55" s="15"/>
      <c r="CRF55" s="15"/>
      <c r="CRG55" s="15"/>
      <c r="CRH55" s="15"/>
      <c r="CRI55" s="15"/>
      <c r="CRJ55" s="15"/>
      <c r="CRK55" s="15"/>
      <c r="CRL55" s="15"/>
      <c r="CRM55" s="15"/>
      <c r="CRN55" s="15"/>
      <c r="CRO55" s="15"/>
      <c r="CRP55" s="15"/>
      <c r="CRQ55" s="15"/>
      <c r="CRR55" s="15"/>
      <c r="CRS55" s="15"/>
      <c r="CRT55" s="15"/>
      <c r="CRU55" s="15"/>
      <c r="CRV55" s="15"/>
      <c r="CRW55" s="15"/>
      <c r="CRX55" s="15"/>
      <c r="CRY55" s="15"/>
      <c r="CRZ55" s="15"/>
      <c r="CSA55" s="15"/>
      <c r="CSB55" s="15"/>
      <c r="CSC55" s="15"/>
      <c r="CSD55" s="15"/>
      <c r="CSE55" s="15"/>
      <c r="CSF55" s="15"/>
      <c r="CSG55" s="15"/>
      <c r="CSH55" s="15"/>
      <c r="CSI55" s="15"/>
      <c r="CSJ55" s="15"/>
      <c r="CSK55" s="15"/>
      <c r="CSL55" s="15"/>
      <c r="CSM55" s="15"/>
      <c r="CSN55" s="15"/>
      <c r="CSO55" s="15"/>
      <c r="CSP55" s="15"/>
      <c r="CSQ55" s="15"/>
      <c r="CSR55" s="15"/>
      <c r="CSS55" s="15"/>
      <c r="CST55" s="15"/>
      <c r="CSU55" s="15"/>
      <c r="CSV55" s="15"/>
      <c r="CSW55" s="15"/>
      <c r="CSX55" s="15"/>
      <c r="CSY55" s="15"/>
      <c r="CSZ55" s="15"/>
      <c r="CTA55" s="15"/>
      <c r="CTB55" s="15"/>
      <c r="CTC55" s="15"/>
      <c r="CTD55" s="15"/>
      <c r="CTE55" s="15"/>
      <c r="CTF55" s="15"/>
      <c r="CTG55" s="15"/>
      <c r="CTH55" s="15"/>
      <c r="CTI55" s="15"/>
      <c r="CTJ55" s="15"/>
      <c r="CTK55" s="15"/>
      <c r="CTL55" s="15"/>
      <c r="CTM55" s="15"/>
      <c r="CTN55" s="15"/>
      <c r="CTO55" s="15"/>
      <c r="CTP55" s="15"/>
      <c r="CTQ55" s="15"/>
      <c r="CTR55" s="15"/>
      <c r="CTS55" s="15"/>
      <c r="CTT55" s="15"/>
      <c r="CTU55" s="15"/>
      <c r="CTV55" s="15"/>
      <c r="CTW55" s="15"/>
      <c r="CTX55" s="15"/>
      <c r="CTY55" s="15"/>
      <c r="CTZ55" s="15"/>
      <c r="CUA55" s="15"/>
      <c r="CUB55" s="15"/>
      <c r="CUC55" s="15"/>
      <c r="CUD55" s="15"/>
      <c r="CUE55" s="15"/>
      <c r="CUF55" s="15"/>
      <c r="CUG55" s="15"/>
      <c r="CUH55" s="15"/>
      <c r="CUI55" s="15"/>
      <c r="CUJ55" s="15"/>
      <c r="CUK55" s="15"/>
      <c r="CUL55" s="15"/>
      <c r="CUM55" s="15"/>
      <c r="CUN55" s="15"/>
      <c r="CUO55" s="15"/>
      <c r="CUP55" s="15"/>
      <c r="CUQ55" s="15"/>
      <c r="CUR55" s="15"/>
      <c r="CUS55" s="15"/>
      <c r="CUT55" s="15"/>
      <c r="CUU55" s="15"/>
      <c r="CUV55" s="15"/>
      <c r="CUW55" s="15"/>
      <c r="CUX55" s="15"/>
      <c r="CUY55" s="15"/>
      <c r="CUZ55" s="15"/>
      <c r="CVA55" s="15"/>
      <c r="CVB55" s="15"/>
      <c r="CVC55" s="15"/>
      <c r="CVD55" s="15"/>
      <c r="CVE55" s="15"/>
      <c r="CVF55" s="15"/>
      <c r="CVG55" s="15"/>
      <c r="CVH55" s="15"/>
      <c r="CVI55" s="15"/>
      <c r="CVJ55" s="15"/>
      <c r="CVK55" s="15"/>
      <c r="CVL55" s="15"/>
      <c r="CVM55" s="15"/>
      <c r="CVN55" s="15"/>
      <c r="CVO55" s="15"/>
      <c r="CVP55" s="15"/>
      <c r="CVQ55" s="15"/>
      <c r="CVR55" s="15"/>
      <c r="CVS55" s="15"/>
      <c r="CVT55" s="15"/>
      <c r="CVU55" s="15"/>
      <c r="CVV55" s="15"/>
      <c r="CVW55" s="15"/>
      <c r="CVX55" s="15"/>
      <c r="CVY55" s="15"/>
      <c r="CVZ55" s="15"/>
      <c r="CWA55" s="15"/>
      <c r="CWB55" s="15"/>
      <c r="CWC55" s="15"/>
      <c r="CWD55" s="15"/>
      <c r="CWE55" s="15"/>
      <c r="CWF55" s="15"/>
      <c r="CWG55" s="15"/>
      <c r="CWH55" s="15"/>
      <c r="CWI55" s="15"/>
      <c r="CWJ55" s="15"/>
      <c r="CWK55" s="15"/>
      <c r="CWL55" s="15"/>
      <c r="CWM55" s="15"/>
      <c r="CWN55" s="15"/>
      <c r="CWO55" s="15"/>
      <c r="CWP55" s="15"/>
      <c r="CWQ55" s="15"/>
      <c r="CWR55" s="15"/>
      <c r="CWS55" s="15"/>
      <c r="CWT55" s="15"/>
      <c r="CWU55" s="15"/>
      <c r="CWV55" s="15"/>
      <c r="CWW55" s="15"/>
      <c r="CWX55" s="15"/>
      <c r="CWY55" s="15"/>
      <c r="CWZ55" s="15"/>
      <c r="CXA55" s="15"/>
      <c r="CXB55" s="15"/>
      <c r="CXC55" s="15"/>
      <c r="CXD55" s="15"/>
      <c r="CXE55" s="15"/>
      <c r="CXF55" s="15"/>
      <c r="CXG55" s="15"/>
      <c r="CXH55" s="15"/>
      <c r="CXI55" s="15"/>
      <c r="CXJ55" s="15"/>
      <c r="CXK55" s="15"/>
      <c r="CXL55" s="15"/>
      <c r="CXM55" s="15"/>
      <c r="CXN55" s="15"/>
      <c r="CXO55" s="15"/>
      <c r="CXP55" s="15"/>
      <c r="CXQ55" s="15"/>
      <c r="CXR55" s="15"/>
      <c r="CXS55" s="15"/>
      <c r="CXT55" s="15"/>
      <c r="CXU55" s="15"/>
      <c r="CXV55" s="15"/>
      <c r="CXW55" s="15"/>
      <c r="CXX55" s="15"/>
      <c r="CXY55" s="15"/>
      <c r="CXZ55" s="15"/>
      <c r="CYA55" s="15"/>
      <c r="CYB55" s="15"/>
      <c r="CYC55" s="15"/>
      <c r="CYD55" s="15"/>
      <c r="CYE55" s="15"/>
      <c r="CYF55" s="15"/>
      <c r="CYG55" s="15"/>
      <c r="CYH55" s="15"/>
      <c r="CYI55" s="15"/>
      <c r="CYJ55" s="15"/>
      <c r="CYK55" s="15"/>
      <c r="CYL55" s="15"/>
      <c r="CYM55" s="15"/>
      <c r="CYN55" s="15"/>
      <c r="CYO55" s="15"/>
      <c r="CYP55" s="15"/>
      <c r="CYQ55" s="15"/>
      <c r="CYR55" s="15"/>
      <c r="CYS55" s="15"/>
      <c r="CYT55" s="15"/>
      <c r="CYU55" s="15"/>
      <c r="CYV55" s="15"/>
      <c r="CYW55" s="15"/>
      <c r="CYX55" s="15"/>
      <c r="CYY55" s="15"/>
      <c r="CYZ55" s="15"/>
      <c r="CZA55" s="15"/>
      <c r="CZB55" s="15"/>
      <c r="CZC55" s="15"/>
      <c r="CZD55" s="15"/>
      <c r="CZE55" s="15"/>
      <c r="CZF55" s="15"/>
      <c r="CZG55" s="15"/>
      <c r="CZH55" s="15"/>
      <c r="CZI55" s="15"/>
      <c r="CZJ55" s="15"/>
      <c r="CZK55" s="15"/>
      <c r="CZL55" s="15"/>
      <c r="CZM55" s="15"/>
      <c r="CZN55" s="15"/>
      <c r="CZO55" s="15"/>
      <c r="CZP55" s="15"/>
      <c r="CZQ55" s="15"/>
      <c r="CZR55" s="15"/>
      <c r="CZS55" s="15"/>
      <c r="CZT55" s="15"/>
      <c r="CZU55" s="15"/>
      <c r="CZV55" s="15"/>
      <c r="CZW55" s="15"/>
      <c r="CZX55" s="15"/>
      <c r="CZY55" s="15"/>
      <c r="CZZ55" s="15"/>
      <c r="DAA55" s="15"/>
      <c r="DAB55" s="15"/>
      <c r="DAC55" s="15"/>
      <c r="DAD55" s="15"/>
      <c r="DAE55" s="15"/>
      <c r="DAF55" s="15"/>
      <c r="DAG55" s="15"/>
      <c r="DAH55" s="15"/>
      <c r="DAI55" s="15"/>
      <c r="DAJ55" s="15"/>
      <c r="DAK55" s="15"/>
      <c r="DAL55" s="15"/>
      <c r="DAM55" s="15"/>
      <c r="DAN55" s="15"/>
      <c r="DAO55" s="15"/>
      <c r="DAP55" s="15"/>
      <c r="DAQ55" s="15"/>
      <c r="DAR55" s="15"/>
      <c r="DAS55" s="15"/>
      <c r="DAT55" s="15"/>
      <c r="DAU55" s="15"/>
      <c r="DAV55" s="15"/>
      <c r="DAW55" s="15"/>
      <c r="DAX55" s="15"/>
      <c r="DAY55" s="15"/>
      <c r="DAZ55" s="15"/>
      <c r="DBA55" s="15"/>
      <c r="DBB55" s="15"/>
      <c r="DBC55" s="15"/>
      <c r="DBD55" s="15"/>
      <c r="DBE55" s="15"/>
      <c r="DBF55" s="15"/>
      <c r="DBG55" s="15"/>
      <c r="DBH55" s="15"/>
      <c r="DBI55" s="15"/>
      <c r="DBJ55" s="15"/>
      <c r="DBK55" s="15"/>
      <c r="DBL55" s="15"/>
      <c r="DBM55" s="15"/>
      <c r="DBN55" s="15"/>
      <c r="DBO55" s="15"/>
      <c r="DBP55" s="15"/>
      <c r="DBQ55" s="15"/>
      <c r="DBR55" s="15"/>
      <c r="DBS55" s="15"/>
      <c r="DBT55" s="15"/>
      <c r="DBU55" s="15"/>
      <c r="DBV55" s="15"/>
      <c r="DBW55" s="15"/>
      <c r="DBX55" s="15"/>
      <c r="DBY55" s="15"/>
      <c r="DBZ55" s="15"/>
      <c r="DCA55" s="15"/>
      <c r="DCB55" s="15"/>
      <c r="DCC55" s="15"/>
      <c r="DCD55" s="15"/>
      <c r="DCE55" s="15"/>
      <c r="DCF55" s="15"/>
      <c r="DCG55" s="15"/>
      <c r="DCH55" s="15"/>
      <c r="DCI55" s="15"/>
      <c r="DCJ55" s="15"/>
      <c r="DCK55" s="15"/>
      <c r="DCL55" s="15"/>
      <c r="DCM55" s="15"/>
      <c r="DCN55" s="15"/>
      <c r="DCO55" s="15"/>
      <c r="DCP55" s="15"/>
      <c r="DCQ55" s="15"/>
      <c r="DCR55" s="15"/>
      <c r="DCS55" s="15"/>
      <c r="DCT55" s="15"/>
      <c r="DCU55" s="15"/>
      <c r="DCV55" s="15"/>
      <c r="DCW55" s="15"/>
      <c r="DCX55" s="15"/>
      <c r="DCY55" s="15"/>
      <c r="DCZ55" s="15"/>
      <c r="DDA55" s="15"/>
      <c r="DDB55" s="15"/>
      <c r="DDC55" s="15"/>
      <c r="DDD55" s="15"/>
      <c r="DDE55" s="15"/>
      <c r="DDF55" s="15"/>
      <c r="DDG55" s="15"/>
      <c r="DDH55" s="15"/>
      <c r="DDI55" s="15"/>
      <c r="DDJ55" s="15"/>
      <c r="DDK55" s="15"/>
      <c r="DDL55" s="15"/>
      <c r="DDM55" s="15"/>
      <c r="DDN55" s="15"/>
      <c r="DDO55" s="15"/>
      <c r="DDP55" s="15"/>
      <c r="DDQ55" s="15"/>
      <c r="DDR55" s="15"/>
      <c r="DDS55" s="15"/>
      <c r="DDT55" s="15"/>
      <c r="DDU55" s="15"/>
      <c r="DDV55" s="15"/>
      <c r="DDW55" s="15"/>
      <c r="DDX55" s="15"/>
      <c r="DDY55" s="15"/>
      <c r="DDZ55" s="15"/>
      <c r="DEA55" s="15"/>
      <c r="DEB55" s="15"/>
      <c r="DEC55" s="15"/>
      <c r="DED55" s="15"/>
      <c r="DEE55" s="15"/>
      <c r="DEF55" s="15"/>
      <c r="DEG55" s="15"/>
      <c r="DEH55" s="15"/>
      <c r="DEI55" s="15"/>
      <c r="DEJ55" s="15"/>
      <c r="DEK55" s="15"/>
      <c r="DEL55" s="15"/>
      <c r="DEM55" s="15"/>
      <c r="DEN55" s="15"/>
      <c r="DEO55" s="15"/>
      <c r="DEP55" s="15"/>
      <c r="DEQ55" s="15"/>
      <c r="DER55" s="15"/>
      <c r="DES55" s="15"/>
      <c r="DET55" s="15"/>
      <c r="DEU55" s="15"/>
      <c r="DEV55" s="15"/>
      <c r="DEW55" s="15"/>
      <c r="DEX55" s="15"/>
      <c r="DEY55" s="15"/>
      <c r="DEZ55" s="15"/>
      <c r="DFA55" s="15"/>
      <c r="DFB55" s="15"/>
      <c r="DFC55" s="15"/>
      <c r="DFD55" s="15"/>
      <c r="DFE55" s="15"/>
      <c r="DFF55" s="15"/>
      <c r="DFG55" s="15"/>
      <c r="DFH55" s="15"/>
      <c r="DFI55" s="15"/>
      <c r="DFJ55" s="15"/>
      <c r="DFK55" s="15"/>
      <c r="DFL55" s="15"/>
      <c r="DFM55" s="15"/>
      <c r="DFN55" s="15"/>
      <c r="DFO55" s="15"/>
      <c r="DFP55" s="15"/>
      <c r="DFQ55" s="15"/>
      <c r="DFR55" s="15"/>
      <c r="DFS55" s="15"/>
      <c r="DFT55" s="15"/>
      <c r="DFU55" s="15"/>
      <c r="DFV55" s="15"/>
      <c r="DFW55" s="15"/>
      <c r="DFX55" s="15"/>
      <c r="DFY55" s="15"/>
      <c r="DFZ55" s="15"/>
      <c r="DGA55" s="15"/>
      <c r="DGB55" s="15"/>
      <c r="DGC55" s="15"/>
      <c r="DGD55" s="15"/>
      <c r="DGE55" s="15"/>
      <c r="DGF55" s="15"/>
      <c r="DGG55" s="15"/>
      <c r="DGH55" s="15"/>
      <c r="DGI55" s="15"/>
      <c r="DGJ55" s="15"/>
      <c r="DGK55" s="15"/>
      <c r="DGL55" s="15"/>
      <c r="DGM55" s="15"/>
      <c r="DGN55" s="15"/>
      <c r="DGO55" s="15"/>
      <c r="DGP55" s="15"/>
      <c r="DGQ55" s="15"/>
      <c r="DGR55" s="15"/>
      <c r="DGS55" s="15"/>
      <c r="DGT55" s="15"/>
      <c r="DGU55" s="15"/>
      <c r="DGV55" s="15"/>
      <c r="DGW55" s="15"/>
      <c r="DGX55" s="15"/>
      <c r="DGY55" s="15"/>
      <c r="DGZ55" s="15"/>
      <c r="DHA55" s="15"/>
      <c r="DHB55" s="15"/>
      <c r="DHC55" s="15"/>
      <c r="DHD55" s="15"/>
      <c r="DHE55" s="15"/>
      <c r="DHF55" s="15"/>
      <c r="DHG55" s="15"/>
      <c r="DHH55" s="15"/>
      <c r="DHI55" s="15"/>
      <c r="DHJ55" s="15"/>
      <c r="DHK55" s="15"/>
      <c r="DHL55" s="15"/>
      <c r="DHM55" s="15"/>
      <c r="DHN55" s="15"/>
      <c r="DHO55" s="15"/>
      <c r="DHP55" s="15"/>
      <c r="DHQ55" s="15"/>
      <c r="DHR55" s="15"/>
      <c r="DHS55" s="15"/>
      <c r="DHT55" s="15"/>
      <c r="DHU55" s="15"/>
      <c r="DHV55" s="15"/>
      <c r="DHW55" s="15"/>
      <c r="DHX55" s="15"/>
      <c r="DHY55" s="15"/>
      <c r="DHZ55" s="15"/>
      <c r="DIA55" s="15"/>
      <c r="DIB55" s="15"/>
      <c r="DIC55" s="15"/>
      <c r="DID55" s="15"/>
      <c r="DIE55" s="15"/>
      <c r="DIF55" s="15"/>
      <c r="DIG55" s="15"/>
      <c r="DIH55" s="15"/>
      <c r="DII55" s="15"/>
      <c r="DIJ55" s="15"/>
      <c r="DIK55" s="15"/>
      <c r="DIL55" s="15"/>
      <c r="DIM55" s="15"/>
      <c r="DIN55" s="15"/>
      <c r="DIO55" s="15"/>
      <c r="DIP55" s="15"/>
      <c r="DIQ55" s="15"/>
      <c r="DIR55" s="15"/>
      <c r="DIS55" s="15"/>
      <c r="DIT55" s="15"/>
      <c r="DIU55" s="15"/>
      <c r="DIV55" s="15"/>
      <c r="DIW55" s="15"/>
      <c r="DIX55" s="15"/>
      <c r="DIY55" s="15"/>
      <c r="DIZ55" s="15"/>
      <c r="DJA55" s="15"/>
      <c r="DJB55" s="15"/>
      <c r="DJC55" s="15"/>
      <c r="DJD55" s="15"/>
      <c r="DJE55" s="15"/>
      <c r="DJF55" s="15"/>
      <c r="DJG55" s="15"/>
      <c r="DJH55" s="15"/>
      <c r="DJI55" s="15"/>
      <c r="DJJ55" s="15"/>
      <c r="DJK55" s="15"/>
      <c r="DJL55" s="15"/>
      <c r="DJM55" s="15"/>
      <c r="DJN55" s="15"/>
      <c r="DJO55" s="15"/>
      <c r="DJP55" s="15"/>
      <c r="DJQ55" s="15"/>
      <c r="DJR55" s="15"/>
      <c r="DJS55" s="15"/>
      <c r="DJT55" s="15"/>
      <c r="DJU55" s="15"/>
      <c r="DJV55" s="15"/>
      <c r="DJW55" s="15"/>
      <c r="DJX55" s="15"/>
      <c r="DJY55" s="15"/>
      <c r="DJZ55" s="15"/>
      <c r="DKA55" s="15"/>
      <c r="DKB55" s="15"/>
      <c r="DKC55" s="15"/>
      <c r="DKD55" s="15"/>
      <c r="DKE55" s="15"/>
      <c r="DKF55" s="15"/>
      <c r="DKG55" s="15"/>
      <c r="DKH55" s="15"/>
      <c r="DKI55" s="15"/>
      <c r="DKJ55" s="15"/>
      <c r="DKK55" s="15"/>
      <c r="DKL55" s="15"/>
      <c r="DKM55" s="15"/>
      <c r="DKN55" s="15"/>
      <c r="DKO55" s="15"/>
      <c r="DKP55" s="15"/>
      <c r="DKQ55" s="15"/>
      <c r="DKR55" s="15"/>
      <c r="DKS55" s="15"/>
      <c r="DKT55" s="15"/>
      <c r="DKU55" s="15"/>
      <c r="DKV55" s="15"/>
      <c r="DKW55" s="15"/>
      <c r="DKX55" s="15"/>
      <c r="DKY55" s="15"/>
      <c r="DKZ55" s="15"/>
      <c r="DLA55" s="15"/>
      <c r="DLB55" s="15"/>
      <c r="DLC55" s="15"/>
      <c r="DLD55" s="15"/>
      <c r="DLE55" s="15"/>
      <c r="DLF55" s="15"/>
      <c r="DLG55" s="15"/>
      <c r="DLH55" s="15"/>
      <c r="DLI55" s="15"/>
      <c r="DLJ55" s="15"/>
      <c r="DLK55" s="15"/>
      <c r="DLL55" s="15"/>
      <c r="DLM55" s="15"/>
      <c r="DLN55" s="15"/>
      <c r="DLO55" s="15"/>
      <c r="DLP55" s="15"/>
      <c r="DLQ55" s="15"/>
      <c r="DLR55" s="15"/>
      <c r="DLS55" s="15"/>
      <c r="DLT55" s="15"/>
      <c r="DLU55" s="15"/>
      <c r="DLV55" s="15"/>
      <c r="DLW55" s="15"/>
      <c r="DLX55" s="15"/>
      <c r="DLY55" s="15"/>
      <c r="DLZ55" s="15"/>
      <c r="DMA55" s="15"/>
      <c r="DMB55" s="15"/>
      <c r="DMC55" s="15"/>
      <c r="DMD55" s="15"/>
      <c r="DME55" s="15"/>
      <c r="DMF55" s="15"/>
      <c r="DMG55" s="15"/>
      <c r="DMH55" s="15"/>
      <c r="DMI55" s="15"/>
      <c r="DMJ55" s="15"/>
      <c r="DMK55" s="15"/>
      <c r="DML55" s="15"/>
      <c r="DMM55" s="15"/>
      <c r="DMN55" s="15"/>
      <c r="DMO55" s="15"/>
      <c r="DMP55" s="15"/>
      <c r="DMQ55" s="15"/>
      <c r="DMR55" s="15"/>
      <c r="DMS55" s="15"/>
      <c r="DMT55" s="15"/>
      <c r="DMU55" s="15"/>
      <c r="DMV55" s="15"/>
      <c r="DMW55" s="15"/>
      <c r="DMX55" s="15"/>
      <c r="DMY55" s="15"/>
      <c r="DMZ55" s="15"/>
      <c r="DNA55" s="15"/>
      <c r="DNB55" s="15"/>
      <c r="DNC55" s="15"/>
      <c r="DND55" s="15"/>
      <c r="DNE55" s="15"/>
      <c r="DNF55" s="15"/>
      <c r="DNG55" s="15"/>
      <c r="DNH55" s="15"/>
      <c r="DNI55" s="15"/>
      <c r="DNJ55" s="15"/>
      <c r="DNK55" s="15"/>
      <c r="DNL55" s="15"/>
      <c r="DNM55" s="15"/>
      <c r="DNN55" s="15"/>
      <c r="DNO55" s="15"/>
      <c r="DNP55" s="15"/>
      <c r="DNQ55" s="15"/>
      <c r="DNR55" s="15"/>
      <c r="DNS55" s="15"/>
      <c r="DNT55" s="15"/>
      <c r="DNU55" s="15"/>
      <c r="DNV55" s="15"/>
      <c r="DNW55" s="15"/>
      <c r="DNX55" s="15"/>
      <c r="DNY55" s="15"/>
      <c r="DNZ55" s="15"/>
      <c r="DOA55" s="15"/>
      <c r="DOB55" s="15"/>
      <c r="DOC55" s="15"/>
      <c r="DOD55" s="15"/>
      <c r="DOE55" s="15"/>
      <c r="DOF55" s="15"/>
      <c r="DOG55" s="15"/>
      <c r="DOH55" s="15"/>
      <c r="DOI55" s="15"/>
      <c r="DOJ55" s="15"/>
      <c r="DOK55" s="15"/>
      <c r="DOL55" s="15"/>
      <c r="DOM55" s="15"/>
      <c r="DON55" s="15"/>
      <c r="DOO55" s="15"/>
      <c r="DOP55" s="15"/>
      <c r="DOQ55" s="15"/>
      <c r="DOR55" s="15"/>
      <c r="DOS55" s="15"/>
      <c r="DOT55" s="15"/>
      <c r="DOU55" s="15"/>
      <c r="DOV55" s="15"/>
      <c r="DOW55" s="15"/>
      <c r="DOX55" s="15"/>
      <c r="DOY55" s="15"/>
      <c r="DOZ55" s="15"/>
      <c r="DPA55" s="15"/>
      <c r="DPB55" s="15"/>
      <c r="DPC55" s="15"/>
      <c r="DPD55" s="15"/>
      <c r="DPE55" s="15"/>
      <c r="DPF55" s="15"/>
      <c r="DPG55" s="15"/>
      <c r="DPH55" s="15"/>
      <c r="DPI55" s="15"/>
      <c r="DPJ55" s="15"/>
      <c r="DPK55" s="15"/>
      <c r="DPL55" s="15"/>
      <c r="DPM55" s="15"/>
      <c r="DPN55" s="15"/>
      <c r="DPO55" s="15"/>
      <c r="DPP55" s="15"/>
      <c r="DPQ55" s="15"/>
      <c r="DPR55" s="15"/>
      <c r="DPS55" s="15"/>
      <c r="DPT55" s="15"/>
      <c r="DPU55" s="15"/>
      <c r="DPV55" s="15"/>
      <c r="DPW55" s="15"/>
      <c r="DPX55" s="15"/>
      <c r="DPY55" s="15"/>
      <c r="DPZ55" s="15"/>
      <c r="DQA55" s="15"/>
      <c r="DQB55" s="15"/>
      <c r="DQC55" s="15"/>
      <c r="DQD55" s="15"/>
      <c r="DQE55" s="15"/>
      <c r="DQF55" s="15"/>
      <c r="DQG55" s="15"/>
      <c r="DQH55" s="15"/>
      <c r="DQI55" s="15"/>
      <c r="DQJ55" s="15"/>
      <c r="DQK55" s="15"/>
      <c r="DQL55" s="15"/>
      <c r="DQM55" s="15"/>
      <c r="DQN55" s="15"/>
      <c r="DQO55" s="15"/>
      <c r="DQP55" s="15"/>
      <c r="DQQ55" s="15"/>
      <c r="DQR55" s="15"/>
      <c r="DQS55" s="15"/>
      <c r="DQT55" s="15"/>
      <c r="DQU55" s="15"/>
      <c r="DQV55" s="15"/>
      <c r="DQW55" s="15"/>
      <c r="DQX55" s="15"/>
      <c r="DQY55" s="15"/>
      <c r="DQZ55" s="15"/>
      <c r="DRA55" s="15"/>
      <c r="DRB55" s="15"/>
      <c r="DRC55" s="15"/>
      <c r="DRD55" s="15"/>
      <c r="DRE55" s="15"/>
      <c r="DRF55" s="15"/>
      <c r="DRG55" s="15"/>
      <c r="DRH55" s="15"/>
      <c r="DRI55" s="15"/>
      <c r="DRJ55" s="15"/>
      <c r="DRK55" s="15"/>
      <c r="DRL55" s="15"/>
      <c r="DRM55" s="15"/>
      <c r="DRN55" s="15"/>
      <c r="DRO55" s="15"/>
      <c r="DRP55" s="15"/>
      <c r="DRQ55" s="15"/>
      <c r="DRR55" s="15"/>
      <c r="DRS55" s="15"/>
      <c r="DRT55" s="15"/>
      <c r="DRU55" s="15"/>
      <c r="DRV55" s="15"/>
      <c r="DRW55" s="15"/>
      <c r="DRX55" s="15"/>
      <c r="DRY55" s="15"/>
      <c r="DRZ55" s="15"/>
      <c r="DSA55" s="15"/>
      <c r="DSB55" s="15"/>
      <c r="DSC55" s="15"/>
      <c r="DSD55" s="15"/>
      <c r="DSE55" s="15"/>
      <c r="DSF55" s="15"/>
      <c r="DSG55" s="15"/>
      <c r="DSH55" s="15"/>
      <c r="DSI55" s="15"/>
      <c r="DSJ55" s="15"/>
      <c r="DSK55" s="15"/>
      <c r="DSL55" s="15"/>
      <c r="DSM55" s="15"/>
      <c r="DSN55" s="15"/>
      <c r="DSO55" s="15"/>
      <c r="DSP55" s="15"/>
      <c r="DSQ55" s="15"/>
      <c r="DSR55" s="15"/>
      <c r="DSS55" s="15"/>
      <c r="DST55" s="15"/>
      <c r="DSU55" s="15"/>
      <c r="DSV55" s="15"/>
      <c r="DSW55" s="15"/>
      <c r="DSX55" s="15"/>
      <c r="DSY55" s="15"/>
      <c r="DSZ55" s="15"/>
      <c r="DTA55" s="15"/>
      <c r="DTB55" s="15"/>
      <c r="DTC55" s="15"/>
      <c r="DTD55" s="15"/>
      <c r="DTE55" s="15"/>
      <c r="DTF55" s="15"/>
      <c r="DTG55" s="15"/>
      <c r="DTH55" s="15"/>
      <c r="DTI55" s="15"/>
      <c r="DTJ55" s="15"/>
      <c r="DTK55" s="15"/>
      <c r="DTL55" s="15"/>
      <c r="DTM55" s="15"/>
      <c r="DTN55" s="15"/>
      <c r="DTO55" s="15"/>
      <c r="DTP55" s="15"/>
      <c r="DTQ55" s="15"/>
      <c r="DTR55" s="15"/>
      <c r="DTS55" s="15"/>
      <c r="DTT55" s="15"/>
      <c r="DTU55" s="15"/>
      <c r="DTV55" s="15"/>
      <c r="DTW55" s="15"/>
      <c r="DTX55" s="15"/>
      <c r="DTY55" s="15"/>
      <c r="DTZ55" s="15"/>
      <c r="DUA55" s="15"/>
      <c r="DUB55" s="15"/>
      <c r="DUC55" s="15"/>
      <c r="DUD55" s="15"/>
      <c r="DUE55" s="15"/>
      <c r="DUF55" s="15"/>
      <c r="DUG55" s="15"/>
      <c r="DUH55" s="15"/>
      <c r="DUI55" s="15"/>
      <c r="DUJ55" s="15"/>
      <c r="DUK55" s="15"/>
      <c r="DUL55" s="15"/>
      <c r="DUM55" s="15"/>
      <c r="DUN55" s="15"/>
      <c r="DUO55" s="15"/>
      <c r="DUP55" s="15"/>
      <c r="DUQ55" s="15"/>
      <c r="DUR55" s="15"/>
      <c r="DUS55" s="15"/>
      <c r="DUT55" s="15"/>
      <c r="DUU55" s="15"/>
      <c r="DUV55" s="15"/>
      <c r="DUW55" s="15"/>
      <c r="DUX55" s="15"/>
      <c r="DUY55" s="15"/>
      <c r="DUZ55" s="15"/>
      <c r="DVA55" s="15"/>
      <c r="DVB55" s="15"/>
      <c r="DVC55" s="15"/>
      <c r="DVD55" s="15"/>
      <c r="DVE55" s="15"/>
      <c r="DVF55" s="15"/>
      <c r="DVG55" s="15"/>
      <c r="DVH55" s="15"/>
      <c r="DVI55" s="15"/>
      <c r="DVJ55" s="15"/>
      <c r="DVK55" s="15"/>
      <c r="DVL55" s="15"/>
      <c r="DVM55" s="15"/>
      <c r="DVN55" s="15"/>
      <c r="DVO55" s="15"/>
      <c r="DVP55" s="15"/>
      <c r="DVQ55" s="15"/>
      <c r="DVR55" s="15"/>
      <c r="DVS55" s="15"/>
      <c r="DVT55" s="15"/>
      <c r="DVU55" s="15"/>
      <c r="DVV55" s="15"/>
      <c r="DVW55" s="15"/>
      <c r="DVX55" s="15"/>
      <c r="DVY55" s="15"/>
      <c r="DVZ55" s="15"/>
      <c r="DWA55" s="15"/>
      <c r="DWB55" s="15"/>
      <c r="DWC55" s="15"/>
      <c r="DWD55" s="15"/>
      <c r="DWE55" s="15"/>
      <c r="DWF55" s="15"/>
      <c r="DWG55" s="15"/>
      <c r="DWH55" s="15"/>
      <c r="DWI55" s="15"/>
      <c r="DWJ55" s="15"/>
      <c r="DWK55" s="15"/>
      <c r="DWL55" s="15"/>
      <c r="DWM55" s="15"/>
      <c r="DWN55" s="15"/>
      <c r="DWO55" s="15"/>
      <c r="DWP55" s="15"/>
      <c r="DWQ55" s="15"/>
      <c r="DWR55" s="15"/>
      <c r="DWS55" s="15"/>
      <c r="DWT55" s="15"/>
      <c r="DWU55" s="15"/>
      <c r="DWV55" s="15"/>
      <c r="DWW55" s="15"/>
      <c r="DWX55" s="15"/>
      <c r="DWY55" s="15"/>
      <c r="DWZ55" s="15"/>
      <c r="DXA55" s="15"/>
      <c r="DXB55" s="15"/>
      <c r="DXC55" s="15"/>
      <c r="DXD55" s="15"/>
      <c r="DXE55" s="15"/>
      <c r="DXF55" s="15"/>
      <c r="DXG55" s="15"/>
      <c r="DXH55" s="15"/>
      <c r="DXI55" s="15"/>
      <c r="DXJ55" s="15"/>
      <c r="DXK55" s="15"/>
      <c r="DXL55" s="15"/>
      <c r="DXM55" s="15"/>
      <c r="DXN55" s="15"/>
      <c r="DXO55" s="15"/>
      <c r="DXP55" s="15"/>
      <c r="DXQ55" s="15"/>
      <c r="DXR55" s="15"/>
      <c r="DXS55" s="15"/>
      <c r="DXT55" s="15"/>
      <c r="DXU55" s="15"/>
      <c r="DXV55" s="15"/>
      <c r="DXW55" s="15"/>
      <c r="DXX55" s="15"/>
      <c r="DXY55" s="15"/>
      <c r="DXZ55" s="15"/>
      <c r="DYA55" s="15"/>
      <c r="DYB55" s="15"/>
      <c r="DYC55" s="15"/>
      <c r="DYD55" s="15"/>
      <c r="DYE55" s="15"/>
      <c r="DYF55" s="15"/>
      <c r="DYG55" s="15"/>
      <c r="DYH55" s="15"/>
      <c r="DYI55" s="15"/>
      <c r="DYJ55" s="15"/>
      <c r="DYK55" s="15"/>
      <c r="DYL55" s="15"/>
      <c r="DYM55" s="15"/>
      <c r="DYN55" s="15"/>
      <c r="DYO55" s="15"/>
      <c r="DYP55" s="15"/>
      <c r="DYQ55" s="15"/>
      <c r="DYR55" s="15"/>
      <c r="DYS55" s="15"/>
      <c r="DYT55" s="15"/>
      <c r="DYU55" s="15"/>
      <c r="DYV55" s="15"/>
      <c r="DYW55" s="15"/>
      <c r="DYX55" s="15"/>
      <c r="DYY55" s="15"/>
      <c r="DYZ55" s="15"/>
      <c r="DZA55" s="15"/>
      <c r="DZB55" s="15"/>
      <c r="DZC55" s="15"/>
      <c r="DZD55" s="15"/>
      <c r="DZE55" s="15"/>
      <c r="DZF55" s="15"/>
      <c r="DZG55" s="15"/>
      <c r="DZH55" s="15"/>
      <c r="DZI55" s="15"/>
      <c r="DZJ55" s="15"/>
      <c r="DZK55" s="15"/>
      <c r="DZL55" s="15"/>
      <c r="DZM55" s="15"/>
      <c r="DZN55" s="15"/>
      <c r="DZO55" s="15"/>
      <c r="DZP55" s="15"/>
      <c r="DZQ55" s="15"/>
      <c r="DZR55" s="15"/>
      <c r="DZS55" s="15"/>
      <c r="DZT55" s="15"/>
      <c r="DZU55" s="15"/>
      <c r="DZV55" s="15"/>
      <c r="DZW55" s="15"/>
      <c r="DZX55" s="15"/>
      <c r="DZY55" s="15"/>
      <c r="DZZ55" s="15"/>
      <c r="EAA55" s="15"/>
      <c r="EAB55" s="15"/>
      <c r="EAC55" s="15"/>
      <c r="EAD55" s="15"/>
      <c r="EAE55" s="15"/>
      <c r="EAF55" s="15"/>
      <c r="EAG55" s="15"/>
      <c r="EAH55" s="15"/>
      <c r="EAI55" s="15"/>
      <c r="EAJ55" s="15"/>
      <c r="EAK55" s="15"/>
      <c r="EAL55" s="15"/>
      <c r="EAM55" s="15"/>
      <c r="EAN55" s="15"/>
      <c r="EAO55" s="15"/>
      <c r="EAP55" s="15"/>
      <c r="EAQ55" s="15"/>
      <c r="EAR55" s="15"/>
      <c r="EAS55" s="15"/>
      <c r="EAT55" s="15"/>
      <c r="EAU55" s="15"/>
      <c r="EAV55" s="15"/>
      <c r="EAW55" s="15"/>
      <c r="EAX55" s="15"/>
      <c r="EAY55" s="15"/>
      <c r="EAZ55" s="15"/>
      <c r="EBA55" s="15"/>
      <c r="EBB55" s="15"/>
      <c r="EBC55" s="15"/>
      <c r="EBD55" s="15"/>
      <c r="EBE55" s="15"/>
      <c r="EBF55" s="15"/>
      <c r="EBG55" s="15"/>
      <c r="EBH55" s="15"/>
      <c r="EBI55" s="15"/>
      <c r="EBJ55" s="15"/>
      <c r="EBK55" s="15"/>
      <c r="EBL55" s="15"/>
      <c r="EBM55" s="15"/>
      <c r="EBN55" s="15"/>
      <c r="EBO55" s="15"/>
      <c r="EBP55" s="15"/>
      <c r="EBQ55" s="15"/>
      <c r="EBR55" s="15"/>
      <c r="EBS55" s="15"/>
      <c r="EBT55" s="15"/>
      <c r="EBU55" s="15"/>
      <c r="EBV55" s="15"/>
      <c r="EBW55" s="15"/>
      <c r="EBX55" s="15"/>
      <c r="EBY55" s="15"/>
      <c r="EBZ55" s="15"/>
      <c r="ECA55" s="15"/>
      <c r="ECB55" s="15"/>
      <c r="ECC55" s="15"/>
      <c r="ECD55" s="15"/>
      <c r="ECE55" s="15"/>
      <c r="ECF55" s="15"/>
      <c r="ECG55" s="15"/>
      <c r="ECH55" s="15"/>
      <c r="ECI55" s="15"/>
      <c r="ECJ55" s="15"/>
      <c r="ECK55" s="15"/>
      <c r="ECL55" s="15"/>
      <c r="ECM55" s="15"/>
      <c r="ECN55" s="15"/>
      <c r="ECO55" s="15"/>
      <c r="ECP55" s="15"/>
      <c r="ECQ55" s="15"/>
      <c r="ECR55" s="15"/>
      <c r="ECS55" s="15"/>
      <c r="ECT55" s="15"/>
      <c r="ECU55" s="15"/>
      <c r="ECV55" s="15"/>
      <c r="ECW55" s="15"/>
      <c r="ECX55" s="15"/>
      <c r="ECY55" s="15"/>
      <c r="ECZ55" s="15"/>
      <c r="EDA55" s="15"/>
      <c r="EDB55" s="15"/>
      <c r="EDC55" s="15"/>
      <c r="EDD55" s="15"/>
      <c r="EDE55" s="15"/>
      <c r="EDF55" s="15"/>
      <c r="EDG55" s="15"/>
      <c r="EDH55" s="15"/>
      <c r="EDI55" s="15"/>
      <c r="EDJ55" s="15"/>
      <c r="EDK55" s="15"/>
      <c r="EDL55" s="15"/>
      <c r="EDM55" s="15"/>
      <c r="EDN55" s="15"/>
      <c r="EDO55" s="15"/>
      <c r="EDP55" s="15"/>
      <c r="EDQ55" s="15"/>
      <c r="EDR55" s="15"/>
      <c r="EDS55" s="15"/>
      <c r="EDT55" s="15"/>
      <c r="EDU55" s="15"/>
      <c r="EDV55" s="15"/>
      <c r="EDW55" s="15"/>
      <c r="EDX55" s="15"/>
      <c r="EDY55" s="15"/>
      <c r="EDZ55" s="15"/>
      <c r="EEA55" s="15"/>
      <c r="EEB55" s="15"/>
      <c r="EEC55" s="15"/>
      <c r="EED55" s="15"/>
      <c r="EEE55" s="15"/>
      <c r="EEF55" s="15"/>
      <c r="EEG55" s="15"/>
      <c r="EEH55" s="15"/>
      <c r="EEI55" s="15"/>
      <c r="EEJ55" s="15"/>
      <c r="EEK55" s="15"/>
      <c r="EEL55" s="15"/>
      <c r="EEM55" s="15"/>
      <c r="EEN55" s="15"/>
      <c r="EEO55" s="15"/>
      <c r="EEP55" s="15"/>
      <c r="EEQ55" s="15"/>
      <c r="EER55" s="15"/>
      <c r="EES55" s="15"/>
      <c r="EET55" s="15"/>
      <c r="EEU55" s="15"/>
      <c r="EEV55" s="15"/>
      <c r="EEW55" s="15"/>
      <c r="EEX55" s="15"/>
      <c r="EEY55" s="15"/>
      <c r="EEZ55" s="15"/>
      <c r="EFA55" s="15"/>
      <c r="EFB55" s="15"/>
      <c r="EFC55" s="15"/>
      <c r="EFD55" s="15"/>
      <c r="EFE55" s="15"/>
      <c r="EFF55" s="15"/>
      <c r="EFG55" s="15"/>
      <c r="EFH55" s="15"/>
      <c r="EFI55" s="15"/>
      <c r="EFJ55" s="15"/>
      <c r="EFK55" s="15"/>
      <c r="EFL55" s="15"/>
      <c r="EFM55" s="15"/>
      <c r="EFN55" s="15"/>
      <c r="EFO55" s="15"/>
      <c r="EFP55" s="15"/>
      <c r="EFQ55" s="15"/>
      <c r="EFR55" s="15"/>
      <c r="EFS55" s="15"/>
      <c r="EFT55" s="15"/>
      <c r="EFU55" s="15"/>
      <c r="EFV55" s="15"/>
      <c r="EFW55" s="15"/>
      <c r="EFX55" s="15"/>
      <c r="EFY55" s="15"/>
      <c r="EFZ55" s="15"/>
      <c r="EGA55" s="15"/>
      <c r="EGB55" s="15"/>
      <c r="EGC55" s="15"/>
      <c r="EGD55" s="15"/>
      <c r="EGE55" s="15"/>
      <c r="EGF55" s="15"/>
      <c r="EGG55" s="15"/>
      <c r="EGH55" s="15"/>
      <c r="EGI55" s="15"/>
      <c r="EGJ55" s="15"/>
      <c r="EGK55" s="15"/>
      <c r="EGL55" s="15"/>
      <c r="EGM55" s="15"/>
      <c r="EGN55" s="15"/>
      <c r="EGO55" s="15"/>
      <c r="EGP55" s="15"/>
      <c r="EGQ55" s="15"/>
      <c r="EGR55" s="15"/>
      <c r="EGS55" s="15"/>
      <c r="EGT55" s="15"/>
      <c r="EGU55" s="15"/>
      <c r="EGV55" s="15"/>
      <c r="EGW55" s="15"/>
      <c r="EGX55" s="15"/>
      <c r="EGY55" s="15"/>
      <c r="EGZ55" s="15"/>
      <c r="EHA55" s="15"/>
      <c r="EHB55" s="15"/>
      <c r="EHC55" s="15"/>
      <c r="EHD55" s="15"/>
      <c r="EHE55" s="15"/>
      <c r="EHF55" s="15"/>
      <c r="EHG55" s="15"/>
      <c r="EHH55" s="15"/>
      <c r="EHI55" s="15"/>
      <c r="EHJ55" s="15"/>
      <c r="EHK55" s="15"/>
      <c r="EHL55" s="15"/>
      <c r="EHM55" s="15"/>
      <c r="EHN55" s="15"/>
      <c r="EHO55" s="15"/>
      <c r="EHP55" s="15"/>
      <c r="EHQ55" s="15"/>
      <c r="EHR55" s="15"/>
      <c r="EHS55" s="15"/>
      <c r="EHT55" s="15"/>
      <c r="EHU55" s="15"/>
      <c r="EHV55" s="15"/>
      <c r="EHW55" s="15"/>
      <c r="EHX55" s="15"/>
      <c r="EHY55" s="15"/>
      <c r="EHZ55" s="15"/>
      <c r="EIA55" s="15"/>
      <c r="EIB55" s="15"/>
      <c r="EIC55" s="15"/>
      <c r="EID55" s="15"/>
      <c r="EIE55" s="15"/>
      <c r="EIF55" s="15"/>
      <c r="EIG55" s="15"/>
      <c r="EIH55" s="15"/>
      <c r="EII55" s="15"/>
      <c r="EIJ55" s="15"/>
      <c r="EIK55" s="15"/>
      <c r="EIL55" s="15"/>
      <c r="EIM55" s="15"/>
      <c r="EIN55" s="15"/>
      <c r="EIO55" s="15"/>
      <c r="EIP55" s="15"/>
      <c r="EIQ55" s="15"/>
      <c r="EIR55" s="15"/>
      <c r="EIS55" s="15"/>
      <c r="EIT55" s="15"/>
      <c r="EIU55" s="15"/>
      <c r="EIV55" s="15"/>
      <c r="EIW55" s="15"/>
      <c r="EIX55" s="15"/>
      <c r="EIY55" s="15"/>
      <c r="EIZ55" s="15"/>
      <c r="EJA55" s="15"/>
      <c r="EJB55" s="15"/>
      <c r="EJC55" s="15"/>
      <c r="EJD55" s="15"/>
      <c r="EJE55" s="15"/>
      <c r="EJF55" s="15"/>
      <c r="EJG55" s="15"/>
      <c r="EJH55" s="15"/>
      <c r="EJI55" s="15"/>
      <c r="EJJ55" s="15"/>
      <c r="EJK55" s="15"/>
      <c r="EJL55" s="15"/>
      <c r="EJM55" s="15"/>
      <c r="EJN55" s="15"/>
      <c r="EJO55" s="15"/>
      <c r="EJP55" s="15"/>
      <c r="EJQ55" s="15"/>
      <c r="EJR55" s="15"/>
      <c r="EJS55" s="15"/>
      <c r="EJT55" s="15"/>
      <c r="EJU55" s="15"/>
      <c r="EJV55" s="15"/>
      <c r="EJW55" s="15"/>
      <c r="EJX55" s="15"/>
      <c r="EJY55" s="15"/>
      <c r="EJZ55" s="15"/>
      <c r="EKA55" s="15"/>
      <c r="EKB55" s="15"/>
      <c r="EKC55" s="15"/>
      <c r="EKD55" s="15"/>
      <c r="EKE55" s="15"/>
      <c r="EKF55" s="15"/>
      <c r="EKG55" s="15"/>
      <c r="EKH55" s="15"/>
      <c r="EKI55" s="15"/>
      <c r="EKJ55" s="15"/>
      <c r="EKK55" s="15"/>
      <c r="EKL55" s="15"/>
      <c r="EKM55" s="15"/>
      <c r="EKN55" s="15"/>
      <c r="EKO55" s="15"/>
      <c r="EKP55" s="15"/>
      <c r="EKQ55" s="15"/>
      <c r="EKR55" s="15"/>
      <c r="EKS55" s="15"/>
      <c r="EKT55" s="15"/>
      <c r="EKU55" s="15"/>
      <c r="EKV55" s="15"/>
      <c r="EKW55" s="15"/>
      <c r="EKX55" s="15"/>
      <c r="EKY55" s="15"/>
      <c r="EKZ55" s="15"/>
      <c r="ELA55" s="15"/>
      <c r="ELB55" s="15"/>
      <c r="ELC55" s="15"/>
      <c r="ELD55" s="15"/>
      <c r="ELE55" s="15"/>
      <c r="ELF55" s="15"/>
      <c r="ELG55" s="15"/>
      <c r="ELH55" s="15"/>
      <c r="ELI55" s="15"/>
      <c r="ELJ55" s="15"/>
      <c r="ELK55" s="15"/>
      <c r="ELL55" s="15"/>
      <c r="ELM55" s="15"/>
      <c r="ELN55" s="15"/>
      <c r="ELO55" s="15"/>
      <c r="ELP55" s="15"/>
      <c r="ELQ55" s="15"/>
      <c r="ELR55" s="15"/>
      <c r="ELS55" s="15"/>
      <c r="ELT55" s="15"/>
      <c r="ELU55" s="15"/>
      <c r="ELV55" s="15"/>
      <c r="ELW55" s="15"/>
      <c r="ELX55" s="15"/>
      <c r="ELY55" s="15"/>
      <c r="ELZ55" s="15"/>
      <c r="EMA55" s="15"/>
      <c r="EMB55" s="15"/>
      <c r="EMC55" s="15"/>
      <c r="EMD55" s="15"/>
      <c r="EME55" s="15"/>
      <c r="EMF55" s="15"/>
      <c r="EMG55" s="15"/>
      <c r="EMH55" s="15"/>
      <c r="EMI55" s="15"/>
      <c r="EMJ55" s="15"/>
      <c r="EMK55" s="15"/>
      <c r="EML55" s="15"/>
      <c r="EMM55" s="15"/>
      <c r="EMN55" s="15"/>
      <c r="EMO55" s="15"/>
      <c r="EMP55" s="15"/>
      <c r="EMQ55" s="15"/>
      <c r="EMR55" s="15"/>
      <c r="EMS55" s="15"/>
      <c r="EMT55" s="15"/>
      <c r="EMU55" s="15"/>
      <c r="EMV55" s="15"/>
      <c r="EMW55" s="15"/>
      <c r="EMX55" s="15"/>
      <c r="EMY55" s="15"/>
      <c r="EMZ55" s="15"/>
      <c r="ENA55" s="15"/>
      <c r="ENB55" s="15"/>
      <c r="ENC55" s="15"/>
      <c r="END55" s="15"/>
      <c r="ENE55" s="15"/>
      <c r="ENF55" s="15"/>
      <c r="ENG55" s="15"/>
      <c r="ENH55" s="15"/>
      <c r="ENI55" s="15"/>
      <c r="ENJ55" s="15"/>
      <c r="ENK55" s="15"/>
      <c r="ENL55" s="15"/>
      <c r="ENM55" s="15"/>
      <c r="ENN55" s="15"/>
      <c r="ENO55" s="15"/>
      <c r="ENP55" s="15"/>
      <c r="ENQ55" s="15"/>
      <c r="ENR55" s="15"/>
      <c r="ENS55" s="15"/>
      <c r="ENT55" s="15"/>
      <c r="ENU55" s="15"/>
      <c r="ENV55" s="15"/>
      <c r="ENW55" s="15"/>
      <c r="ENX55" s="15"/>
      <c r="ENY55" s="15"/>
      <c r="ENZ55" s="15"/>
      <c r="EOA55" s="15"/>
      <c r="EOB55" s="15"/>
      <c r="EOC55" s="15"/>
      <c r="EOD55" s="15"/>
      <c r="EOE55" s="15"/>
      <c r="EOF55" s="15"/>
      <c r="EOG55" s="15"/>
      <c r="EOH55" s="15"/>
      <c r="EOI55" s="15"/>
      <c r="EOJ55" s="15"/>
      <c r="EOK55" s="15"/>
      <c r="EOL55" s="15"/>
      <c r="EOM55" s="15"/>
      <c r="EON55" s="15"/>
      <c r="EOO55" s="15"/>
      <c r="EOP55" s="15"/>
      <c r="EOQ55" s="15"/>
      <c r="EOR55" s="15"/>
      <c r="EOS55" s="15"/>
      <c r="EOT55" s="15"/>
      <c r="EOU55" s="15"/>
      <c r="EOV55" s="15"/>
      <c r="EOW55" s="15"/>
      <c r="EOX55" s="15"/>
      <c r="EOY55" s="15"/>
      <c r="EOZ55" s="15"/>
      <c r="EPA55" s="15"/>
      <c r="EPB55" s="15"/>
      <c r="EPC55" s="15"/>
      <c r="EPD55" s="15"/>
      <c r="EPE55" s="15"/>
      <c r="EPF55" s="15"/>
      <c r="EPG55" s="15"/>
      <c r="EPH55" s="15"/>
      <c r="EPI55" s="15"/>
      <c r="EPJ55" s="15"/>
      <c r="EPK55" s="15"/>
      <c r="EPL55" s="15"/>
      <c r="EPM55" s="15"/>
      <c r="EPN55" s="15"/>
      <c r="EPO55" s="15"/>
      <c r="EPP55" s="15"/>
      <c r="EPQ55" s="15"/>
      <c r="EPR55" s="15"/>
      <c r="EPS55" s="15"/>
      <c r="EPT55" s="15"/>
      <c r="EPU55" s="15"/>
      <c r="EPV55" s="15"/>
      <c r="EPW55" s="15"/>
      <c r="EPX55" s="15"/>
      <c r="EPY55" s="15"/>
      <c r="EPZ55" s="15"/>
      <c r="EQA55" s="15"/>
      <c r="EQB55" s="15"/>
      <c r="EQC55" s="15"/>
      <c r="EQD55" s="15"/>
      <c r="EQE55" s="15"/>
      <c r="EQF55" s="15"/>
      <c r="EQG55" s="15"/>
      <c r="EQH55" s="15"/>
      <c r="EQI55" s="15"/>
      <c r="EQJ55" s="15"/>
      <c r="EQK55" s="15"/>
      <c r="EQL55" s="15"/>
      <c r="EQM55" s="15"/>
      <c r="EQN55" s="15"/>
      <c r="EQO55" s="15"/>
      <c r="EQP55" s="15"/>
      <c r="EQQ55" s="15"/>
      <c r="EQR55" s="15"/>
      <c r="EQS55" s="15"/>
      <c r="EQT55" s="15"/>
      <c r="EQU55" s="15"/>
      <c r="EQV55" s="15"/>
      <c r="EQW55" s="15"/>
      <c r="EQX55" s="15"/>
      <c r="EQY55" s="15"/>
      <c r="EQZ55" s="15"/>
      <c r="ERA55" s="15"/>
      <c r="ERB55" s="15"/>
      <c r="ERC55" s="15"/>
      <c r="ERD55" s="15"/>
      <c r="ERE55" s="15"/>
      <c r="ERF55" s="15"/>
      <c r="ERG55" s="15"/>
      <c r="ERH55" s="15"/>
      <c r="ERI55" s="15"/>
      <c r="ERJ55" s="15"/>
      <c r="ERK55" s="15"/>
      <c r="ERL55" s="15"/>
      <c r="ERM55" s="15"/>
      <c r="ERN55" s="15"/>
      <c r="ERO55" s="15"/>
      <c r="ERP55" s="15"/>
      <c r="ERQ55" s="15"/>
      <c r="ERR55" s="15"/>
      <c r="ERS55" s="15"/>
      <c r="ERT55" s="15"/>
      <c r="ERU55" s="15"/>
      <c r="ERV55" s="15"/>
      <c r="ERW55" s="15"/>
      <c r="ERX55" s="15"/>
      <c r="ERY55" s="15"/>
      <c r="ERZ55" s="15"/>
      <c r="ESA55" s="15"/>
      <c r="ESB55" s="15"/>
      <c r="ESC55" s="15"/>
      <c r="ESD55" s="15"/>
      <c r="ESE55" s="15"/>
      <c r="ESF55" s="15"/>
      <c r="ESG55" s="15"/>
      <c r="ESH55" s="15"/>
      <c r="ESI55" s="15"/>
      <c r="ESJ55" s="15"/>
      <c r="ESK55" s="15"/>
      <c r="ESL55" s="15"/>
      <c r="ESM55" s="15"/>
      <c r="ESN55" s="15"/>
      <c r="ESO55" s="15"/>
      <c r="ESP55" s="15"/>
      <c r="ESQ55" s="15"/>
      <c r="ESR55" s="15"/>
      <c r="ESS55" s="15"/>
      <c r="EST55" s="15"/>
      <c r="ESU55" s="15"/>
      <c r="ESV55" s="15"/>
      <c r="ESW55" s="15"/>
      <c r="ESX55" s="15"/>
      <c r="ESY55" s="15"/>
      <c r="ESZ55" s="15"/>
      <c r="ETA55" s="15"/>
      <c r="ETB55" s="15"/>
      <c r="ETC55" s="15"/>
      <c r="ETD55" s="15"/>
      <c r="ETE55" s="15"/>
      <c r="ETF55" s="15"/>
      <c r="ETG55" s="15"/>
      <c r="ETH55" s="15"/>
      <c r="ETI55" s="15"/>
      <c r="ETJ55" s="15"/>
      <c r="ETK55" s="15"/>
      <c r="ETL55" s="15"/>
      <c r="ETM55" s="15"/>
      <c r="ETN55" s="15"/>
      <c r="ETO55" s="15"/>
      <c r="ETP55" s="15"/>
      <c r="ETQ55" s="15"/>
      <c r="ETR55" s="15"/>
      <c r="ETS55" s="15"/>
      <c r="ETT55" s="15"/>
      <c r="ETU55" s="15"/>
      <c r="ETV55" s="15"/>
      <c r="ETW55" s="15"/>
      <c r="ETX55" s="15"/>
      <c r="ETY55" s="15"/>
      <c r="ETZ55" s="15"/>
      <c r="EUA55" s="15"/>
      <c r="EUB55" s="15"/>
      <c r="EUC55" s="15"/>
      <c r="EUD55" s="15"/>
      <c r="EUE55" s="15"/>
      <c r="EUF55" s="15"/>
      <c r="EUG55" s="15"/>
      <c r="EUH55" s="15"/>
      <c r="EUI55" s="15"/>
      <c r="EUJ55" s="15"/>
      <c r="EUK55" s="15"/>
      <c r="EUL55" s="15"/>
      <c r="EUM55" s="15"/>
      <c r="EUN55" s="15"/>
      <c r="EUO55" s="15"/>
      <c r="EUP55" s="15"/>
      <c r="EUQ55" s="15"/>
      <c r="EUR55" s="15"/>
      <c r="EUS55" s="15"/>
      <c r="EUT55" s="15"/>
      <c r="EUU55" s="15"/>
      <c r="EUV55" s="15"/>
      <c r="EUW55" s="15"/>
      <c r="EUX55" s="15"/>
      <c r="EUY55" s="15"/>
      <c r="EUZ55" s="15"/>
      <c r="EVA55" s="15"/>
      <c r="EVB55" s="15"/>
      <c r="EVC55" s="15"/>
      <c r="EVD55" s="15"/>
      <c r="EVE55" s="15"/>
      <c r="EVF55" s="15"/>
      <c r="EVG55" s="15"/>
      <c r="EVH55" s="15"/>
      <c r="EVI55" s="15"/>
      <c r="EVJ55" s="15"/>
      <c r="EVK55" s="15"/>
      <c r="EVL55" s="15"/>
      <c r="EVM55" s="15"/>
      <c r="EVN55" s="15"/>
      <c r="EVO55" s="15"/>
      <c r="EVP55" s="15"/>
      <c r="EVQ55" s="15"/>
      <c r="EVR55" s="15"/>
      <c r="EVS55" s="15"/>
      <c r="EVT55" s="15"/>
      <c r="EVU55" s="15"/>
      <c r="EVV55" s="15"/>
      <c r="EVW55" s="15"/>
      <c r="EVX55" s="15"/>
      <c r="EVY55" s="15"/>
      <c r="EVZ55" s="15"/>
      <c r="EWA55" s="15"/>
      <c r="EWB55" s="15"/>
      <c r="EWC55" s="15"/>
      <c r="EWD55" s="15"/>
      <c r="EWE55" s="15"/>
      <c r="EWF55" s="15"/>
      <c r="EWG55" s="15"/>
      <c r="EWH55" s="15"/>
      <c r="EWI55" s="15"/>
      <c r="EWJ55" s="15"/>
      <c r="EWK55" s="15"/>
      <c r="EWL55" s="15"/>
      <c r="EWM55" s="15"/>
      <c r="EWN55" s="15"/>
      <c r="EWO55" s="15"/>
      <c r="EWP55" s="15"/>
      <c r="EWQ55" s="15"/>
      <c r="EWR55" s="15"/>
      <c r="EWS55" s="15"/>
      <c r="EWT55" s="15"/>
      <c r="EWU55" s="15"/>
      <c r="EWV55" s="15"/>
      <c r="EWW55" s="15"/>
      <c r="EWX55" s="15"/>
      <c r="EWY55" s="15"/>
      <c r="EWZ55" s="15"/>
      <c r="EXA55" s="15"/>
      <c r="EXB55" s="15"/>
      <c r="EXC55" s="15"/>
      <c r="EXD55" s="15"/>
      <c r="EXE55" s="15"/>
      <c r="EXF55" s="15"/>
      <c r="EXG55" s="15"/>
      <c r="EXH55" s="15"/>
      <c r="EXI55" s="15"/>
      <c r="EXJ55" s="15"/>
      <c r="EXK55" s="15"/>
      <c r="EXL55" s="15"/>
      <c r="EXM55" s="15"/>
      <c r="EXN55" s="15"/>
      <c r="EXO55" s="15"/>
      <c r="EXP55" s="15"/>
      <c r="EXQ55" s="15"/>
      <c r="EXR55" s="15"/>
      <c r="EXS55" s="15"/>
      <c r="EXT55" s="15"/>
      <c r="EXU55" s="15"/>
      <c r="EXV55" s="15"/>
      <c r="EXW55" s="15"/>
      <c r="EXX55" s="15"/>
      <c r="EXY55" s="15"/>
      <c r="EXZ55" s="15"/>
      <c r="EYA55" s="15"/>
      <c r="EYB55" s="15"/>
      <c r="EYC55" s="15"/>
      <c r="EYD55" s="15"/>
      <c r="EYE55" s="15"/>
      <c r="EYF55" s="15"/>
      <c r="EYG55" s="15"/>
      <c r="EYH55" s="15"/>
      <c r="EYI55" s="15"/>
      <c r="EYJ55" s="15"/>
      <c r="EYK55" s="15"/>
      <c r="EYL55" s="15"/>
      <c r="EYM55" s="15"/>
      <c r="EYN55" s="15"/>
      <c r="EYO55" s="15"/>
      <c r="EYP55" s="15"/>
      <c r="EYQ55" s="15"/>
      <c r="EYR55" s="15"/>
      <c r="EYS55" s="15"/>
      <c r="EYT55" s="15"/>
      <c r="EYU55" s="15"/>
      <c r="EYV55" s="15"/>
      <c r="EYW55" s="15"/>
      <c r="EYX55" s="15"/>
      <c r="EYY55" s="15"/>
      <c r="EYZ55" s="15"/>
      <c r="EZA55" s="15"/>
      <c r="EZB55" s="15"/>
      <c r="EZC55" s="15"/>
      <c r="EZD55" s="15"/>
      <c r="EZE55" s="15"/>
      <c r="EZF55" s="15"/>
      <c r="EZG55" s="15"/>
      <c r="EZH55" s="15"/>
      <c r="EZI55" s="15"/>
      <c r="EZJ55" s="15"/>
      <c r="EZK55" s="15"/>
      <c r="EZL55" s="15"/>
      <c r="EZM55" s="15"/>
      <c r="EZN55" s="15"/>
      <c r="EZO55" s="15"/>
      <c r="EZP55" s="15"/>
      <c r="EZQ55" s="15"/>
      <c r="EZR55" s="15"/>
      <c r="EZS55" s="15"/>
      <c r="EZT55" s="15"/>
      <c r="EZU55" s="15"/>
      <c r="EZV55" s="15"/>
      <c r="EZW55" s="15"/>
      <c r="EZX55" s="15"/>
      <c r="EZY55" s="15"/>
      <c r="EZZ55" s="15"/>
      <c r="FAA55" s="15"/>
      <c r="FAB55" s="15"/>
      <c r="FAC55" s="15"/>
      <c r="FAD55" s="15"/>
      <c r="FAE55" s="15"/>
      <c r="FAF55" s="15"/>
      <c r="FAG55" s="15"/>
      <c r="FAH55" s="15"/>
      <c r="FAI55" s="15"/>
      <c r="FAJ55" s="15"/>
      <c r="FAK55" s="15"/>
      <c r="FAL55" s="15"/>
      <c r="FAM55" s="15"/>
      <c r="FAN55" s="15"/>
      <c r="FAO55" s="15"/>
      <c r="FAP55" s="15"/>
      <c r="FAQ55" s="15"/>
      <c r="FAR55" s="15"/>
      <c r="FAS55" s="15"/>
      <c r="FAT55" s="15"/>
      <c r="FAU55" s="15"/>
      <c r="FAV55" s="15"/>
      <c r="FAW55" s="15"/>
      <c r="FAX55" s="15"/>
      <c r="FAY55" s="15"/>
      <c r="FAZ55" s="15"/>
      <c r="FBA55" s="15"/>
      <c r="FBB55" s="15"/>
      <c r="FBC55" s="15"/>
      <c r="FBD55" s="15"/>
      <c r="FBE55" s="15"/>
      <c r="FBF55" s="15"/>
      <c r="FBG55" s="15"/>
      <c r="FBH55" s="15"/>
      <c r="FBI55" s="15"/>
      <c r="FBJ55" s="15"/>
      <c r="FBK55" s="15"/>
      <c r="FBL55" s="15"/>
      <c r="FBM55" s="15"/>
      <c r="FBN55" s="15"/>
      <c r="FBO55" s="15"/>
      <c r="FBP55" s="15"/>
      <c r="FBQ55" s="15"/>
      <c r="FBR55" s="15"/>
      <c r="FBS55" s="15"/>
      <c r="FBT55" s="15"/>
      <c r="FBU55" s="15"/>
      <c r="FBV55" s="15"/>
      <c r="FBW55" s="15"/>
      <c r="FBX55" s="15"/>
      <c r="FBY55" s="15"/>
      <c r="FBZ55" s="15"/>
      <c r="FCA55" s="15"/>
      <c r="FCB55" s="15"/>
      <c r="FCC55" s="15"/>
      <c r="FCD55" s="15"/>
      <c r="FCE55" s="15"/>
      <c r="FCF55" s="15"/>
      <c r="FCG55" s="15"/>
      <c r="FCH55" s="15"/>
      <c r="FCI55" s="15"/>
      <c r="FCJ55" s="15"/>
      <c r="FCK55" s="15"/>
      <c r="FCL55" s="15"/>
      <c r="FCM55" s="15"/>
      <c r="FCN55" s="15"/>
      <c r="FCO55" s="15"/>
      <c r="FCP55" s="15"/>
      <c r="FCQ55" s="15"/>
      <c r="FCR55" s="15"/>
      <c r="FCS55" s="15"/>
      <c r="FCT55" s="15"/>
      <c r="FCU55" s="15"/>
      <c r="FCV55" s="15"/>
      <c r="FCW55" s="15"/>
      <c r="FCX55" s="15"/>
      <c r="FCY55" s="15"/>
      <c r="FCZ55" s="15"/>
      <c r="FDA55" s="15"/>
      <c r="FDB55" s="15"/>
      <c r="FDC55" s="15"/>
      <c r="FDD55" s="15"/>
      <c r="FDE55" s="15"/>
      <c r="FDF55" s="15"/>
      <c r="FDG55" s="15"/>
      <c r="FDH55" s="15"/>
      <c r="FDI55" s="15"/>
      <c r="FDJ55" s="15"/>
      <c r="FDK55" s="15"/>
      <c r="FDL55" s="15"/>
      <c r="FDM55" s="15"/>
      <c r="FDN55" s="15"/>
      <c r="FDO55" s="15"/>
      <c r="FDP55" s="15"/>
      <c r="FDQ55" s="15"/>
      <c r="FDR55" s="15"/>
      <c r="FDS55" s="15"/>
      <c r="FDT55" s="15"/>
      <c r="FDU55" s="15"/>
      <c r="FDV55" s="15"/>
      <c r="FDW55" s="15"/>
      <c r="FDX55" s="15"/>
      <c r="FDY55" s="15"/>
      <c r="FDZ55" s="15"/>
      <c r="FEA55" s="15"/>
      <c r="FEB55" s="15"/>
      <c r="FEC55" s="15"/>
      <c r="FED55" s="15"/>
      <c r="FEE55" s="15"/>
      <c r="FEF55" s="15"/>
      <c r="FEG55" s="15"/>
      <c r="FEH55" s="15"/>
      <c r="FEI55" s="15"/>
      <c r="FEJ55" s="15"/>
      <c r="FEK55" s="15"/>
      <c r="FEL55" s="15"/>
      <c r="FEM55" s="15"/>
      <c r="FEN55" s="15"/>
      <c r="FEO55" s="15"/>
      <c r="FEP55" s="15"/>
      <c r="FEQ55" s="15"/>
      <c r="FER55" s="15"/>
      <c r="FES55" s="15"/>
      <c r="FET55" s="15"/>
      <c r="FEU55" s="15"/>
      <c r="FEV55" s="15"/>
      <c r="FEW55" s="15"/>
      <c r="FEX55" s="15"/>
      <c r="FEY55" s="15"/>
      <c r="FEZ55" s="15"/>
      <c r="FFA55" s="15"/>
      <c r="FFB55" s="15"/>
      <c r="FFC55" s="15"/>
      <c r="FFD55" s="15"/>
      <c r="FFE55" s="15"/>
      <c r="FFF55" s="15"/>
      <c r="FFG55" s="15"/>
      <c r="FFH55" s="15"/>
      <c r="FFI55" s="15"/>
      <c r="FFJ55" s="15"/>
      <c r="FFK55" s="15"/>
      <c r="FFL55" s="15"/>
      <c r="FFM55" s="15"/>
      <c r="FFN55" s="15"/>
      <c r="FFO55" s="15"/>
      <c r="FFP55" s="15"/>
      <c r="FFQ55" s="15"/>
      <c r="FFR55" s="15"/>
      <c r="FFS55" s="15"/>
      <c r="FFT55" s="15"/>
      <c r="FFU55" s="15"/>
      <c r="FFV55" s="15"/>
      <c r="FFW55" s="15"/>
      <c r="FFX55" s="15"/>
      <c r="FFY55" s="15"/>
      <c r="FFZ55" s="15"/>
      <c r="FGA55" s="15"/>
      <c r="FGB55" s="15"/>
      <c r="FGC55" s="15"/>
      <c r="FGD55" s="15"/>
      <c r="FGE55" s="15"/>
      <c r="FGF55" s="15"/>
      <c r="FGG55" s="15"/>
      <c r="FGH55" s="15"/>
      <c r="FGI55" s="15"/>
      <c r="FGJ55" s="15"/>
      <c r="FGK55" s="15"/>
      <c r="FGL55" s="15"/>
      <c r="FGM55" s="15"/>
      <c r="FGN55" s="15"/>
      <c r="FGO55" s="15"/>
      <c r="FGP55" s="15"/>
      <c r="FGQ55" s="15"/>
      <c r="FGR55" s="15"/>
      <c r="FGS55" s="15"/>
      <c r="FGT55" s="15"/>
      <c r="FGU55" s="15"/>
      <c r="FGV55" s="15"/>
      <c r="FGW55" s="15"/>
      <c r="FGX55" s="15"/>
      <c r="FGY55" s="15"/>
      <c r="FGZ55" s="15"/>
      <c r="FHA55" s="15"/>
      <c r="FHB55" s="15"/>
      <c r="FHC55" s="15"/>
      <c r="FHD55" s="15"/>
      <c r="FHE55" s="15"/>
      <c r="FHF55" s="15"/>
      <c r="FHG55" s="15"/>
      <c r="FHH55" s="15"/>
      <c r="FHI55" s="15"/>
      <c r="FHJ55" s="15"/>
      <c r="FHK55" s="15"/>
      <c r="FHL55" s="15"/>
      <c r="FHM55" s="15"/>
      <c r="FHN55" s="15"/>
      <c r="FHO55" s="15"/>
      <c r="FHP55" s="15"/>
      <c r="FHQ55" s="15"/>
      <c r="FHR55" s="15"/>
      <c r="FHS55" s="15"/>
      <c r="FHT55" s="15"/>
      <c r="FHU55" s="15"/>
      <c r="FHV55" s="15"/>
      <c r="FHW55" s="15"/>
      <c r="FHX55" s="15"/>
      <c r="FHY55" s="15"/>
      <c r="FHZ55" s="15"/>
      <c r="FIA55" s="15"/>
      <c r="FIB55" s="15"/>
      <c r="FIC55" s="15"/>
      <c r="FID55" s="15"/>
      <c r="FIE55" s="15"/>
      <c r="FIF55" s="15"/>
      <c r="FIG55" s="15"/>
      <c r="FIH55" s="15"/>
      <c r="FII55" s="15"/>
      <c r="FIJ55" s="15"/>
      <c r="FIK55" s="15"/>
      <c r="FIL55" s="15"/>
      <c r="FIM55" s="15"/>
      <c r="FIN55" s="15"/>
      <c r="FIO55" s="15"/>
      <c r="FIP55" s="15"/>
      <c r="FIQ55" s="15"/>
      <c r="FIR55" s="15"/>
      <c r="FIS55" s="15"/>
      <c r="FIT55" s="15"/>
      <c r="FIU55" s="15"/>
      <c r="FIV55" s="15"/>
      <c r="FIW55" s="15"/>
      <c r="FIX55" s="15"/>
      <c r="FIY55" s="15"/>
      <c r="FIZ55" s="15"/>
      <c r="FJA55" s="15"/>
      <c r="FJB55" s="15"/>
      <c r="FJC55" s="15"/>
      <c r="FJD55" s="15"/>
      <c r="FJE55" s="15"/>
      <c r="FJF55" s="15"/>
      <c r="FJG55" s="15"/>
      <c r="FJH55" s="15"/>
      <c r="FJI55" s="15"/>
      <c r="FJJ55" s="15"/>
      <c r="FJK55" s="15"/>
      <c r="FJL55" s="15"/>
      <c r="FJM55" s="15"/>
      <c r="FJN55" s="15"/>
      <c r="FJO55" s="15"/>
      <c r="FJP55" s="15"/>
      <c r="FJQ55" s="15"/>
      <c r="FJR55" s="15"/>
      <c r="FJS55" s="15"/>
      <c r="FJT55" s="15"/>
      <c r="FJU55" s="15"/>
      <c r="FJV55" s="15"/>
      <c r="FJW55" s="15"/>
      <c r="FJX55" s="15"/>
      <c r="FJY55" s="15"/>
      <c r="FJZ55" s="15"/>
      <c r="FKA55" s="15"/>
      <c r="FKB55" s="15"/>
      <c r="FKC55" s="15"/>
      <c r="FKD55" s="15"/>
      <c r="FKE55" s="15"/>
      <c r="FKF55" s="15"/>
      <c r="FKG55" s="15"/>
      <c r="FKH55" s="15"/>
      <c r="FKI55" s="15"/>
      <c r="FKJ55" s="15"/>
      <c r="FKK55" s="15"/>
      <c r="FKL55" s="15"/>
      <c r="FKM55" s="15"/>
      <c r="FKN55" s="15"/>
      <c r="FKO55" s="15"/>
      <c r="FKP55" s="15"/>
      <c r="FKQ55" s="15"/>
      <c r="FKR55" s="15"/>
      <c r="FKS55" s="15"/>
      <c r="FKT55" s="15"/>
      <c r="FKU55" s="15"/>
      <c r="FKV55" s="15"/>
      <c r="FKW55" s="15"/>
      <c r="FKX55" s="15"/>
      <c r="FKY55" s="15"/>
      <c r="FKZ55" s="15"/>
      <c r="FLA55" s="15"/>
      <c r="FLB55" s="15"/>
      <c r="FLC55" s="15"/>
      <c r="FLD55" s="15"/>
      <c r="FLE55" s="15"/>
      <c r="FLF55" s="15"/>
      <c r="FLG55" s="15"/>
      <c r="FLH55" s="15"/>
      <c r="FLI55" s="15"/>
      <c r="FLJ55" s="15"/>
      <c r="FLK55" s="15"/>
      <c r="FLL55" s="15"/>
      <c r="FLM55" s="15"/>
      <c r="FLN55" s="15"/>
      <c r="FLO55" s="15"/>
      <c r="FLP55" s="15"/>
      <c r="FLQ55" s="15"/>
      <c r="FLR55" s="15"/>
      <c r="FLS55" s="15"/>
      <c r="FLT55" s="15"/>
      <c r="FLU55" s="15"/>
      <c r="FLV55" s="15"/>
      <c r="FLW55" s="15"/>
      <c r="FLX55" s="15"/>
      <c r="FLY55" s="15"/>
      <c r="FLZ55" s="15"/>
      <c r="FMA55" s="15"/>
      <c r="FMB55" s="15"/>
      <c r="FMC55" s="15"/>
      <c r="FMD55" s="15"/>
      <c r="FME55" s="15"/>
      <c r="FMF55" s="15"/>
      <c r="FMG55" s="15"/>
      <c r="FMH55" s="15"/>
      <c r="FMI55" s="15"/>
      <c r="FMJ55" s="15"/>
      <c r="FMK55" s="15"/>
      <c r="FML55" s="15"/>
      <c r="FMM55" s="15"/>
      <c r="FMN55" s="15"/>
      <c r="FMO55" s="15"/>
      <c r="FMP55" s="15"/>
      <c r="FMQ55" s="15"/>
      <c r="FMR55" s="15"/>
      <c r="FMS55" s="15"/>
      <c r="FMT55" s="15"/>
      <c r="FMU55" s="15"/>
      <c r="FMV55" s="15"/>
      <c r="FMW55" s="15"/>
      <c r="FMX55" s="15"/>
      <c r="FMY55" s="15"/>
      <c r="FMZ55" s="15"/>
      <c r="FNA55" s="15"/>
      <c r="FNB55" s="15"/>
      <c r="FNC55" s="15"/>
      <c r="FND55" s="15"/>
      <c r="FNE55" s="15"/>
      <c r="FNF55" s="15"/>
      <c r="FNG55" s="15"/>
      <c r="FNH55" s="15"/>
      <c r="FNI55" s="15"/>
      <c r="FNJ55" s="15"/>
      <c r="FNK55" s="15"/>
      <c r="FNL55" s="15"/>
      <c r="FNM55" s="15"/>
      <c r="FNN55" s="15"/>
      <c r="FNO55" s="15"/>
      <c r="FNP55" s="15"/>
      <c r="FNQ55" s="15"/>
      <c r="FNR55" s="15"/>
      <c r="FNS55" s="15"/>
      <c r="FNT55" s="15"/>
      <c r="FNU55" s="15"/>
      <c r="FNV55" s="15"/>
      <c r="FNW55" s="15"/>
      <c r="FNX55" s="15"/>
      <c r="FNY55" s="15"/>
      <c r="FNZ55" s="15"/>
      <c r="FOA55" s="15"/>
      <c r="FOB55" s="15"/>
      <c r="FOC55" s="15"/>
      <c r="FOD55" s="15"/>
      <c r="FOE55" s="15"/>
      <c r="FOF55" s="15"/>
      <c r="FOG55" s="15"/>
      <c r="FOH55" s="15"/>
      <c r="FOI55" s="15"/>
      <c r="FOJ55" s="15"/>
      <c r="FOK55" s="15"/>
      <c r="FOL55" s="15"/>
      <c r="FOM55" s="15"/>
      <c r="FON55" s="15"/>
      <c r="FOO55" s="15"/>
      <c r="FOP55" s="15"/>
      <c r="FOQ55" s="15"/>
      <c r="FOR55" s="15"/>
      <c r="FOS55" s="15"/>
      <c r="FOT55" s="15"/>
      <c r="FOU55" s="15"/>
      <c r="FOV55" s="15"/>
      <c r="FOW55" s="15"/>
      <c r="FOX55" s="15"/>
      <c r="FOY55" s="15"/>
      <c r="FOZ55" s="15"/>
      <c r="FPA55" s="15"/>
      <c r="FPB55" s="15"/>
      <c r="FPC55" s="15"/>
      <c r="FPD55" s="15"/>
      <c r="FPE55" s="15"/>
      <c r="FPF55" s="15"/>
      <c r="FPG55" s="15"/>
      <c r="FPH55" s="15"/>
      <c r="FPI55" s="15"/>
      <c r="FPJ55" s="15"/>
      <c r="FPK55" s="15"/>
      <c r="FPL55" s="15"/>
      <c r="FPM55" s="15"/>
      <c r="FPN55" s="15"/>
      <c r="FPO55" s="15"/>
      <c r="FPP55" s="15"/>
      <c r="FPQ55" s="15"/>
      <c r="FPR55" s="15"/>
      <c r="FPS55" s="15"/>
      <c r="FPT55" s="15"/>
      <c r="FPU55" s="15"/>
      <c r="FPV55" s="15"/>
      <c r="FPW55" s="15"/>
      <c r="FPX55" s="15"/>
      <c r="FPY55" s="15"/>
      <c r="FPZ55" s="15"/>
      <c r="FQA55" s="15"/>
      <c r="FQB55" s="15"/>
      <c r="FQC55" s="15"/>
      <c r="FQD55" s="15"/>
      <c r="FQE55" s="15"/>
      <c r="FQF55" s="15"/>
      <c r="FQG55" s="15"/>
      <c r="FQH55" s="15"/>
      <c r="FQI55" s="15"/>
      <c r="FQJ55" s="15"/>
      <c r="FQK55" s="15"/>
      <c r="FQL55" s="15"/>
      <c r="FQM55" s="15"/>
      <c r="FQN55" s="15"/>
      <c r="FQO55" s="15"/>
      <c r="FQP55" s="15"/>
      <c r="FQQ55" s="15"/>
      <c r="FQR55" s="15"/>
      <c r="FQS55" s="15"/>
      <c r="FQT55" s="15"/>
      <c r="FQU55" s="15"/>
      <c r="FQV55" s="15"/>
      <c r="FQW55" s="15"/>
      <c r="FQX55" s="15"/>
      <c r="FQY55" s="15"/>
      <c r="FQZ55" s="15"/>
      <c r="FRA55" s="15"/>
      <c r="FRB55" s="15"/>
      <c r="FRC55" s="15"/>
      <c r="FRD55" s="15"/>
      <c r="FRE55" s="15"/>
      <c r="FRF55" s="15"/>
      <c r="FRG55" s="15"/>
      <c r="FRH55" s="15"/>
      <c r="FRI55" s="15"/>
      <c r="FRJ55" s="15"/>
      <c r="FRK55" s="15"/>
      <c r="FRL55" s="15"/>
      <c r="FRM55" s="15"/>
      <c r="FRN55" s="15"/>
      <c r="FRO55" s="15"/>
      <c r="FRP55" s="15"/>
      <c r="FRQ55" s="15"/>
      <c r="FRR55" s="15"/>
      <c r="FRS55" s="15"/>
      <c r="FRT55" s="15"/>
      <c r="FRU55" s="15"/>
      <c r="FRV55" s="15"/>
      <c r="FRW55" s="15"/>
      <c r="FRX55" s="15"/>
      <c r="FRY55" s="15"/>
      <c r="FRZ55" s="15"/>
      <c r="FSA55" s="15"/>
      <c r="FSB55" s="15"/>
      <c r="FSC55" s="15"/>
      <c r="FSD55" s="15"/>
      <c r="FSE55" s="15"/>
      <c r="FSF55" s="15"/>
      <c r="FSG55" s="15"/>
      <c r="FSH55" s="15"/>
      <c r="FSI55" s="15"/>
      <c r="FSJ55" s="15"/>
      <c r="FSK55" s="15"/>
      <c r="FSL55" s="15"/>
      <c r="FSM55" s="15"/>
      <c r="FSN55" s="15"/>
      <c r="FSO55" s="15"/>
      <c r="FSP55" s="15"/>
      <c r="FSQ55" s="15"/>
      <c r="FSR55" s="15"/>
      <c r="FSS55" s="15"/>
      <c r="FST55" s="15"/>
      <c r="FSU55" s="15"/>
      <c r="FSV55" s="15"/>
      <c r="FSW55" s="15"/>
      <c r="FSX55" s="15"/>
      <c r="FSY55" s="15"/>
      <c r="FSZ55" s="15"/>
      <c r="FTA55" s="15"/>
      <c r="FTB55" s="15"/>
      <c r="FTC55" s="15"/>
      <c r="FTD55" s="15"/>
      <c r="FTE55" s="15"/>
      <c r="FTF55" s="15"/>
      <c r="FTG55" s="15"/>
      <c r="FTH55" s="15"/>
      <c r="FTI55" s="15"/>
      <c r="FTJ55" s="15"/>
      <c r="FTK55" s="15"/>
      <c r="FTL55" s="15"/>
      <c r="FTM55" s="15"/>
      <c r="FTN55" s="15"/>
      <c r="FTO55" s="15"/>
      <c r="FTP55" s="15"/>
      <c r="FTQ55" s="15"/>
      <c r="FTR55" s="15"/>
      <c r="FTS55" s="15"/>
      <c r="FTT55" s="15"/>
      <c r="FTU55" s="15"/>
      <c r="FTV55" s="15"/>
      <c r="FTW55" s="15"/>
      <c r="FTX55" s="15"/>
      <c r="FTY55" s="15"/>
      <c r="FTZ55" s="15"/>
      <c r="FUA55" s="15"/>
      <c r="FUB55" s="15"/>
      <c r="FUC55" s="15"/>
      <c r="FUD55" s="15"/>
      <c r="FUE55" s="15"/>
      <c r="FUF55" s="15"/>
      <c r="FUG55" s="15"/>
      <c r="FUH55" s="15"/>
      <c r="FUI55" s="15"/>
      <c r="FUJ55" s="15"/>
      <c r="FUK55" s="15"/>
      <c r="FUL55" s="15"/>
      <c r="FUM55" s="15"/>
      <c r="FUN55" s="15"/>
      <c r="FUO55" s="15"/>
      <c r="FUP55" s="15"/>
      <c r="FUQ55" s="15"/>
      <c r="FUR55" s="15"/>
      <c r="FUS55" s="15"/>
      <c r="FUT55" s="15"/>
      <c r="FUU55" s="15"/>
      <c r="FUV55" s="15"/>
      <c r="FUW55" s="15"/>
      <c r="FUX55" s="15"/>
      <c r="FUY55" s="15"/>
      <c r="FUZ55" s="15"/>
      <c r="FVA55" s="15"/>
      <c r="FVB55" s="15"/>
      <c r="FVC55" s="15"/>
      <c r="FVD55" s="15"/>
      <c r="FVE55" s="15"/>
      <c r="FVF55" s="15"/>
      <c r="FVG55" s="15"/>
      <c r="FVH55" s="15"/>
      <c r="FVI55" s="15"/>
      <c r="FVJ55" s="15"/>
      <c r="FVK55" s="15"/>
      <c r="FVL55" s="15"/>
      <c r="FVM55" s="15"/>
      <c r="FVN55" s="15"/>
      <c r="FVO55" s="15"/>
      <c r="FVP55" s="15"/>
      <c r="FVQ55" s="15"/>
      <c r="FVR55" s="15"/>
      <c r="FVS55" s="15"/>
      <c r="FVT55" s="15"/>
      <c r="FVU55" s="15"/>
      <c r="FVV55" s="15"/>
      <c r="FVW55" s="15"/>
      <c r="FVX55" s="15"/>
      <c r="FVY55" s="15"/>
      <c r="FVZ55" s="15"/>
      <c r="FWA55" s="15"/>
      <c r="FWB55" s="15"/>
      <c r="FWC55" s="15"/>
      <c r="FWD55" s="15"/>
      <c r="FWE55" s="15"/>
      <c r="FWF55" s="15"/>
      <c r="FWG55" s="15"/>
      <c r="FWH55" s="15"/>
      <c r="FWI55" s="15"/>
      <c r="FWJ55" s="15"/>
      <c r="FWK55" s="15"/>
      <c r="FWL55" s="15"/>
      <c r="FWM55" s="15"/>
      <c r="FWN55" s="15"/>
      <c r="FWO55" s="15"/>
      <c r="FWP55" s="15"/>
      <c r="FWQ55" s="15"/>
      <c r="FWR55" s="15"/>
      <c r="FWS55" s="15"/>
      <c r="FWT55" s="15"/>
      <c r="FWU55" s="15"/>
      <c r="FWV55" s="15"/>
      <c r="FWW55" s="15"/>
      <c r="FWX55" s="15"/>
      <c r="FWY55" s="15"/>
      <c r="FWZ55" s="15"/>
      <c r="FXA55" s="15"/>
      <c r="FXB55" s="15"/>
      <c r="FXC55" s="15"/>
      <c r="FXD55" s="15"/>
      <c r="FXE55" s="15"/>
      <c r="FXF55" s="15"/>
      <c r="FXG55" s="15"/>
      <c r="FXH55" s="15"/>
      <c r="FXI55" s="15"/>
      <c r="FXJ55" s="15"/>
      <c r="FXK55" s="15"/>
      <c r="FXL55" s="15"/>
      <c r="FXM55" s="15"/>
      <c r="FXN55" s="15"/>
      <c r="FXO55" s="15"/>
      <c r="FXP55" s="15"/>
      <c r="FXQ55" s="15"/>
      <c r="FXR55" s="15"/>
      <c r="FXS55" s="15"/>
      <c r="FXT55" s="15"/>
      <c r="FXU55" s="15"/>
      <c r="FXV55" s="15"/>
      <c r="FXW55" s="15"/>
      <c r="FXX55" s="15"/>
      <c r="FXY55" s="15"/>
      <c r="FXZ55" s="15"/>
      <c r="FYA55" s="15"/>
      <c r="FYB55" s="15"/>
      <c r="FYC55" s="15"/>
      <c r="FYD55" s="15"/>
      <c r="FYE55" s="15"/>
      <c r="FYF55" s="15"/>
      <c r="FYG55" s="15"/>
      <c r="FYH55" s="15"/>
      <c r="FYI55" s="15"/>
      <c r="FYJ55" s="15"/>
      <c r="FYK55" s="15"/>
      <c r="FYL55" s="15"/>
      <c r="FYM55" s="15"/>
      <c r="FYN55" s="15"/>
      <c r="FYO55" s="15"/>
      <c r="FYP55" s="15"/>
      <c r="FYQ55" s="15"/>
      <c r="FYR55" s="15"/>
      <c r="FYS55" s="15"/>
      <c r="FYT55" s="15"/>
      <c r="FYU55" s="15"/>
      <c r="FYV55" s="15"/>
      <c r="FYW55" s="15"/>
      <c r="FYX55" s="15"/>
      <c r="FYY55" s="15"/>
      <c r="FYZ55" s="15"/>
      <c r="FZA55" s="15"/>
      <c r="FZB55" s="15"/>
      <c r="FZC55" s="15"/>
      <c r="FZD55" s="15"/>
      <c r="FZE55" s="15"/>
      <c r="FZF55" s="15"/>
      <c r="FZG55" s="15"/>
      <c r="FZH55" s="15"/>
      <c r="FZI55" s="15"/>
      <c r="FZJ55" s="15"/>
      <c r="FZK55" s="15"/>
      <c r="FZL55" s="15"/>
      <c r="FZM55" s="15"/>
      <c r="FZN55" s="15"/>
      <c r="FZO55" s="15"/>
      <c r="FZP55" s="15"/>
      <c r="FZQ55" s="15"/>
      <c r="FZR55" s="15"/>
      <c r="FZS55" s="15"/>
      <c r="FZT55" s="15"/>
      <c r="FZU55" s="15"/>
      <c r="FZV55" s="15"/>
      <c r="FZW55" s="15"/>
      <c r="FZX55" s="15"/>
      <c r="FZY55" s="15"/>
      <c r="FZZ55" s="15"/>
      <c r="GAA55" s="15"/>
      <c r="GAB55" s="15"/>
      <c r="GAC55" s="15"/>
      <c r="GAD55" s="15"/>
      <c r="GAE55" s="15"/>
      <c r="GAF55" s="15"/>
      <c r="GAG55" s="15"/>
      <c r="GAH55" s="15"/>
      <c r="GAI55" s="15"/>
      <c r="GAJ55" s="15"/>
      <c r="GAK55" s="15"/>
      <c r="GAL55" s="15"/>
      <c r="GAM55" s="15"/>
      <c r="GAN55" s="15"/>
      <c r="GAO55" s="15"/>
      <c r="GAP55" s="15"/>
      <c r="GAQ55" s="15"/>
      <c r="GAR55" s="15"/>
      <c r="GAS55" s="15"/>
      <c r="GAT55" s="15"/>
      <c r="GAU55" s="15"/>
      <c r="GAV55" s="15"/>
      <c r="GAW55" s="15"/>
      <c r="GAX55" s="15"/>
      <c r="GAY55" s="15"/>
      <c r="GAZ55" s="15"/>
      <c r="GBA55" s="15"/>
      <c r="GBB55" s="15"/>
      <c r="GBC55" s="15"/>
      <c r="GBD55" s="15"/>
      <c r="GBE55" s="15"/>
      <c r="GBF55" s="15"/>
      <c r="GBG55" s="15"/>
      <c r="GBH55" s="15"/>
      <c r="GBI55" s="15"/>
      <c r="GBJ55" s="15"/>
      <c r="GBK55" s="15"/>
      <c r="GBL55" s="15"/>
      <c r="GBM55" s="15"/>
      <c r="GBN55" s="15"/>
      <c r="GBO55" s="15"/>
      <c r="GBP55" s="15"/>
      <c r="GBQ55" s="15"/>
      <c r="GBR55" s="15"/>
      <c r="GBS55" s="15"/>
      <c r="GBT55" s="15"/>
      <c r="GBU55" s="15"/>
      <c r="GBV55" s="15"/>
      <c r="GBW55" s="15"/>
      <c r="GBX55" s="15"/>
      <c r="GBY55" s="15"/>
      <c r="GBZ55" s="15"/>
      <c r="GCA55" s="15"/>
      <c r="GCB55" s="15"/>
      <c r="GCC55" s="15"/>
      <c r="GCD55" s="15"/>
      <c r="GCE55" s="15"/>
      <c r="GCF55" s="15"/>
      <c r="GCG55" s="15"/>
      <c r="GCH55" s="15"/>
      <c r="GCI55" s="15"/>
      <c r="GCJ55" s="15"/>
      <c r="GCK55" s="15"/>
      <c r="GCL55" s="15"/>
      <c r="GCM55" s="15"/>
      <c r="GCN55" s="15"/>
      <c r="GCO55" s="15"/>
      <c r="GCP55" s="15"/>
      <c r="GCQ55" s="15"/>
      <c r="GCR55" s="15"/>
      <c r="GCS55" s="15"/>
      <c r="GCT55" s="15"/>
      <c r="GCU55" s="15"/>
      <c r="GCV55" s="15"/>
      <c r="GCW55" s="15"/>
      <c r="GCX55" s="15"/>
      <c r="GCY55" s="15"/>
      <c r="GCZ55" s="15"/>
      <c r="GDA55" s="15"/>
      <c r="GDB55" s="15"/>
      <c r="GDC55" s="15"/>
      <c r="GDD55" s="15"/>
      <c r="GDE55" s="15"/>
      <c r="GDF55" s="15"/>
      <c r="GDG55" s="15"/>
      <c r="GDH55" s="15"/>
      <c r="GDI55" s="15"/>
      <c r="GDJ55" s="15"/>
      <c r="GDK55" s="15"/>
      <c r="GDL55" s="15"/>
      <c r="GDM55" s="15"/>
      <c r="GDN55" s="15"/>
      <c r="GDO55" s="15"/>
      <c r="GDP55" s="15"/>
      <c r="GDQ55" s="15"/>
      <c r="GDR55" s="15"/>
      <c r="GDS55" s="15"/>
      <c r="GDT55" s="15"/>
      <c r="GDU55" s="15"/>
      <c r="GDV55" s="15"/>
      <c r="GDW55" s="15"/>
      <c r="GDX55" s="15"/>
      <c r="GDY55" s="15"/>
      <c r="GDZ55" s="15"/>
      <c r="GEA55" s="15"/>
      <c r="GEB55" s="15"/>
      <c r="GEC55" s="15"/>
      <c r="GED55" s="15"/>
      <c r="GEE55" s="15"/>
      <c r="GEF55" s="15"/>
      <c r="GEG55" s="15"/>
      <c r="GEH55" s="15"/>
      <c r="GEI55" s="15"/>
      <c r="GEJ55" s="15"/>
      <c r="GEK55" s="15"/>
      <c r="GEL55" s="15"/>
      <c r="GEM55" s="15"/>
      <c r="GEN55" s="15"/>
      <c r="GEO55" s="15"/>
      <c r="GEP55" s="15"/>
      <c r="GEQ55" s="15"/>
      <c r="GER55" s="15"/>
      <c r="GES55" s="15"/>
      <c r="GET55" s="15"/>
      <c r="GEU55" s="15"/>
      <c r="GEV55" s="15"/>
      <c r="GEW55" s="15"/>
      <c r="GEX55" s="15"/>
      <c r="GEY55" s="15"/>
      <c r="GEZ55" s="15"/>
      <c r="GFA55" s="15"/>
      <c r="GFB55" s="15"/>
      <c r="GFC55" s="15"/>
      <c r="GFD55" s="15"/>
      <c r="GFE55" s="15"/>
      <c r="GFF55" s="15"/>
      <c r="GFG55" s="15"/>
      <c r="GFH55" s="15"/>
      <c r="GFI55" s="15"/>
      <c r="GFJ55" s="15"/>
      <c r="GFK55" s="15"/>
      <c r="GFL55" s="15"/>
      <c r="GFM55" s="15"/>
      <c r="GFN55" s="15"/>
      <c r="GFO55" s="15"/>
      <c r="GFP55" s="15"/>
      <c r="GFQ55" s="15"/>
      <c r="GFR55" s="15"/>
      <c r="GFS55" s="15"/>
      <c r="GFT55" s="15"/>
      <c r="GFU55" s="15"/>
      <c r="GFV55" s="15"/>
      <c r="GFW55" s="15"/>
      <c r="GFX55" s="15"/>
      <c r="GFY55" s="15"/>
      <c r="GFZ55" s="15"/>
      <c r="GGA55" s="15"/>
      <c r="GGB55" s="15"/>
      <c r="GGC55" s="15"/>
      <c r="GGD55" s="15"/>
      <c r="GGE55" s="15"/>
      <c r="GGF55" s="15"/>
      <c r="GGG55" s="15"/>
      <c r="GGH55" s="15"/>
      <c r="GGI55" s="15"/>
      <c r="GGJ55" s="15"/>
      <c r="GGK55" s="15"/>
      <c r="GGL55" s="15"/>
      <c r="GGM55" s="15"/>
      <c r="GGN55" s="15"/>
      <c r="GGO55" s="15"/>
      <c r="GGP55" s="15"/>
      <c r="GGQ55" s="15"/>
      <c r="GGR55" s="15"/>
      <c r="GGS55" s="15"/>
      <c r="GGT55" s="15"/>
      <c r="GGU55" s="15"/>
      <c r="GGV55" s="15"/>
      <c r="GGW55" s="15"/>
      <c r="GGX55" s="15"/>
      <c r="GGY55" s="15"/>
      <c r="GGZ55" s="15"/>
      <c r="GHA55" s="15"/>
      <c r="GHB55" s="15"/>
      <c r="GHC55" s="15"/>
      <c r="GHD55" s="15"/>
      <c r="GHE55" s="15"/>
      <c r="GHF55" s="15"/>
      <c r="GHG55" s="15"/>
      <c r="GHH55" s="15"/>
      <c r="GHI55" s="15"/>
      <c r="GHJ55" s="15"/>
      <c r="GHK55" s="15"/>
      <c r="GHL55" s="15"/>
      <c r="GHM55" s="15"/>
      <c r="GHN55" s="15"/>
      <c r="GHO55" s="15"/>
      <c r="GHP55" s="15"/>
      <c r="GHQ55" s="15"/>
      <c r="GHR55" s="15"/>
      <c r="GHS55" s="15"/>
      <c r="GHT55" s="15"/>
      <c r="GHU55" s="15"/>
      <c r="GHV55" s="15"/>
      <c r="GHW55" s="15"/>
      <c r="GHX55" s="15"/>
      <c r="GHY55" s="15"/>
      <c r="GHZ55" s="15"/>
      <c r="GIA55" s="15"/>
      <c r="GIB55" s="15"/>
      <c r="GIC55" s="15"/>
      <c r="GID55" s="15"/>
      <c r="GIE55" s="15"/>
      <c r="GIF55" s="15"/>
      <c r="GIG55" s="15"/>
      <c r="GIH55" s="15"/>
      <c r="GII55" s="15"/>
      <c r="GIJ55" s="15"/>
      <c r="GIK55" s="15"/>
      <c r="GIL55" s="15"/>
      <c r="GIM55" s="15"/>
      <c r="GIN55" s="15"/>
      <c r="GIO55" s="15"/>
      <c r="GIP55" s="15"/>
      <c r="GIQ55" s="15"/>
      <c r="GIR55" s="15"/>
      <c r="GIS55" s="15"/>
      <c r="GIT55" s="15"/>
      <c r="GIU55" s="15"/>
      <c r="GIV55" s="15"/>
      <c r="GIW55" s="15"/>
      <c r="GIX55" s="15"/>
      <c r="GIY55" s="15"/>
      <c r="GIZ55" s="15"/>
      <c r="GJA55" s="15"/>
      <c r="GJB55" s="15"/>
      <c r="GJC55" s="15"/>
      <c r="GJD55" s="15"/>
      <c r="GJE55" s="15"/>
      <c r="GJF55" s="15"/>
      <c r="GJG55" s="15"/>
      <c r="GJH55" s="15"/>
      <c r="GJI55" s="15"/>
      <c r="GJJ55" s="15"/>
      <c r="GJK55" s="15"/>
      <c r="GJL55" s="15"/>
      <c r="GJM55" s="15"/>
      <c r="GJN55" s="15"/>
      <c r="GJO55" s="15"/>
      <c r="GJP55" s="15"/>
      <c r="GJQ55" s="15"/>
      <c r="GJR55" s="15"/>
      <c r="GJS55" s="15"/>
      <c r="GJT55" s="15"/>
      <c r="GJU55" s="15"/>
      <c r="GJV55" s="15"/>
      <c r="GJW55" s="15"/>
      <c r="GJX55" s="15"/>
      <c r="GJY55" s="15"/>
      <c r="GJZ55" s="15"/>
      <c r="GKA55" s="15"/>
      <c r="GKB55" s="15"/>
      <c r="GKC55" s="15"/>
      <c r="GKD55" s="15"/>
      <c r="GKE55" s="15"/>
      <c r="GKF55" s="15"/>
      <c r="GKG55" s="15"/>
      <c r="GKH55" s="15"/>
      <c r="GKI55" s="15"/>
      <c r="GKJ55" s="15"/>
      <c r="GKK55" s="15"/>
      <c r="GKL55" s="15"/>
      <c r="GKM55" s="15"/>
      <c r="GKN55" s="15"/>
      <c r="GKO55" s="15"/>
      <c r="GKP55" s="15"/>
      <c r="GKQ55" s="15"/>
      <c r="GKR55" s="15"/>
      <c r="GKS55" s="15"/>
      <c r="GKT55" s="15"/>
      <c r="GKU55" s="15"/>
      <c r="GKV55" s="15"/>
      <c r="GKW55" s="15"/>
      <c r="GKX55" s="15"/>
      <c r="GKY55" s="15"/>
      <c r="GKZ55" s="15"/>
      <c r="GLA55" s="15"/>
      <c r="GLB55" s="15"/>
      <c r="GLC55" s="15"/>
      <c r="GLD55" s="15"/>
      <c r="GLE55" s="15"/>
      <c r="GLF55" s="15"/>
      <c r="GLG55" s="15"/>
      <c r="GLH55" s="15"/>
      <c r="GLI55" s="15"/>
      <c r="GLJ55" s="15"/>
      <c r="GLK55" s="15"/>
      <c r="GLL55" s="15"/>
      <c r="GLM55" s="15"/>
      <c r="GLN55" s="15"/>
      <c r="GLO55" s="15"/>
      <c r="GLP55" s="15"/>
      <c r="GLQ55" s="15"/>
      <c r="GLR55" s="15"/>
      <c r="GLS55" s="15"/>
      <c r="GLT55" s="15"/>
      <c r="GLU55" s="15"/>
      <c r="GLV55" s="15"/>
      <c r="GLW55" s="15"/>
      <c r="GLX55" s="15"/>
      <c r="GLY55" s="15"/>
      <c r="GLZ55" s="15"/>
      <c r="GMA55" s="15"/>
      <c r="GMB55" s="15"/>
      <c r="GMC55" s="15"/>
      <c r="GMD55" s="15"/>
      <c r="GME55" s="15"/>
      <c r="GMF55" s="15"/>
      <c r="GMG55" s="15"/>
      <c r="GMH55" s="15"/>
      <c r="GMI55" s="15"/>
      <c r="GMJ55" s="15"/>
      <c r="GMK55" s="15"/>
      <c r="GML55" s="15"/>
      <c r="GMM55" s="15"/>
      <c r="GMN55" s="15"/>
      <c r="GMO55" s="15"/>
      <c r="GMP55" s="15"/>
      <c r="GMQ55" s="15"/>
      <c r="GMR55" s="15"/>
      <c r="GMS55" s="15"/>
      <c r="GMT55" s="15"/>
      <c r="GMU55" s="15"/>
      <c r="GMV55" s="15"/>
      <c r="GMW55" s="15"/>
      <c r="GMX55" s="15"/>
      <c r="GMY55" s="15"/>
      <c r="GMZ55" s="15"/>
      <c r="GNA55" s="15"/>
      <c r="GNB55" s="15"/>
      <c r="GNC55" s="15"/>
      <c r="GND55" s="15"/>
      <c r="GNE55" s="15"/>
      <c r="GNF55" s="15"/>
      <c r="GNG55" s="15"/>
      <c r="GNH55" s="15"/>
      <c r="GNI55" s="15"/>
      <c r="GNJ55" s="15"/>
      <c r="GNK55" s="15"/>
      <c r="GNL55" s="15"/>
      <c r="GNM55" s="15"/>
      <c r="GNN55" s="15"/>
      <c r="GNO55" s="15"/>
      <c r="GNP55" s="15"/>
      <c r="GNQ55" s="15"/>
      <c r="GNR55" s="15"/>
      <c r="GNS55" s="15"/>
      <c r="GNT55" s="15"/>
      <c r="GNU55" s="15"/>
      <c r="GNV55" s="15"/>
      <c r="GNW55" s="15"/>
      <c r="GNX55" s="15"/>
      <c r="GNY55" s="15"/>
      <c r="GNZ55" s="15"/>
      <c r="GOA55" s="15"/>
      <c r="GOB55" s="15"/>
      <c r="GOC55" s="15"/>
      <c r="GOD55" s="15"/>
      <c r="GOE55" s="15"/>
      <c r="GOF55" s="15"/>
      <c r="GOG55" s="15"/>
      <c r="GOH55" s="15"/>
      <c r="GOI55" s="15"/>
      <c r="GOJ55" s="15"/>
      <c r="GOK55" s="15"/>
      <c r="GOL55" s="15"/>
      <c r="GOM55" s="15"/>
      <c r="GON55" s="15"/>
      <c r="GOO55" s="15"/>
      <c r="GOP55" s="15"/>
      <c r="GOQ55" s="15"/>
      <c r="GOR55" s="15"/>
      <c r="GOS55" s="15"/>
      <c r="GOT55" s="15"/>
      <c r="GOU55" s="15"/>
      <c r="GOV55" s="15"/>
      <c r="GOW55" s="15"/>
      <c r="GOX55" s="15"/>
      <c r="GOY55" s="15"/>
      <c r="GOZ55" s="15"/>
      <c r="GPA55" s="15"/>
      <c r="GPB55" s="15"/>
      <c r="GPC55" s="15"/>
      <c r="GPD55" s="15"/>
      <c r="GPE55" s="15"/>
      <c r="GPF55" s="15"/>
      <c r="GPG55" s="15"/>
      <c r="GPH55" s="15"/>
      <c r="GPI55" s="15"/>
      <c r="GPJ55" s="15"/>
      <c r="GPK55" s="15"/>
      <c r="GPL55" s="15"/>
      <c r="GPM55" s="15"/>
      <c r="GPN55" s="15"/>
      <c r="GPO55" s="15"/>
      <c r="GPP55" s="15"/>
      <c r="GPQ55" s="15"/>
      <c r="GPR55" s="15"/>
      <c r="GPS55" s="15"/>
      <c r="GPT55" s="15"/>
      <c r="GPU55" s="15"/>
      <c r="GPV55" s="15"/>
      <c r="GPW55" s="15"/>
      <c r="GPX55" s="15"/>
      <c r="GPY55" s="15"/>
      <c r="GPZ55" s="15"/>
      <c r="GQA55" s="15"/>
      <c r="GQB55" s="15"/>
      <c r="GQC55" s="15"/>
      <c r="GQD55" s="15"/>
      <c r="GQE55" s="15"/>
      <c r="GQF55" s="15"/>
      <c r="GQG55" s="15"/>
      <c r="GQH55" s="15"/>
      <c r="GQI55" s="15"/>
      <c r="GQJ55" s="15"/>
      <c r="GQK55" s="15"/>
      <c r="GQL55" s="15"/>
      <c r="GQM55" s="15"/>
      <c r="GQN55" s="15"/>
      <c r="GQO55" s="15"/>
      <c r="GQP55" s="15"/>
      <c r="GQQ55" s="15"/>
      <c r="GQR55" s="15"/>
      <c r="GQS55" s="15"/>
      <c r="GQT55" s="15"/>
      <c r="GQU55" s="15"/>
      <c r="GQV55" s="15"/>
      <c r="GQW55" s="15"/>
      <c r="GQX55" s="15"/>
      <c r="GQY55" s="15"/>
      <c r="GQZ55" s="15"/>
      <c r="GRA55" s="15"/>
      <c r="GRB55" s="15"/>
      <c r="GRC55" s="15"/>
      <c r="GRD55" s="15"/>
      <c r="GRE55" s="15"/>
      <c r="GRF55" s="15"/>
      <c r="GRG55" s="15"/>
      <c r="GRH55" s="15"/>
      <c r="GRI55" s="15"/>
      <c r="GRJ55" s="15"/>
      <c r="GRK55" s="15"/>
      <c r="GRL55" s="15"/>
      <c r="GRM55" s="15"/>
      <c r="GRN55" s="15"/>
      <c r="GRO55" s="15"/>
      <c r="GRP55" s="15"/>
      <c r="GRQ55" s="15"/>
      <c r="GRR55" s="15"/>
      <c r="GRS55" s="15"/>
      <c r="GRT55" s="15"/>
      <c r="GRU55" s="15"/>
      <c r="GRV55" s="15"/>
      <c r="GRW55" s="15"/>
      <c r="GRX55" s="15"/>
      <c r="GRY55" s="15"/>
      <c r="GRZ55" s="15"/>
      <c r="GSA55" s="15"/>
      <c r="GSB55" s="15"/>
      <c r="GSC55" s="15"/>
      <c r="GSD55" s="15"/>
      <c r="GSE55" s="15"/>
      <c r="GSF55" s="15"/>
      <c r="GSG55" s="15"/>
      <c r="GSH55" s="15"/>
      <c r="GSI55" s="15"/>
      <c r="GSJ55" s="15"/>
      <c r="GSK55" s="15"/>
      <c r="GSL55" s="15"/>
      <c r="GSM55" s="15"/>
      <c r="GSN55" s="15"/>
      <c r="GSO55" s="15"/>
      <c r="GSP55" s="15"/>
      <c r="GSQ55" s="15"/>
      <c r="GSR55" s="15"/>
      <c r="GSS55" s="15"/>
      <c r="GST55" s="15"/>
      <c r="GSU55" s="15"/>
      <c r="GSV55" s="15"/>
      <c r="GSW55" s="15"/>
      <c r="GSX55" s="15"/>
      <c r="GSY55" s="15"/>
      <c r="GSZ55" s="15"/>
      <c r="GTA55" s="15"/>
      <c r="GTB55" s="15"/>
      <c r="GTC55" s="15"/>
      <c r="GTD55" s="15"/>
      <c r="GTE55" s="15"/>
      <c r="GTF55" s="15"/>
      <c r="GTG55" s="15"/>
      <c r="GTH55" s="15"/>
      <c r="GTI55" s="15"/>
      <c r="GTJ55" s="15"/>
      <c r="GTK55" s="15"/>
      <c r="GTL55" s="15"/>
      <c r="GTM55" s="15"/>
      <c r="GTN55" s="15"/>
      <c r="GTO55" s="15"/>
      <c r="GTP55" s="15"/>
      <c r="GTQ55" s="15"/>
      <c r="GTR55" s="15"/>
      <c r="GTS55" s="15"/>
      <c r="GTT55" s="15"/>
      <c r="GTU55" s="15"/>
      <c r="GTV55" s="15"/>
      <c r="GTW55" s="15"/>
      <c r="GTX55" s="15"/>
      <c r="GTY55" s="15"/>
      <c r="GTZ55" s="15"/>
      <c r="GUA55" s="15"/>
      <c r="GUB55" s="15"/>
      <c r="GUC55" s="15"/>
      <c r="GUD55" s="15"/>
      <c r="GUE55" s="15"/>
      <c r="GUF55" s="15"/>
      <c r="GUG55" s="15"/>
      <c r="GUH55" s="15"/>
      <c r="GUI55" s="15"/>
      <c r="GUJ55" s="15"/>
      <c r="GUK55" s="15"/>
      <c r="GUL55" s="15"/>
      <c r="GUM55" s="15"/>
      <c r="GUN55" s="15"/>
      <c r="GUO55" s="15"/>
      <c r="GUP55" s="15"/>
      <c r="GUQ55" s="15"/>
      <c r="GUR55" s="15"/>
      <c r="GUS55" s="15"/>
      <c r="GUT55" s="15"/>
      <c r="GUU55" s="15"/>
      <c r="GUV55" s="15"/>
      <c r="GUW55" s="15"/>
      <c r="GUX55" s="15"/>
      <c r="GUY55" s="15"/>
      <c r="GUZ55" s="15"/>
      <c r="GVA55" s="15"/>
      <c r="GVB55" s="15"/>
      <c r="GVC55" s="15"/>
      <c r="GVD55" s="15"/>
      <c r="GVE55" s="15"/>
      <c r="GVF55" s="15"/>
      <c r="GVG55" s="15"/>
      <c r="GVH55" s="15"/>
      <c r="GVI55" s="15"/>
      <c r="GVJ55" s="15"/>
      <c r="GVK55" s="15"/>
      <c r="GVL55" s="15"/>
      <c r="GVM55" s="15"/>
      <c r="GVN55" s="15"/>
      <c r="GVO55" s="15"/>
      <c r="GVP55" s="15"/>
      <c r="GVQ55" s="15"/>
      <c r="GVR55" s="15"/>
      <c r="GVS55" s="15"/>
      <c r="GVT55" s="15"/>
      <c r="GVU55" s="15"/>
      <c r="GVV55" s="15"/>
      <c r="GVW55" s="15"/>
      <c r="GVX55" s="15"/>
      <c r="GVY55" s="15"/>
      <c r="GVZ55" s="15"/>
      <c r="GWA55" s="15"/>
      <c r="GWB55" s="15"/>
      <c r="GWC55" s="15"/>
      <c r="GWD55" s="15"/>
      <c r="GWE55" s="15"/>
      <c r="GWF55" s="15"/>
      <c r="GWG55" s="15"/>
      <c r="GWH55" s="15"/>
      <c r="GWI55" s="15"/>
      <c r="GWJ55" s="15"/>
      <c r="GWK55" s="15"/>
      <c r="GWL55" s="15"/>
      <c r="GWM55" s="15"/>
      <c r="GWN55" s="15"/>
      <c r="GWO55" s="15"/>
      <c r="GWP55" s="15"/>
      <c r="GWQ55" s="15"/>
      <c r="GWR55" s="15"/>
      <c r="GWS55" s="15"/>
      <c r="GWT55" s="15"/>
      <c r="GWU55" s="15"/>
      <c r="GWV55" s="15"/>
      <c r="GWW55" s="15"/>
      <c r="GWX55" s="15"/>
      <c r="GWY55" s="15"/>
      <c r="GWZ55" s="15"/>
      <c r="GXA55" s="15"/>
      <c r="GXB55" s="15"/>
      <c r="GXC55" s="15"/>
      <c r="GXD55" s="15"/>
      <c r="GXE55" s="15"/>
      <c r="GXF55" s="15"/>
      <c r="GXG55" s="15"/>
      <c r="GXH55" s="15"/>
      <c r="GXI55" s="15"/>
      <c r="GXJ55" s="15"/>
      <c r="GXK55" s="15"/>
      <c r="GXL55" s="15"/>
      <c r="GXM55" s="15"/>
      <c r="GXN55" s="15"/>
      <c r="GXO55" s="15"/>
      <c r="GXP55" s="15"/>
      <c r="GXQ55" s="15"/>
      <c r="GXR55" s="15"/>
      <c r="GXS55" s="15"/>
      <c r="GXT55" s="15"/>
      <c r="GXU55" s="15"/>
      <c r="GXV55" s="15"/>
      <c r="GXW55" s="15"/>
      <c r="GXX55" s="15"/>
      <c r="GXY55" s="15"/>
      <c r="GXZ55" s="15"/>
      <c r="GYA55" s="15"/>
      <c r="GYB55" s="15"/>
      <c r="GYC55" s="15"/>
      <c r="GYD55" s="15"/>
      <c r="GYE55" s="15"/>
      <c r="GYF55" s="15"/>
      <c r="GYG55" s="15"/>
      <c r="GYH55" s="15"/>
      <c r="GYI55" s="15"/>
      <c r="GYJ55" s="15"/>
      <c r="GYK55" s="15"/>
      <c r="GYL55" s="15"/>
      <c r="GYM55" s="15"/>
      <c r="GYN55" s="15"/>
      <c r="GYO55" s="15"/>
      <c r="GYP55" s="15"/>
      <c r="GYQ55" s="15"/>
      <c r="GYR55" s="15"/>
      <c r="GYS55" s="15"/>
      <c r="GYT55" s="15"/>
      <c r="GYU55" s="15"/>
      <c r="GYV55" s="15"/>
      <c r="GYW55" s="15"/>
      <c r="GYX55" s="15"/>
      <c r="GYY55" s="15"/>
      <c r="GYZ55" s="15"/>
      <c r="GZA55" s="15"/>
      <c r="GZB55" s="15"/>
      <c r="GZC55" s="15"/>
      <c r="GZD55" s="15"/>
      <c r="GZE55" s="15"/>
      <c r="GZF55" s="15"/>
      <c r="GZG55" s="15"/>
      <c r="GZH55" s="15"/>
      <c r="GZI55" s="15"/>
      <c r="GZJ55" s="15"/>
      <c r="GZK55" s="15"/>
      <c r="GZL55" s="15"/>
      <c r="GZM55" s="15"/>
      <c r="GZN55" s="15"/>
      <c r="GZO55" s="15"/>
      <c r="GZP55" s="15"/>
      <c r="GZQ55" s="15"/>
      <c r="GZR55" s="15"/>
      <c r="GZS55" s="15"/>
      <c r="GZT55" s="15"/>
      <c r="GZU55" s="15"/>
      <c r="GZV55" s="15"/>
      <c r="GZW55" s="15"/>
      <c r="GZX55" s="15"/>
      <c r="GZY55" s="15"/>
      <c r="GZZ55" s="15"/>
      <c r="HAA55" s="15"/>
      <c r="HAB55" s="15"/>
      <c r="HAC55" s="15"/>
      <c r="HAD55" s="15"/>
      <c r="HAE55" s="15"/>
      <c r="HAF55" s="15"/>
      <c r="HAG55" s="15"/>
      <c r="HAH55" s="15"/>
      <c r="HAI55" s="15"/>
      <c r="HAJ55" s="15"/>
      <c r="HAK55" s="15"/>
      <c r="HAL55" s="15"/>
      <c r="HAM55" s="15"/>
      <c r="HAN55" s="15"/>
      <c r="HAO55" s="15"/>
      <c r="HAP55" s="15"/>
      <c r="HAQ55" s="15"/>
      <c r="HAR55" s="15"/>
      <c r="HAS55" s="15"/>
      <c r="HAT55" s="15"/>
      <c r="HAU55" s="15"/>
      <c r="HAV55" s="15"/>
      <c r="HAW55" s="15"/>
      <c r="HAX55" s="15"/>
      <c r="HAY55" s="15"/>
      <c r="HAZ55" s="15"/>
      <c r="HBA55" s="15"/>
      <c r="HBB55" s="15"/>
      <c r="HBC55" s="15"/>
      <c r="HBD55" s="15"/>
      <c r="HBE55" s="15"/>
      <c r="HBF55" s="15"/>
      <c r="HBG55" s="15"/>
      <c r="HBH55" s="15"/>
      <c r="HBI55" s="15"/>
      <c r="HBJ55" s="15"/>
      <c r="HBK55" s="15"/>
      <c r="HBL55" s="15"/>
      <c r="HBM55" s="15"/>
      <c r="HBN55" s="15"/>
      <c r="HBO55" s="15"/>
      <c r="HBP55" s="15"/>
      <c r="HBQ55" s="15"/>
      <c r="HBR55" s="15"/>
      <c r="HBS55" s="15"/>
      <c r="HBT55" s="15"/>
      <c r="HBU55" s="15"/>
      <c r="HBV55" s="15"/>
      <c r="HBW55" s="15"/>
      <c r="HBX55" s="15"/>
      <c r="HBY55" s="15"/>
      <c r="HBZ55" s="15"/>
      <c r="HCA55" s="15"/>
      <c r="HCB55" s="15"/>
      <c r="HCC55" s="15"/>
      <c r="HCD55" s="15"/>
      <c r="HCE55" s="15"/>
      <c r="HCF55" s="15"/>
      <c r="HCG55" s="15"/>
      <c r="HCH55" s="15"/>
      <c r="HCI55" s="15"/>
      <c r="HCJ55" s="15"/>
      <c r="HCK55" s="15"/>
      <c r="HCL55" s="15"/>
      <c r="HCM55" s="15"/>
      <c r="HCN55" s="15"/>
      <c r="HCO55" s="15"/>
      <c r="HCP55" s="15"/>
      <c r="HCQ55" s="15"/>
      <c r="HCR55" s="15"/>
      <c r="HCS55" s="15"/>
      <c r="HCT55" s="15"/>
      <c r="HCU55" s="15"/>
      <c r="HCV55" s="15"/>
      <c r="HCW55" s="15"/>
      <c r="HCX55" s="15"/>
      <c r="HCY55" s="15"/>
      <c r="HCZ55" s="15"/>
      <c r="HDA55" s="15"/>
      <c r="HDB55" s="15"/>
      <c r="HDC55" s="15"/>
      <c r="HDD55" s="15"/>
      <c r="HDE55" s="15"/>
      <c r="HDF55" s="15"/>
      <c r="HDG55" s="15"/>
      <c r="HDH55" s="15"/>
      <c r="HDI55" s="15"/>
      <c r="HDJ55" s="15"/>
      <c r="HDK55" s="15"/>
      <c r="HDL55" s="15"/>
      <c r="HDM55" s="15"/>
      <c r="HDN55" s="15"/>
      <c r="HDO55" s="15"/>
      <c r="HDP55" s="15"/>
      <c r="HDQ55" s="15"/>
      <c r="HDR55" s="15"/>
      <c r="HDS55" s="15"/>
      <c r="HDT55" s="15"/>
      <c r="HDU55" s="15"/>
      <c r="HDV55" s="15"/>
      <c r="HDW55" s="15"/>
      <c r="HDX55" s="15"/>
      <c r="HDY55" s="15"/>
      <c r="HDZ55" s="15"/>
      <c r="HEA55" s="15"/>
      <c r="HEB55" s="15"/>
      <c r="HEC55" s="15"/>
      <c r="HED55" s="15"/>
      <c r="HEE55" s="15"/>
      <c r="HEF55" s="15"/>
      <c r="HEG55" s="15"/>
      <c r="HEH55" s="15"/>
      <c r="HEI55" s="15"/>
      <c r="HEJ55" s="15"/>
      <c r="HEK55" s="15"/>
      <c r="HEL55" s="15"/>
      <c r="HEM55" s="15"/>
      <c r="HEN55" s="15"/>
      <c r="HEO55" s="15"/>
      <c r="HEP55" s="15"/>
      <c r="HEQ55" s="15"/>
      <c r="HER55" s="15"/>
      <c r="HES55" s="15"/>
      <c r="HET55" s="15"/>
      <c r="HEU55" s="15"/>
      <c r="HEV55" s="15"/>
      <c r="HEW55" s="15"/>
      <c r="HEX55" s="15"/>
      <c r="HEY55" s="15"/>
      <c r="HEZ55" s="15"/>
      <c r="HFA55" s="15"/>
      <c r="HFB55" s="15"/>
      <c r="HFC55" s="15"/>
      <c r="HFD55" s="15"/>
      <c r="HFE55" s="15"/>
      <c r="HFF55" s="15"/>
      <c r="HFG55" s="15"/>
      <c r="HFH55" s="15"/>
      <c r="HFI55" s="15"/>
      <c r="HFJ55" s="15"/>
      <c r="HFK55" s="15"/>
      <c r="HFL55" s="15"/>
      <c r="HFM55" s="15"/>
      <c r="HFN55" s="15"/>
      <c r="HFO55" s="15"/>
      <c r="HFP55" s="15"/>
      <c r="HFQ55" s="15"/>
      <c r="HFR55" s="15"/>
      <c r="HFS55" s="15"/>
      <c r="HFT55" s="15"/>
      <c r="HFU55" s="15"/>
      <c r="HFV55" s="15"/>
      <c r="HFW55" s="15"/>
      <c r="HFX55" s="15"/>
      <c r="HFY55" s="15"/>
      <c r="HFZ55" s="15"/>
      <c r="HGA55" s="15"/>
      <c r="HGB55" s="15"/>
      <c r="HGC55" s="15"/>
      <c r="HGD55" s="15"/>
      <c r="HGE55" s="15"/>
      <c r="HGF55" s="15"/>
      <c r="HGG55" s="15"/>
      <c r="HGH55" s="15"/>
      <c r="HGI55" s="15"/>
      <c r="HGJ55" s="15"/>
      <c r="HGK55" s="15"/>
      <c r="HGL55" s="15"/>
      <c r="HGM55" s="15"/>
      <c r="HGN55" s="15"/>
      <c r="HGO55" s="15"/>
      <c r="HGP55" s="15"/>
      <c r="HGQ55" s="15"/>
      <c r="HGR55" s="15"/>
      <c r="HGS55" s="15"/>
      <c r="HGT55" s="15"/>
      <c r="HGU55" s="15"/>
      <c r="HGV55" s="15"/>
      <c r="HGW55" s="15"/>
      <c r="HGX55" s="15"/>
      <c r="HGY55" s="15"/>
      <c r="HGZ55" s="15"/>
      <c r="HHA55" s="15"/>
      <c r="HHB55" s="15"/>
      <c r="HHC55" s="15"/>
      <c r="HHD55" s="15"/>
      <c r="HHE55" s="15"/>
      <c r="HHF55" s="15"/>
      <c r="HHG55" s="15"/>
      <c r="HHH55" s="15"/>
      <c r="HHI55" s="15"/>
      <c r="HHJ55" s="15"/>
      <c r="HHK55" s="15"/>
      <c r="HHL55" s="15"/>
      <c r="HHM55" s="15"/>
      <c r="HHN55" s="15"/>
      <c r="HHO55" s="15"/>
      <c r="HHP55" s="15"/>
      <c r="HHQ55" s="15"/>
      <c r="HHR55" s="15"/>
      <c r="HHS55" s="15"/>
      <c r="HHT55" s="15"/>
      <c r="HHU55" s="15"/>
      <c r="HHV55" s="15"/>
      <c r="HHW55" s="15"/>
      <c r="HHX55" s="15"/>
      <c r="HHY55" s="15"/>
      <c r="HHZ55" s="15"/>
      <c r="HIA55" s="15"/>
      <c r="HIB55" s="15"/>
      <c r="HIC55" s="15"/>
      <c r="HID55" s="15"/>
      <c r="HIE55" s="15"/>
      <c r="HIF55" s="15"/>
      <c r="HIG55" s="15"/>
      <c r="HIH55" s="15"/>
      <c r="HII55" s="15"/>
      <c r="HIJ55" s="15"/>
      <c r="HIK55" s="15"/>
      <c r="HIL55" s="15"/>
      <c r="HIM55" s="15"/>
      <c r="HIN55" s="15"/>
      <c r="HIO55" s="15"/>
      <c r="HIP55" s="15"/>
      <c r="HIQ55" s="15"/>
      <c r="HIR55" s="15"/>
      <c r="HIS55" s="15"/>
      <c r="HIT55" s="15"/>
      <c r="HIU55" s="15"/>
      <c r="HIV55" s="15"/>
      <c r="HIW55" s="15"/>
      <c r="HIX55" s="15"/>
      <c r="HIY55" s="15"/>
      <c r="HIZ55" s="15"/>
      <c r="HJA55" s="15"/>
      <c r="HJB55" s="15"/>
      <c r="HJC55" s="15"/>
      <c r="HJD55" s="15"/>
      <c r="HJE55" s="15"/>
      <c r="HJF55" s="15"/>
      <c r="HJG55" s="15"/>
      <c r="HJH55" s="15"/>
      <c r="HJI55" s="15"/>
      <c r="HJJ55" s="15"/>
      <c r="HJK55" s="15"/>
      <c r="HJL55" s="15"/>
      <c r="HJM55" s="15"/>
      <c r="HJN55" s="15"/>
      <c r="HJO55" s="15"/>
      <c r="HJP55" s="15"/>
      <c r="HJQ55" s="15"/>
      <c r="HJR55" s="15"/>
      <c r="HJS55" s="15"/>
      <c r="HJT55" s="15"/>
      <c r="HJU55" s="15"/>
      <c r="HJV55" s="15"/>
      <c r="HJW55" s="15"/>
      <c r="HJX55" s="15"/>
      <c r="HJY55" s="15"/>
      <c r="HJZ55" s="15"/>
      <c r="HKA55" s="15"/>
      <c r="HKB55" s="15"/>
      <c r="HKC55" s="15"/>
      <c r="HKD55" s="15"/>
      <c r="HKE55" s="15"/>
      <c r="HKF55" s="15"/>
      <c r="HKG55" s="15"/>
      <c r="HKH55" s="15"/>
      <c r="HKI55" s="15"/>
      <c r="HKJ55" s="15"/>
      <c r="HKK55" s="15"/>
      <c r="HKL55" s="15"/>
      <c r="HKM55" s="15"/>
      <c r="HKN55" s="15"/>
      <c r="HKO55" s="15"/>
      <c r="HKP55" s="15"/>
      <c r="HKQ55" s="15"/>
      <c r="HKR55" s="15"/>
      <c r="HKS55" s="15"/>
      <c r="HKT55" s="15"/>
      <c r="HKU55" s="15"/>
      <c r="HKV55" s="15"/>
      <c r="HKW55" s="15"/>
      <c r="HKX55" s="15"/>
      <c r="HKY55" s="15"/>
      <c r="HKZ55" s="15"/>
      <c r="HLA55" s="15"/>
      <c r="HLB55" s="15"/>
      <c r="HLC55" s="15"/>
      <c r="HLD55" s="15"/>
      <c r="HLE55" s="15"/>
      <c r="HLF55" s="15"/>
      <c r="HLG55" s="15"/>
      <c r="HLH55" s="15"/>
      <c r="HLI55" s="15"/>
      <c r="HLJ55" s="15"/>
      <c r="HLK55" s="15"/>
      <c r="HLL55" s="15"/>
      <c r="HLM55" s="15"/>
      <c r="HLN55" s="15"/>
      <c r="HLO55" s="15"/>
      <c r="HLP55" s="15"/>
      <c r="HLQ55" s="15"/>
      <c r="HLR55" s="15"/>
      <c r="HLS55" s="15"/>
      <c r="HLT55" s="15"/>
      <c r="HLU55" s="15"/>
      <c r="HLV55" s="15"/>
      <c r="HLW55" s="15"/>
      <c r="HLX55" s="15"/>
      <c r="HLY55" s="15"/>
      <c r="HLZ55" s="15"/>
      <c r="HMA55" s="15"/>
      <c r="HMB55" s="15"/>
      <c r="HMC55" s="15"/>
      <c r="HMD55" s="15"/>
      <c r="HME55" s="15"/>
      <c r="HMF55" s="15"/>
      <c r="HMG55" s="15"/>
      <c r="HMH55" s="15"/>
      <c r="HMI55" s="15"/>
      <c r="HMJ55" s="15"/>
      <c r="HMK55" s="15"/>
      <c r="HML55" s="15"/>
      <c r="HMM55" s="15"/>
      <c r="HMN55" s="15"/>
      <c r="HMO55" s="15"/>
      <c r="HMP55" s="15"/>
      <c r="HMQ55" s="15"/>
      <c r="HMR55" s="15"/>
      <c r="HMS55" s="15"/>
      <c r="HMT55" s="15"/>
      <c r="HMU55" s="15"/>
      <c r="HMV55" s="15"/>
      <c r="HMW55" s="15"/>
      <c r="HMX55" s="15"/>
      <c r="HMY55" s="15"/>
      <c r="HMZ55" s="15"/>
      <c r="HNA55" s="15"/>
      <c r="HNB55" s="15"/>
      <c r="HNC55" s="15"/>
      <c r="HND55" s="15"/>
      <c r="HNE55" s="15"/>
      <c r="HNF55" s="15"/>
      <c r="HNG55" s="15"/>
      <c r="HNH55" s="15"/>
      <c r="HNI55" s="15"/>
      <c r="HNJ55" s="15"/>
      <c r="HNK55" s="15"/>
      <c r="HNL55" s="15"/>
      <c r="HNM55" s="15"/>
      <c r="HNN55" s="15"/>
      <c r="HNO55" s="15"/>
      <c r="HNP55" s="15"/>
      <c r="HNQ55" s="15"/>
      <c r="HNR55" s="15"/>
      <c r="HNS55" s="15"/>
      <c r="HNT55" s="15"/>
      <c r="HNU55" s="15"/>
      <c r="HNV55" s="15"/>
      <c r="HNW55" s="15"/>
      <c r="HNX55" s="15"/>
      <c r="HNY55" s="15"/>
      <c r="HNZ55" s="15"/>
      <c r="HOA55" s="15"/>
      <c r="HOB55" s="15"/>
      <c r="HOC55" s="15"/>
      <c r="HOD55" s="15"/>
      <c r="HOE55" s="15"/>
      <c r="HOF55" s="15"/>
      <c r="HOG55" s="15"/>
      <c r="HOH55" s="15"/>
      <c r="HOI55" s="15"/>
      <c r="HOJ55" s="15"/>
      <c r="HOK55" s="15"/>
      <c r="HOL55" s="15"/>
      <c r="HOM55" s="15"/>
      <c r="HON55" s="15"/>
      <c r="HOO55" s="15"/>
      <c r="HOP55" s="15"/>
      <c r="HOQ55" s="15"/>
      <c r="HOR55" s="15"/>
      <c r="HOS55" s="15"/>
      <c r="HOT55" s="15"/>
      <c r="HOU55" s="15"/>
      <c r="HOV55" s="15"/>
      <c r="HOW55" s="15"/>
      <c r="HOX55" s="15"/>
      <c r="HOY55" s="15"/>
      <c r="HOZ55" s="15"/>
      <c r="HPA55" s="15"/>
      <c r="HPB55" s="15"/>
      <c r="HPC55" s="15"/>
      <c r="HPD55" s="15"/>
      <c r="HPE55" s="15"/>
      <c r="HPF55" s="15"/>
      <c r="HPG55" s="15"/>
      <c r="HPH55" s="15"/>
      <c r="HPI55" s="15"/>
      <c r="HPJ55" s="15"/>
      <c r="HPK55" s="15"/>
      <c r="HPL55" s="15"/>
      <c r="HPM55" s="15"/>
      <c r="HPN55" s="15"/>
      <c r="HPO55" s="15"/>
      <c r="HPP55" s="15"/>
      <c r="HPQ55" s="15"/>
      <c r="HPR55" s="15"/>
      <c r="HPS55" s="15"/>
      <c r="HPT55" s="15"/>
      <c r="HPU55" s="15"/>
      <c r="HPV55" s="15"/>
      <c r="HPW55" s="15"/>
      <c r="HPX55" s="15"/>
      <c r="HPY55" s="15"/>
      <c r="HPZ55" s="15"/>
      <c r="HQA55" s="15"/>
      <c r="HQB55" s="15"/>
      <c r="HQC55" s="15"/>
      <c r="HQD55" s="15"/>
      <c r="HQE55" s="15"/>
      <c r="HQF55" s="15"/>
      <c r="HQG55" s="15"/>
      <c r="HQH55" s="15"/>
      <c r="HQI55" s="15"/>
      <c r="HQJ55" s="15"/>
      <c r="HQK55" s="15"/>
      <c r="HQL55" s="15"/>
      <c r="HQM55" s="15"/>
      <c r="HQN55" s="15"/>
      <c r="HQO55" s="15"/>
      <c r="HQP55" s="15"/>
      <c r="HQQ55" s="15"/>
      <c r="HQR55" s="15"/>
      <c r="HQS55" s="15"/>
      <c r="HQT55" s="15"/>
      <c r="HQU55" s="15"/>
      <c r="HQV55" s="15"/>
      <c r="HQW55" s="15"/>
      <c r="HQX55" s="15"/>
      <c r="HQY55" s="15"/>
      <c r="HQZ55" s="15"/>
      <c r="HRA55" s="15"/>
      <c r="HRB55" s="15"/>
      <c r="HRC55" s="15"/>
      <c r="HRD55" s="15"/>
      <c r="HRE55" s="15"/>
      <c r="HRF55" s="15"/>
      <c r="HRG55" s="15"/>
      <c r="HRH55" s="15"/>
      <c r="HRI55" s="15"/>
      <c r="HRJ55" s="15"/>
      <c r="HRK55" s="15"/>
      <c r="HRL55" s="15"/>
      <c r="HRM55" s="15"/>
      <c r="HRN55" s="15"/>
      <c r="HRO55" s="15"/>
      <c r="HRP55" s="15"/>
      <c r="HRQ55" s="15"/>
      <c r="HRR55" s="15"/>
      <c r="HRS55" s="15"/>
      <c r="HRT55" s="15"/>
      <c r="HRU55" s="15"/>
      <c r="HRV55" s="15"/>
      <c r="HRW55" s="15"/>
      <c r="HRX55" s="15"/>
      <c r="HRY55" s="15"/>
      <c r="HRZ55" s="15"/>
      <c r="HSA55" s="15"/>
      <c r="HSB55" s="15"/>
      <c r="HSC55" s="15"/>
      <c r="HSD55" s="15"/>
      <c r="HSE55" s="15"/>
      <c r="HSF55" s="15"/>
      <c r="HSG55" s="15"/>
      <c r="HSH55" s="15"/>
      <c r="HSI55" s="15"/>
      <c r="HSJ55" s="15"/>
      <c r="HSK55" s="15"/>
      <c r="HSL55" s="15"/>
      <c r="HSM55" s="15"/>
      <c r="HSN55" s="15"/>
      <c r="HSO55" s="15"/>
      <c r="HSP55" s="15"/>
      <c r="HSQ55" s="15"/>
      <c r="HSR55" s="15"/>
      <c r="HSS55" s="15"/>
      <c r="HST55" s="15"/>
      <c r="HSU55" s="15"/>
      <c r="HSV55" s="15"/>
      <c r="HSW55" s="15"/>
      <c r="HSX55" s="15"/>
      <c r="HSY55" s="15"/>
      <c r="HSZ55" s="15"/>
      <c r="HTA55" s="15"/>
      <c r="HTB55" s="15"/>
      <c r="HTC55" s="15"/>
      <c r="HTD55" s="15"/>
      <c r="HTE55" s="15"/>
      <c r="HTF55" s="15"/>
      <c r="HTG55" s="15"/>
      <c r="HTH55" s="15"/>
      <c r="HTI55" s="15"/>
      <c r="HTJ55" s="15"/>
      <c r="HTK55" s="15"/>
      <c r="HTL55" s="15"/>
      <c r="HTM55" s="15"/>
      <c r="HTN55" s="15"/>
      <c r="HTO55" s="15"/>
      <c r="HTP55" s="15"/>
      <c r="HTQ55" s="15"/>
      <c r="HTR55" s="15"/>
      <c r="HTS55" s="15"/>
      <c r="HTT55" s="15"/>
      <c r="HTU55" s="15"/>
      <c r="HTV55" s="15"/>
      <c r="HTW55" s="15"/>
      <c r="HTX55" s="15"/>
      <c r="HTY55" s="15"/>
      <c r="HTZ55" s="15"/>
      <c r="HUA55" s="15"/>
      <c r="HUB55" s="15"/>
      <c r="HUC55" s="15"/>
      <c r="HUD55" s="15"/>
      <c r="HUE55" s="15"/>
      <c r="HUF55" s="15"/>
      <c r="HUG55" s="15"/>
      <c r="HUH55" s="15"/>
      <c r="HUI55" s="15"/>
      <c r="HUJ55" s="15"/>
      <c r="HUK55" s="15"/>
      <c r="HUL55" s="15"/>
      <c r="HUM55" s="15"/>
      <c r="HUN55" s="15"/>
      <c r="HUO55" s="15"/>
      <c r="HUP55" s="15"/>
      <c r="HUQ55" s="15"/>
      <c r="HUR55" s="15"/>
      <c r="HUS55" s="15"/>
      <c r="HUT55" s="15"/>
      <c r="HUU55" s="15"/>
      <c r="HUV55" s="15"/>
      <c r="HUW55" s="15"/>
      <c r="HUX55" s="15"/>
      <c r="HUY55" s="15"/>
      <c r="HUZ55" s="15"/>
      <c r="HVA55" s="15"/>
      <c r="HVB55" s="15"/>
      <c r="HVC55" s="15"/>
      <c r="HVD55" s="15"/>
      <c r="HVE55" s="15"/>
      <c r="HVF55" s="15"/>
      <c r="HVG55" s="15"/>
      <c r="HVH55" s="15"/>
      <c r="HVI55" s="15"/>
      <c r="HVJ55" s="15"/>
      <c r="HVK55" s="15"/>
      <c r="HVL55" s="15"/>
      <c r="HVM55" s="15"/>
      <c r="HVN55" s="15"/>
      <c r="HVO55" s="15"/>
      <c r="HVP55" s="15"/>
      <c r="HVQ55" s="15"/>
      <c r="HVR55" s="15"/>
      <c r="HVS55" s="15"/>
      <c r="HVT55" s="15"/>
      <c r="HVU55" s="15"/>
      <c r="HVV55" s="15"/>
      <c r="HVW55" s="15"/>
      <c r="HVX55" s="15"/>
      <c r="HVY55" s="15"/>
      <c r="HVZ55" s="15"/>
      <c r="HWA55" s="15"/>
      <c r="HWB55" s="15"/>
      <c r="HWC55" s="15"/>
      <c r="HWD55" s="15"/>
      <c r="HWE55" s="15"/>
      <c r="HWF55" s="15"/>
      <c r="HWG55" s="15"/>
      <c r="HWH55" s="15"/>
      <c r="HWI55" s="15"/>
      <c r="HWJ55" s="15"/>
      <c r="HWK55" s="15"/>
      <c r="HWL55" s="15"/>
      <c r="HWM55" s="15"/>
      <c r="HWN55" s="15"/>
      <c r="HWO55" s="15"/>
      <c r="HWP55" s="15"/>
      <c r="HWQ55" s="15"/>
      <c r="HWR55" s="15"/>
      <c r="HWS55" s="15"/>
      <c r="HWT55" s="15"/>
      <c r="HWU55" s="15"/>
      <c r="HWV55" s="15"/>
      <c r="HWW55" s="15"/>
      <c r="HWX55" s="15"/>
      <c r="HWY55" s="15"/>
      <c r="HWZ55" s="15"/>
      <c r="HXA55" s="15"/>
      <c r="HXB55" s="15"/>
      <c r="HXC55" s="15"/>
      <c r="HXD55" s="15"/>
      <c r="HXE55" s="15"/>
      <c r="HXF55" s="15"/>
      <c r="HXG55" s="15"/>
      <c r="HXH55" s="15"/>
      <c r="HXI55" s="15"/>
      <c r="HXJ55" s="15"/>
      <c r="HXK55" s="15"/>
      <c r="HXL55" s="15"/>
      <c r="HXM55" s="15"/>
      <c r="HXN55" s="15"/>
      <c r="HXO55" s="15"/>
      <c r="HXP55" s="15"/>
      <c r="HXQ55" s="15"/>
      <c r="HXR55" s="15"/>
      <c r="HXS55" s="15"/>
      <c r="HXT55" s="15"/>
      <c r="HXU55" s="15"/>
      <c r="HXV55" s="15"/>
      <c r="HXW55" s="15"/>
      <c r="HXX55" s="15"/>
      <c r="HXY55" s="15"/>
      <c r="HXZ55" s="15"/>
      <c r="HYA55" s="15"/>
      <c r="HYB55" s="15"/>
      <c r="HYC55" s="15"/>
      <c r="HYD55" s="15"/>
      <c r="HYE55" s="15"/>
      <c r="HYF55" s="15"/>
      <c r="HYG55" s="15"/>
      <c r="HYH55" s="15"/>
      <c r="HYI55" s="15"/>
      <c r="HYJ55" s="15"/>
      <c r="HYK55" s="15"/>
      <c r="HYL55" s="15"/>
      <c r="HYM55" s="15"/>
      <c r="HYN55" s="15"/>
      <c r="HYO55" s="15"/>
      <c r="HYP55" s="15"/>
      <c r="HYQ55" s="15"/>
      <c r="HYR55" s="15"/>
      <c r="HYS55" s="15"/>
      <c r="HYT55" s="15"/>
      <c r="HYU55" s="15"/>
      <c r="HYV55" s="15"/>
      <c r="HYW55" s="15"/>
      <c r="HYX55" s="15"/>
      <c r="HYY55" s="15"/>
      <c r="HYZ55" s="15"/>
      <c r="HZA55" s="15"/>
      <c r="HZB55" s="15"/>
      <c r="HZC55" s="15"/>
      <c r="HZD55" s="15"/>
      <c r="HZE55" s="15"/>
      <c r="HZF55" s="15"/>
      <c r="HZG55" s="15"/>
      <c r="HZH55" s="15"/>
      <c r="HZI55" s="15"/>
      <c r="HZJ55" s="15"/>
      <c r="HZK55" s="15"/>
      <c r="HZL55" s="15"/>
      <c r="HZM55" s="15"/>
      <c r="HZN55" s="15"/>
      <c r="HZO55" s="15"/>
      <c r="HZP55" s="15"/>
      <c r="HZQ55" s="15"/>
      <c r="HZR55" s="15"/>
      <c r="HZS55" s="15"/>
      <c r="HZT55" s="15"/>
      <c r="HZU55" s="15"/>
      <c r="HZV55" s="15"/>
      <c r="HZW55" s="15"/>
      <c r="HZX55" s="15"/>
      <c r="HZY55" s="15"/>
      <c r="HZZ55" s="15"/>
      <c r="IAA55" s="15"/>
      <c r="IAB55" s="15"/>
      <c r="IAC55" s="15"/>
      <c r="IAD55" s="15"/>
      <c r="IAE55" s="15"/>
      <c r="IAF55" s="15"/>
      <c r="IAG55" s="15"/>
      <c r="IAH55" s="15"/>
      <c r="IAI55" s="15"/>
      <c r="IAJ55" s="15"/>
      <c r="IAK55" s="15"/>
      <c r="IAL55" s="15"/>
      <c r="IAM55" s="15"/>
      <c r="IAN55" s="15"/>
      <c r="IAO55" s="15"/>
      <c r="IAP55" s="15"/>
      <c r="IAQ55" s="15"/>
      <c r="IAR55" s="15"/>
      <c r="IAS55" s="15"/>
      <c r="IAT55" s="15"/>
      <c r="IAU55" s="15"/>
      <c r="IAV55" s="15"/>
      <c r="IAW55" s="15"/>
      <c r="IAX55" s="15"/>
      <c r="IAY55" s="15"/>
      <c r="IAZ55" s="15"/>
      <c r="IBA55" s="15"/>
      <c r="IBB55" s="15"/>
      <c r="IBC55" s="15"/>
      <c r="IBD55" s="15"/>
      <c r="IBE55" s="15"/>
      <c r="IBF55" s="15"/>
      <c r="IBG55" s="15"/>
      <c r="IBH55" s="15"/>
      <c r="IBI55" s="15"/>
      <c r="IBJ55" s="15"/>
      <c r="IBK55" s="15"/>
      <c r="IBL55" s="15"/>
      <c r="IBM55" s="15"/>
      <c r="IBN55" s="15"/>
      <c r="IBO55" s="15"/>
      <c r="IBP55" s="15"/>
      <c r="IBQ55" s="15"/>
      <c r="IBR55" s="15"/>
      <c r="IBS55" s="15"/>
      <c r="IBT55" s="15"/>
      <c r="IBU55" s="15"/>
      <c r="IBV55" s="15"/>
      <c r="IBW55" s="15"/>
      <c r="IBX55" s="15"/>
      <c r="IBY55" s="15"/>
      <c r="IBZ55" s="15"/>
      <c r="ICA55" s="15"/>
      <c r="ICB55" s="15"/>
      <c r="ICC55" s="15"/>
      <c r="ICD55" s="15"/>
      <c r="ICE55" s="15"/>
      <c r="ICF55" s="15"/>
      <c r="ICG55" s="15"/>
      <c r="ICH55" s="15"/>
      <c r="ICI55" s="15"/>
      <c r="ICJ55" s="15"/>
      <c r="ICK55" s="15"/>
      <c r="ICL55" s="15"/>
      <c r="ICM55" s="15"/>
      <c r="ICN55" s="15"/>
      <c r="ICO55" s="15"/>
      <c r="ICP55" s="15"/>
      <c r="ICQ55" s="15"/>
      <c r="ICR55" s="15"/>
      <c r="ICS55" s="15"/>
      <c r="ICT55" s="15"/>
      <c r="ICU55" s="15"/>
      <c r="ICV55" s="15"/>
      <c r="ICW55" s="15"/>
      <c r="ICX55" s="15"/>
      <c r="ICY55" s="15"/>
      <c r="ICZ55" s="15"/>
      <c r="IDA55" s="15"/>
      <c r="IDB55" s="15"/>
      <c r="IDC55" s="15"/>
      <c r="IDD55" s="15"/>
      <c r="IDE55" s="15"/>
      <c r="IDF55" s="15"/>
      <c r="IDG55" s="15"/>
      <c r="IDH55" s="15"/>
      <c r="IDI55" s="15"/>
      <c r="IDJ55" s="15"/>
      <c r="IDK55" s="15"/>
      <c r="IDL55" s="15"/>
      <c r="IDM55" s="15"/>
      <c r="IDN55" s="15"/>
      <c r="IDO55" s="15"/>
      <c r="IDP55" s="15"/>
      <c r="IDQ55" s="15"/>
      <c r="IDR55" s="15"/>
      <c r="IDS55" s="15"/>
      <c r="IDT55" s="15"/>
      <c r="IDU55" s="15"/>
      <c r="IDV55" s="15"/>
      <c r="IDW55" s="15"/>
      <c r="IDX55" s="15"/>
      <c r="IDY55" s="15"/>
      <c r="IDZ55" s="15"/>
      <c r="IEA55" s="15"/>
      <c r="IEB55" s="15"/>
      <c r="IEC55" s="15"/>
      <c r="IED55" s="15"/>
      <c r="IEE55" s="15"/>
      <c r="IEF55" s="15"/>
      <c r="IEG55" s="15"/>
      <c r="IEH55" s="15"/>
      <c r="IEI55" s="15"/>
      <c r="IEJ55" s="15"/>
      <c r="IEK55" s="15"/>
      <c r="IEL55" s="15"/>
      <c r="IEM55" s="15"/>
      <c r="IEN55" s="15"/>
      <c r="IEO55" s="15"/>
      <c r="IEP55" s="15"/>
      <c r="IEQ55" s="15"/>
      <c r="IER55" s="15"/>
      <c r="IES55" s="15"/>
      <c r="IET55" s="15"/>
      <c r="IEU55" s="15"/>
      <c r="IEV55" s="15"/>
      <c r="IEW55" s="15"/>
      <c r="IEX55" s="15"/>
      <c r="IEY55" s="15"/>
      <c r="IEZ55" s="15"/>
      <c r="IFA55" s="15"/>
      <c r="IFB55" s="15"/>
      <c r="IFC55" s="15"/>
      <c r="IFD55" s="15"/>
      <c r="IFE55" s="15"/>
      <c r="IFF55" s="15"/>
      <c r="IFG55" s="15"/>
      <c r="IFH55" s="15"/>
      <c r="IFI55" s="15"/>
      <c r="IFJ55" s="15"/>
      <c r="IFK55" s="15"/>
      <c r="IFL55" s="15"/>
      <c r="IFM55" s="15"/>
      <c r="IFN55" s="15"/>
      <c r="IFO55" s="15"/>
      <c r="IFP55" s="15"/>
      <c r="IFQ55" s="15"/>
      <c r="IFR55" s="15"/>
      <c r="IFS55" s="15"/>
      <c r="IFT55" s="15"/>
      <c r="IFU55" s="15"/>
      <c r="IFV55" s="15"/>
      <c r="IFW55" s="15"/>
      <c r="IFX55" s="15"/>
      <c r="IFY55" s="15"/>
      <c r="IFZ55" s="15"/>
      <c r="IGA55" s="15"/>
      <c r="IGB55" s="15"/>
      <c r="IGC55" s="15"/>
      <c r="IGD55" s="15"/>
      <c r="IGE55" s="15"/>
      <c r="IGF55" s="15"/>
      <c r="IGG55" s="15"/>
      <c r="IGH55" s="15"/>
      <c r="IGI55" s="15"/>
      <c r="IGJ55" s="15"/>
      <c r="IGK55" s="15"/>
      <c r="IGL55" s="15"/>
      <c r="IGM55" s="15"/>
      <c r="IGN55" s="15"/>
      <c r="IGO55" s="15"/>
      <c r="IGP55" s="15"/>
      <c r="IGQ55" s="15"/>
      <c r="IGR55" s="15"/>
      <c r="IGS55" s="15"/>
      <c r="IGT55" s="15"/>
      <c r="IGU55" s="15"/>
      <c r="IGV55" s="15"/>
      <c r="IGW55" s="15"/>
      <c r="IGX55" s="15"/>
      <c r="IGY55" s="15"/>
      <c r="IGZ55" s="15"/>
      <c r="IHA55" s="15"/>
      <c r="IHB55" s="15"/>
      <c r="IHC55" s="15"/>
      <c r="IHD55" s="15"/>
      <c r="IHE55" s="15"/>
      <c r="IHF55" s="15"/>
      <c r="IHG55" s="15"/>
      <c r="IHH55" s="15"/>
      <c r="IHI55" s="15"/>
      <c r="IHJ55" s="15"/>
      <c r="IHK55" s="15"/>
      <c r="IHL55" s="15"/>
      <c r="IHM55" s="15"/>
      <c r="IHN55" s="15"/>
      <c r="IHO55" s="15"/>
      <c r="IHP55" s="15"/>
      <c r="IHQ55" s="15"/>
      <c r="IHR55" s="15"/>
      <c r="IHS55" s="15"/>
      <c r="IHT55" s="15"/>
      <c r="IHU55" s="15"/>
      <c r="IHV55" s="15"/>
      <c r="IHW55" s="15"/>
      <c r="IHX55" s="15"/>
      <c r="IHY55" s="15"/>
      <c r="IHZ55" s="15"/>
      <c r="IIA55" s="15"/>
      <c r="IIB55" s="15"/>
      <c r="IIC55" s="15"/>
      <c r="IID55" s="15"/>
      <c r="IIE55" s="15"/>
      <c r="IIF55" s="15"/>
      <c r="IIG55" s="15"/>
      <c r="IIH55" s="15"/>
      <c r="III55" s="15"/>
      <c r="IIJ55" s="15"/>
      <c r="IIK55" s="15"/>
      <c r="IIL55" s="15"/>
      <c r="IIM55" s="15"/>
      <c r="IIN55" s="15"/>
      <c r="IIO55" s="15"/>
      <c r="IIP55" s="15"/>
      <c r="IIQ55" s="15"/>
      <c r="IIR55" s="15"/>
      <c r="IIS55" s="15"/>
      <c r="IIT55" s="15"/>
      <c r="IIU55" s="15"/>
      <c r="IIV55" s="15"/>
      <c r="IIW55" s="15"/>
      <c r="IIX55" s="15"/>
      <c r="IIY55" s="15"/>
      <c r="IIZ55" s="15"/>
      <c r="IJA55" s="15"/>
      <c r="IJB55" s="15"/>
      <c r="IJC55" s="15"/>
      <c r="IJD55" s="15"/>
      <c r="IJE55" s="15"/>
      <c r="IJF55" s="15"/>
      <c r="IJG55" s="15"/>
      <c r="IJH55" s="15"/>
      <c r="IJI55" s="15"/>
      <c r="IJJ55" s="15"/>
      <c r="IJK55" s="15"/>
      <c r="IJL55" s="15"/>
      <c r="IJM55" s="15"/>
      <c r="IJN55" s="15"/>
      <c r="IJO55" s="15"/>
      <c r="IJP55" s="15"/>
      <c r="IJQ55" s="15"/>
      <c r="IJR55" s="15"/>
      <c r="IJS55" s="15"/>
      <c r="IJT55" s="15"/>
      <c r="IJU55" s="15"/>
      <c r="IJV55" s="15"/>
      <c r="IJW55" s="15"/>
      <c r="IJX55" s="15"/>
      <c r="IJY55" s="15"/>
      <c r="IJZ55" s="15"/>
      <c r="IKA55" s="15"/>
      <c r="IKB55" s="15"/>
      <c r="IKC55" s="15"/>
      <c r="IKD55" s="15"/>
      <c r="IKE55" s="15"/>
      <c r="IKF55" s="15"/>
      <c r="IKG55" s="15"/>
      <c r="IKH55" s="15"/>
      <c r="IKI55" s="15"/>
      <c r="IKJ55" s="15"/>
      <c r="IKK55" s="15"/>
      <c r="IKL55" s="15"/>
      <c r="IKM55" s="15"/>
      <c r="IKN55" s="15"/>
      <c r="IKO55" s="15"/>
      <c r="IKP55" s="15"/>
      <c r="IKQ55" s="15"/>
      <c r="IKR55" s="15"/>
      <c r="IKS55" s="15"/>
      <c r="IKT55" s="15"/>
      <c r="IKU55" s="15"/>
      <c r="IKV55" s="15"/>
      <c r="IKW55" s="15"/>
      <c r="IKX55" s="15"/>
      <c r="IKY55" s="15"/>
      <c r="IKZ55" s="15"/>
      <c r="ILA55" s="15"/>
      <c r="ILB55" s="15"/>
      <c r="ILC55" s="15"/>
      <c r="ILD55" s="15"/>
      <c r="ILE55" s="15"/>
      <c r="ILF55" s="15"/>
      <c r="ILG55" s="15"/>
      <c r="ILH55" s="15"/>
      <c r="ILI55" s="15"/>
      <c r="ILJ55" s="15"/>
      <c r="ILK55" s="15"/>
      <c r="ILL55" s="15"/>
      <c r="ILM55" s="15"/>
      <c r="ILN55" s="15"/>
      <c r="ILO55" s="15"/>
      <c r="ILP55" s="15"/>
      <c r="ILQ55" s="15"/>
      <c r="ILR55" s="15"/>
      <c r="ILS55" s="15"/>
      <c r="ILT55" s="15"/>
      <c r="ILU55" s="15"/>
      <c r="ILV55" s="15"/>
      <c r="ILW55" s="15"/>
      <c r="ILX55" s="15"/>
      <c r="ILY55" s="15"/>
      <c r="ILZ55" s="15"/>
      <c r="IMA55" s="15"/>
      <c r="IMB55" s="15"/>
      <c r="IMC55" s="15"/>
      <c r="IMD55" s="15"/>
      <c r="IME55" s="15"/>
      <c r="IMF55" s="15"/>
      <c r="IMG55" s="15"/>
      <c r="IMH55" s="15"/>
      <c r="IMI55" s="15"/>
      <c r="IMJ55" s="15"/>
      <c r="IMK55" s="15"/>
      <c r="IML55" s="15"/>
      <c r="IMM55" s="15"/>
      <c r="IMN55" s="15"/>
      <c r="IMO55" s="15"/>
      <c r="IMP55" s="15"/>
      <c r="IMQ55" s="15"/>
      <c r="IMR55" s="15"/>
      <c r="IMS55" s="15"/>
      <c r="IMT55" s="15"/>
      <c r="IMU55" s="15"/>
      <c r="IMV55" s="15"/>
      <c r="IMW55" s="15"/>
      <c r="IMX55" s="15"/>
      <c r="IMY55" s="15"/>
      <c r="IMZ55" s="15"/>
      <c r="INA55" s="15"/>
      <c r="INB55" s="15"/>
      <c r="INC55" s="15"/>
      <c r="IND55" s="15"/>
      <c r="INE55" s="15"/>
      <c r="INF55" s="15"/>
      <c r="ING55" s="15"/>
      <c r="INH55" s="15"/>
      <c r="INI55" s="15"/>
      <c r="INJ55" s="15"/>
      <c r="INK55" s="15"/>
      <c r="INL55" s="15"/>
      <c r="INM55" s="15"/>
      <c r="INN55" s="15"/>
      <c r="INO55" s="15"/>
      <c r="INP55" s="15"/>
      <c r="INQ55" s="15"/>
      <c r="INR55" s="15"/>
      <c r="INS55" s="15"/>
      <c r="INT55" s="15"/>
      <c r="INU55" s="15"/>
      <c r="INV55" s="15"/>
      <c r="INW55" s="15"/>
      <c r="INX55" s="15"/>
      <c r="INY55" s="15"/>
      <c r="INZ55" s="15"/>
      <c r="IOA55" s="15"/>
      <c r="IOB55" s="15"/>
      <c r="IOC55" s="15"/>
      <c r="IOD55" s="15"/>
      <c r="IOE55" s="15"/>
      <c r="IOF55" s="15"/>
      <c r="IOG55" s="15"/>
      <c r="IOH55" s="15"/>
      <c r="IOI55" s="15"/>
      <c r="IOJ55" s="15"/>
      <c r="IOK55" s="15"/>
      <c r="IOL55" s="15"/>
      <c r="IOM55" s="15"/>
      <c r="ION55" s="15"/>
      <c r="IOO55" s="15"/>
      <c r="IOP55" s="15"/>
      <c r="IOQ55" s="15"/>
      <c r="IOR55" s="15"/>
      <c r="IOS55" s="15"/>
      <c r="IOT55" s="15"/>
      <c r="IOU55" s="15"/>
      <c r="IOV55" s="15"/>
      <c r="IOW55" s="15"/>
      <c r="IOX55" s="15"/>
      <c r="IOY55" s="15"/>
      <c r="IOZ55" s="15"/>
      <c r="IPA55" s="15"/>
      <c r="IPB55" s="15"/>
      <c r="IPC55" s="15"/>
      <c r="IPD55" s="15"/>
      <c r="IPE55" s="15"/>
      <c r="IPF55" s="15"/>
      <c r="IPG55" s="15"/>
      <c r="IPH55" s="15"/>
      <c r="IPI55" s="15"/>
      <c r="IPJ55" s="15"/>
      <c r="IPK55" s="15"/>
      <c r="IPL55" s="15"/>
      <c r="IPM55" s="15"/>
      <c r="IPN55" s="15"/>
      <c r="IPO55" s="15"/>
      <c r="IPP55" s="15"/>
      <c r="IPQ55" s="15"/>
      <c r="IPR55" s="15"/>
      <c r="IPS55" s="15"/>
      <c r="IPT55" s="15"/>
      <c r="IPU55" s="15"/>
      <c r="IPV55" s="15"/>
      <c r="IPW55" s="15"/>
      <c r="IPX55" s="15"/>
      <c r="IPY55" s="15"/>
      <c r="IPZ55" s="15"/>
      <c r="IQA55" s="15"/>
      <c r="IQB55" s="15"/>
      <c r="IQC55" s="15"/>
      <c r="IQD55" s="15"/>
      <c r="IQE55" s="15"/>
      <c r="IQF55" s="15"/>
      <c r="IQG55" s="15"/>
      <c r="IQH55" s="15"/>
      <c r="IQI55" s="15"/>
      <c r="IQJ55" s="15"/>
      <c r="IQK55" s="15"/>
      <c r="IQL55" s="15"/>
      <c r="IQM55" s="15"/>
      <c r="IQN55" s="15"/>
      <c r="IQO55" s="15"/>
      <c r="IQP55" s="15"/>
      <c r="IQQ55" s="15"/>
      <c r="IQR55" s="15"/>
      <c r="IQS55" s="15"/>
      <c r="IQT55" s="15"/>
      <c r="IQU55" s="15"/>
      <c r="IQV55" s="15"/>
      <c r="IQW55" s="15"/>
      <c r="IQX55" s="15"/>
      <c r="IQY55" s="15"/>
      <c r="IQZ55" s="15"/>
      <c r="IRA55" s="15"/>
      <c r="IRB55" s="15"/>
      <c r="IRC55" s="15"/>
      <c r="IRD55" s="15"/>
      <c r="IRE55" s="15"/>
      <c r="IRF55" s="15"/>
      <c r="IRG55" s="15"/>
      <c r="IRH55" s="15"/>
      <c r="IRI55" s="15"/>
      <c r="IRJ55" s="15"/>
      <c r="IRK55" s="15"/>
      <c r="IRL55" s="15"/>
      <c r="IRM55" s="15"/>
      <c r="IRN55" s="15"/>
      <c r="IRO55" s="15"/>
      <c r="IRP55" s="15"/>
      <c r="IRQ55" s="15"/>
      <c r="IRR55" s="15"/>
      <c r="IRS55" s="15"/>
      <c r="IRT55" s="15"/>
      <c r="IRU55" s="15"/>
      <c r="IRV55" s="15"/>
      <c r="IRW55" s="15"/>
      <c r="IRX55" s="15"/>
      <c r="IRY55" s="15"/>
      <c r="IRZ55" s="15"/>
      <c r="ISA55" s="15"/>
      <c r="ISB55" s="15"/>
      <c r="ISC55" s="15"/>
      <c r="ISD55" s="15"/>
      <c r="ISE55" s="15"/>
      <c r="ISF55" s="15"/>
      <c r="ISG55" s="15"/>
      <c r="ISH55" s="15"/>
      <c r="ISI55" s="15"/>
      <c r="ISJ55" s="15"/>
      <c r="ISK55" s="15"/>
      <c r="ISL55" s="15"/>
      <c r="ISM55" s="15"/>
      <c r="ISN55" s="15"/>
      <c r="ISO55" s="15"/>
      <c r="ISP55" s="15"/>
      <c r="ISQ55" s="15"/>
      <c r="ISR55" s="15"/>
      <c r="ISS55" s="15"/>
      <c r="IST55" s="15"/>
      <c r="ISU55" s="15"/>
      <c r="ISV55" s="15"/>
      <c r="ISW55" s="15"/>
      <c r="ISX55" s="15"/>
      <c r="ISY55" s="15"/>
      <c r="ISZ55" s="15"/>
      <c r="ITA55" s="15"/>
      <c r="ITB55" s="15"/>
      <c r="ITC55" s="15"/>
      <c r="ITD55" s="15"/>
      <c r="ITE55" s="15"/>
      <c r="ITF55" s="15"/>
      <c r="ITG55" s="15"/>
      <c r="ITH55" s="15"/>
      <c r="ITI55" s="15"/>
      <c r="ITJ55" s="15"/>
      <c r="ITK55" s="15"/>
      <c r="ITL55" s="15"/>
      <c r="ITM55" s="15"/>
      <c r="ITN55" s="15"/>
      <c r="ITO55" s="15"/>
      <c r="ITP55" s="15"/>
      <c r="ITQ55" s="15"/>
      <c r="ITR55" s="15"/>
      <c r="ITS55" s="15"/>
      <c r="ITT55" s="15"/>
      <c r="ITU55" s="15"/>
      <c r="ITV55" s="15"/>
      <c r="ITW55" s="15"/>
      <c r="ITX55" s="15"/>
      <c r="ITY55" s="15"/>
      <c r="ITZ55" s="15"/>
      <c r="IUA55" s="15"/>
      <c r="IUB55" s="15"/>
      <c r="IUC55" s="15"/>
      <c r="IUD55" s="15"/>
      <c r="IUE55" s="15"/>
      <c r="IUF55" s="15"/>
      <c r="IUG55" s="15"/>
      <c r="IUH55" s="15"/>
      <c r="IUI55" s="15"/>
      <c r="IUJ55" s="15"/>
      <c r="IUK55" s="15"/>
      <c r="IUL55" s="15"/>
      <c r="IUM55" s="15"/>
      <c r="IUN55" s="15"/>
      <c r="IUO55" s="15"/>
      <c r="IUP55" s="15"/>
      <c r="IUQ55" s="15"/>
      <c r="IUR55" s="15"/>
      <c r="IUS55" s="15"/>
      <c r="IUT55" s="15"/>
      <c r="IUU55" s="15"/>
      <c r="IUV55" s="15"/>
      <c r="IUW55" s="15"/>
      <c r="IUX55" s="15"/>
      <c r="IUY55" s="15"/>
      <c r="IUZ55" s="15"/>
      <c r="IVA55" s="15"/>
      <c r="IVB55" s="15"/>
      <c r="IVC55" s="15"/>
      <c r="IVD55" s="15"/>
      <c r="IVE55" s="15"/>
      <c r="IVF55" s="15"/>
      <c r="IVG55" s="15"/>
      <c r="IVH55" s="15"/>
      <c r="IVI55" s="15"/>
      <c r="IVJ55" s="15"/>
      <c r="IVK55" s="15"/>
      <c r="IVL55" s="15"/>
      <c r="IVM55" s="15"/>
      <c r="IVN55" s="15"/>
      <c r="IVO55" s="15"/>
      <c r="IVP55" s="15"/>
      <c r="IVQ55" s="15"/>
      <c r="IVR55" s="15"/>
      <c r="IVS55" s="15"/>
      <c r="IVT55" s="15"/>
      <c r="IVU55" s="15"/>
      <c r="IVV55" s="15"/>
      <c r="IVW55" s="15"/>
      <c r="IVX55" s="15"/>
      <c r="IVY55" s="15"/>
      <c r="IVZ55" s="15"/>
      <c r="IWA55" s="15"/>
      <c r="IWB55" s="15"/>
      <c r="IWC55" s="15"/>
      <c r="IWD55" s="15"/>
      <c r="IWE55" s="15"/>
      <c r="IWF55" s="15"/>
      <c r="IWG55" s="15"/>
      <c r="IWH55" s="15"/>
      <c r="IWI55" s="15"/>
      <c r="IWJ55" s="15"/>
      <c r="IWK55" s="15"/>
      <c r="IWL55" s="15"/>
      <c r="IWM55" s="15"/>
      <c r="IWN55" s="15"/>
      <c r="IWO55" s="15"/>
      <c r="IWP55" s="15"/>
      <c r="IWQ55" s="15"/>
      <c r="IWR55" s="15"/>
      <c r="IWS55" s="15"/>
      <c r="IWT55" s="15"/>
      <c r="IWU55" s="15"/>
      <c r="IWV55" s="15"/>
      <c r="IWW55" s="15"/>
      <c r="IWX55" s="15"/>
      <c r="IWY55" s="15"/>
      <c r="IWZ55" s="15"/>
      <c r="IXA55" s="15"/>
      <c r="IXB55" s="15"/>
      <c r="IXC55" s="15"/>
      <c r="IXD55" s="15"/>
      <c r="IXE55" s="15"/>
      <c r="IXF55" s="15"/>
      <c r="IXG55" s="15"/>
      <c r="IXH55" s="15"/>
      <c r="IXI55" s="15"/>
      <c r="IXJ55" s="15"/>
      <c r="IXK55" s="15"/>
      <c r="IXL55" s="15"/>
      <c r="IXM55" s="15"/>
      <c r="IXN55" s="15"/>
      <c r="IXO55" s="15"/>
      <c r="IXP55" s="15"/>
      <c r="IXQ55" s="15"/>
      <c r="IXR55" s="15"/>
      <c r="IXS55" s="15"/>
      <c r="IXT55" s="15"/>
      <c r="IXU55" s="15"/>
      <c r="IXV55" s="15"/>
      <c r="IXW55" s="15"/>
      <c r="IXX55" s="15"/>
      <c r="IXY55" s="15"/>
      <c r="IXZ55" s="15"/>
      <c r="IYA55" s="15"/>
      <c r="IYB55" s="15"/>
      <c r="IYC55" s="15"/>
      <c r="IYD55" s="15"/>
      <c r="IYE55" s="15"/>
      <c r="IYF55" s="15"/>
      <c r="IYG55" s="15"/>
      <c r="IYH55" s="15"/>
      <c r="IYI55" s="15"/>
      <c r="IYJ55" s="15"/>
      <c r="IYK55" s="15"/>
      <c r="IYL55" s="15"/>
      <c r="IYM55" s="15"/>
      <c r="IYN55" s="15"/>
      <c r="IYO55" s="15"/>
      <c r="IYP55" s="15"/>
      <c r="IYQ55" s="15"/>
      <c r="IYR55" s="15"/>
      <c r="IYS55" s="15"/>
      <c r="IYT55" s="15"/>
      <c r="IYU55" s="15"/>
      <c r="IYV55" s="15"/>
      <c r="IYW55" s="15"/>
      <c r="IYX55" s="15"/>
      <c r="IYY55" s="15"/>
      <c r="IYZ55" s="15"/>
      <c r="IZA55" s="15"/>
      <c r="IZB55" s="15"/>
      <c r="IZC55" s="15"/>
      <c r="IZD55" s="15"/>
      <c r="IZE55" s="15"/>
      <c r="IZF55" s="15"/>
      <c r="IZG55" s="15"/>
      <c r="IZH55" s="15"/>
      <c r="IZI55" s="15"/>
      <c r="IZJ55" s="15"/>
      <c r="IZK55" s="15"/>
      <c r="IZL55" s="15"/>
      <c r="IZM55" s="15"/>
      <c r="IZN55" s="15"/>
      <c r="IZO55" s="15"/>
      <c r="IZP55" s="15"/>
      <c r="IZQ55" s="15"/>
      <c r="IZR55" s="15"/>
      <c r="IZS55" s="15"/>
      <c r="IZT55" s="15"/>
      <c r="IZU55" s="15"/>
      <c r="IZV55" s="15"/>
      <c r="IZW55" s="15"/>
      <c r="IZX55" s="15"/>
      <c r="IZY55" s="15"/>
      <c r="IZZ55" s="15"/>
      <c r="JAA55" s="15"/>
      <c r="JAB55" s="15"/>
      <c r="JAC55" s="15"/>
      <c r="JAD55" s="15"/>
      <c r="JAE55" s="15"/>
      <c r="JAF55" s="15"/>
      <c r="JAG55" s="15"/>
      <c r="JAH55" s="15"/>
      <c r="JAI55" s="15"/>
      <c r="JAJ55" s="15"/>
      <c r="JAK55" s="15"/>
      <c r="JAL55" s="15"/>
      <c r="JAM55" s="15"/>
      <c r="JAN55" s="15"/>
      <c r="JAO55" s="15"/>
      <c r="JAP55" s="15"/>
      <c r="JAQ55" s="15"/>
      <c r="JAR55" s="15"/>
      <c r="JAS55" s="15"/>
      <c r="JAT55" s="15"/>
      <c r="JAU55" s="15"/>
      <c r="JAV55" s="15"/>
      <c r="JAW55" s="15"/>
      <c r="JAX55" s="15"/>
      <c r="JAY55" s="15"/>
      <c r="JAZ55" s="15"/>
      <c r="JBA55" s="15"/>
      <c r="JBB55" s="15"/>
      <c r="JBC55" s="15"/>
      <c r="JBD55" s="15"/>
      <c r="JBE55" s="15"/>
      <c r="JBF55" s="15"/>
      <c r="JBG55" s="15"/>
      <c r="JBH55" s="15"/>
      <c r="JBI55" s="15"/>
      <c r="JBJ55" s="15"/>
      <c r="JBK55" s="15"/>
      <c r="JBL55" s="15"/>
      <c r="JBM55" s="15"/>
      <c r="JBN55" s="15"/>
      <c r="JBO55" s="15"/>
      <c r="JBP55" s="15"/>
      <c r="JBQ55" s="15"/>
      <c r="JBR55" s="15"/>
      <c r="JBS55" s="15"/>
      <c r="JBT55" s="15"/>
      <c r="JBU55" s="15"/>
      <c r="JBV55" s="15"/>
      <c r="JBW55" s="15"/>
      <c r="JBX55" s="15"/>
      <c r="JBY55" s="15"/>
      <c r="JBZ55" s="15"/>
      <c r="JCA55" s="15"/>
      <c r="JCB55" s="15"/>
      <c r="JCC55" s="15"/>
      <c r="JCD55" s="15"/>
      <c r="JCE55" s="15"/>
      <c r="JCF55" s="15"/>
      <c r="JCG55" s="15"/>
      <c r="JCH55" s="15"/>
      <c r="JCI55" s="15"/>
      <c r="JCJ55" s="15"/>
      <c r="JCK55" s="15"/>
      <c r="JCL55" s="15"/>
      <c r="JCM55" s="15"/>
      <c r="JCN55" s="15"/>
      <c r="JCO55" s="15"/>
      <c r="JCP55" s="15"/>
      <c r="JCQ55" s="15"/>
      <c r="JCR55" s="15"/>
      <c r="JCS55" s="15"/>
      <c r="JCT55" s="15"/>
      <c r="JCU55" s="15"/>
      <c r="JCV55" s="15"/>
      <c r="JCW55" s="15"/>
      <c r="JCX55" s="15"/>
      <c r="JCY55" s="15"/>
      <c r="JCZ55" s="15"/>
      <c r="JDA55" s="15"/>
      <c r="JDB55" s="15"/>
      <c r="JDC55" s="15"/>
      <c r="JDD55" s="15"/>
      <c r="JDE55" s="15"/>
      <c r="JDF55" s="15"/>
      <c r="JDG55" s="15"/>
      <c r="JDH55" s="15"/>
      <c r="JDI55" s="15"/>
      <c r="JDJ55" s="15"/>
      <c r="JDK55" s="15"/>
      <c r="JDL55" s="15"/>
      <c r="JDM55" s="15"/>
      <c r="JDN55" s="15"/>
      <c r="JDO55" s="15"/>
      <c r="JDP55" s="15"/>
      <c r="JDQ55" s="15"/>
      <c r="JDR55" s="15"/>
      <c r="JDS55" s="15"/>
      <c r="JDT55" s="15"/>
      <c r="JDU55" s="15"/>
      <c r="JDV55" s="15"/>
      <c r="JDW55" s="15"/>
      <c r="JDX55" s="15"/>
      <c r="JDY55" s="15"/>
      <c r="JDZ55" s="15"/>
      <c r="JEA55" s="15"/>
      <c r="JEB55" s="15"/>
      <c r="JEC55" s="15"/>
      <c r="JED55" s="15"/>
      <c r="JEE55" s="15"/>
      <c r="JEF55" s="15"/>
      <c r="JEG55" s="15"/>
      <c r="JEH55" s="15"/>
      <c r="JEI55" s="15"/>
      <c r="JEJ55" s="15"/>
      <c r="JEK55" s="15"/>
      <c r="JEL55" s="15"/>
      <c r="JEM55" s="15"/>
      <c r="JEN55" s="15"/>
      <c r="JEO55" s="15"/>
      <c r="JEP55" s="15"/>
      <c r="JEQ55" s="15"/>
      <c r="JER55" s="15"/>
      <c r="JES55" s="15"/>
      <c r="JET55" s="15"/>
      <c r="JEU55" s="15"/>
      <c r="JEV55" s="15"/>
      <c r="JEW55" s="15"/>
      <c r="JEX55" s="15"/>
      <c r="JEY55" s="15"/>
      <c r="JEZ55" s="15"/>
      <c r="JFA55" s="15"/>
      <c r="JFB55" s="15"/>
      <c r="JFC55" s="15"/>
      <c r="JFD55" s="15"/>
      <c r="JFE55" s="15"/>
      <c r="JFF55" s="15"/>
      <c r="JFG55" s="15"/>
      <c r="JFH55" s="15"/>
      <c r="JFI55" s="15"/>
      <c r="JFJ55" s="15"/>
      <c r="JFK55" s="15"/>
      <c r="JFL55" s="15"/>
      <c r="JFM55" s="15"/>
      <c r="JFN55" s="15"/>
      <c r="JFO55" s="15"/>
      <c r="JFP55" s="15"/>
      <c r="JFQ55" s="15"/>
      <c r="JFR55" s="15"/>
      <c r="JFS55" s="15"/>
      <c r="JFT55" s="15"/>
      <c r="JFU55" s="15"/>
      <c r="JFV55" s="15"/>
      <c r="JFW55" s="15"/>
      <c r="JFX55" s="15"/>
      <c r="JFY55" s="15"/>
      <c r="JFZ55" s="15"/>
      <c r="JGA55" s="15"/>
      <c r="JGB55" s="15"/>
      <c r="JGC55" s="15"/>
      <c r="JGD55" s="15"/>
      <c r="JGE55" s="15"/>
      <c r="JGF55" s="15"/>
      <c r="JGG55" s="15"/>
      <c r="JGH55" s="15"/>
      <c r="JGI55" s="15"/>
      <c r="JGJ55" s="15"/>
      <c r="JGK55" s="15"/>
      <c r="JGL55" s="15"/>
      <c r="JGM55" s="15"/>
      <c r="JGN55" s="15"/>
      <c r="JGO55" s="15"/>
      <c r="JGP55" s="15"/>
      <c r="JGQ55" s="15"/>
      <c r="JGR55" s="15"/>
      <c r="JGS55" s="15"/>
      <c r="JGT55" s="15"/>
      <c r="JGU55" s="15"/>
      <c r="JGV55" s="15"/>
      <c r="JGW55" s="15"/>
      <c r="JGX55" s="15"/>
      <c r="JGY55" s="15"/>
      <c r="JGZ55" s="15"/>
      <c r="JHA55" s="15"/>
      <c r="JHB55" s="15"/>
      <c r="JHC55" s="15"/>
      <c r="JHD55" s="15"/>
      <c r="JHE55" s="15"/>
      <c r="JHF55" s="15"/>
      <c r="JHG55" s="15"/>
      <c r="JHH55" s="15"/>
      <c r="JHI55" s="15"/>
      <c r="JHJ55" s="15"/>
      <c r="JHK55" s="15"/>
      <c r="JHL55" s="15"/>
      <c r="JHM55" s="15"/>
      <c r="JHN55" s="15"/>
      <c r="JHO55" s="15"/>
      <c r="JHP55" s="15"/>
      <c r="JHQ55" s="15"/>
      <c r="JHR55" s="15"/>
      <c r="JHS55" s="15"/>
      <c r="JHT55" s="15"/>
      <c r="JHU55" s="15"/>
      <c r="JHV55" s="15"/>
      <c r="JHW55" s="15"/>
      <c r="JHX55" s="15"/>
      <c r="JHY55" s="15"/>
      <c r="JHZ55" s="15"/>
      <c r="JIA55" s="15"/>
      <c r="JIB55" s="15"/>
      <c r="JIC55" s="15"/>
      <c r="JID55" s="15"/>
      <c r="JIE55" s="15"/>
      <c r="JIF55" s="15"/>
      <c r="JIG55" s="15"/>
      <c r="JIH55" s="15"/>
      <c r="JII55" s="15"/>
      <c r="JIJ55" s="15"/>
      <c r="JIK55" s="15"/>
      <c r="JIL55" s="15"/>
      <c r="JIM55" s="15"/>
      <c r="JIN55" s="15"/>
      <c r="JIO55" s="15"/>
      <c r="JIP55" s="15"/>
      <c r="JIQ55" s="15"/>
      <c r="JIR55" s="15"/>
      <c r="JIS55" s="15"/>
      <c r="JIT55" s="15"/>
      <c r="JIU55" s="15"/>
      <c r="JIV55" s="15"/>
      <c r="JIW55" s="15"/>
      <c r="JIX55" s="15"/>
      <c r="JIY55" s="15"/>
      <c r="JIZ55" s="15"/>
      <c r="JJA55" s="15"/>
      <c r="JJB55" s="15"/>
      <c r="JJC55" s="15"/>
      <c r="JJD55" s="15"/>
      <c r="JJE55" s="15"/>
      <c r="JJF55" s="15"/>
      <c r="JJG55" s="15"/>
      <c r="JJH55" s="15"/>
      <c r="JJI55" s="15"/>
      <c r="JJJ55" s="15"/>
      <c r="JJK55" s="15"/>
      <c r="JJL55" s="15"/>
      <c r="JJM55" s="15"/>
      <c r="JJN55" s="15"/>
      <c r="JJO55" s="15"/>
      <c r="JJP55" s="15"/>
      <c r="JJQ55" s="15"/>
      <c r="JJR55" s="15"/>
      <c r="JJS55" s="15"/>
      <c r="JJT55" s="15"/>
      <c r="JJU55" s="15"/>
      <c r="JJV55" s="15"/>
      <c r="JJW55" s="15"/>
      <c r="JJX55" s="15"/>
      <c r="JJY55" s="15"/>
      <c r="JJZ55" s="15"/>
      <c r="JKA55" s="15"/>
      <c r="JKB55" s="15"/>
      <c r="JKC55" s="15"/>
      <c r="JKD55" s="15"/>
      <c r="JKE55" s="15"/>
      <c r="JKF55" s="15"/>
      <c r="JKG55" s="15"/>
      <c r="JKH55" s="15"/>
      <c r="JKI55" s="15"/>
      <c r="JKJ55" s="15"/>
      <c r="JKK55" s="15"/>
      <c r="JKL55" s="15"/>
      <c r="JKM55" s="15"/>
      <c r="JKN55" s="15"/>
      <c r="JKO55" s="15"/>
      <c r="JKP55" s="15"/>
      <c r="JKQ55" s="15"/>
      <c r="JKR55" s="15"/>
      <c r="JKS55" s="15"/>
      <c r="JKT55" s="15"/>
      <c r="JKU55" s="15"/>
      <c r="JKV55" s="15"/>
      <c r="JKW55" s="15"/>
      <c r="JKX55" s="15"/>
      <c r="JKY55" s="15"/>
      <c r="JKZ55" s="15"/>
      <c r="JLA55" s="15"/>
      <c r="JLB55" s="15"/>
      <c r="JLC55" s="15"/>
      <c r="JLD55" s="15"/>
      <c r="JLE55" s="15"/>
      <c r="JLF55" s="15"/>
      <c r="JLG55" s="15"/>
      <c r="JLH55" s="15"/>
      <c r="JLI55" s="15"/>
      <c r="JLJ55" s="15"/>
      <c r="JLK55" s="15"/>
      <c r="JLL55" s="15"/>
      <c r="JLM55" s="15"/>
      <c r="JLN55" s="15"/>
      <c r="JLO55" s="15"/>
      <c r="JLP55" s="15"/>
      <c r="JLQ55" s="15"/>
      <c r="JLR55" s="15"/>
      <c r="JLS55" s="15"/>
      <c r="JLT55" s="15"/>
      <c r="JLU55" s="15"/>
      <c r="JLV55" s="15"/>
      <c r="JLW55" s="15"/>
      <c r="JLX55" s="15"/>
      <c r="JLY55" s="15"/>
      <c r="JLZ55" s="15"/>
      <c r="JMA55" s="15"/>
      <c r="JMB55" s="15"/>
      <c r="JMC55" s="15"/>
      <c r="JMD55" s="15"/>
      <c r="JME55" s="15"/>
      <c r="JMF55" s="15"/>
      <c r="JMG55" s="15"/>
      <c r="JMH55" s="15"/>
      <c r="JMI55" s="15"/>
      <c r="JMJ55" s="15"/>
      <c r="JMK55" s="15"/>
      <c r="JML55" s="15"/>
      <c r="JMM55" s="15"/>
      <c r="JMN55" s="15"/>
      <c r="JMO55" s="15"/>
      <c r="JMP55" s="15"/>
      <c r="JMQ55" s="15"/>
      <c r="JMR55" s="15"/>
      <c r="JMS55" s="15"/>
      <c r="JMT55" s="15"/>
      <c r="JMU55" s="15"/>
      <c r="JMV55" s="15"/>
      <c r="JMW55" s="15"/>
      <c r="JMX55" s="15"/>
      <c r="JMY55" s="15"/>
      <c r="JMZ55" s="15"/>
      <c r="JNA55" s="15"/>
      <c r="JNB55" s="15"/>
      <c r="JNC55" s="15"/>
      <c r="JND55" s="15"/>
      <c r="JNE55" s="15"/>
      <c r="JNF55" s="15"/>
      <c r="JNG55" s="15"/>
      <c r="JNH55" s="15"/>
      <c r="JNI55" s="15"/>
      <c r="JNJ55" s="15"/>
      <c r="JNK55" s="15"/>
      <c r="JNL55" s="15"/>
      <c r="JNM55" s="15"/>
      <c r="JNN55" s="15"/>
      <c r="JNO55" s="15"/>
      <c r="JNP55" s="15"/>
      <c r="JNQ55" s="15"/>
      <c r="JNR55" s="15"/>
      <c r="JNS55" s="15"/>
      <c r="JNT55" s="15"/>
      <c r="JNU55" s="15"/>
      <c r="JNV55" s="15"/>
      <c r="JNW55" s="15"/>
      <c r="JNX55" s="15"/>
      <c r="JNY55" s="15"/>
      <c r="JNZ55" s="15"/>
      <c r="JOA55" s="15"/>
      <c r="JOB55" s="15"/>
      <c r="JOC55" s="15"/>
      <c r="JOD55" s="15"/>
      <c r="JOE55" s="15"/>
      <c r="JOF55" s="15"/>
      <c r="JOG55" s="15"/>
      <c r="JOH55" s="15"/>
      <c r="JOI55" s="15"/>
      <c r="JOJ55" s="15"/>
      <c r="JOK55" s="15"/>
      <c r="JOL55" s="15"/>
      <c r="JOM55" s="15"/>
      <c r="JON55" s="15"/>
      <c r="JOO55" s="15"/>
      <c r="JOP55" s="15"/>
      <c r="JOQ55" s="15"/>
      <c r="JOR55" s="15"/>
      <c r="JOS55" s="15"/>
      <c r="JOT55" s="15"/>
      <c r="JOU55" s="15"/>
      <c r="JOV55" s="15"/>
      <c r="JOW55" s="15"/>
      <c r="JOX55" s="15"/>
      <c r="JOY55" s="15"/>
      <c r="JOZ55" s="15"/>
      <c r="JPA55" s="15"/>
      <c r="JPB55" s="15"/>
      <c r="JPC55" s="15"/>
      <c r="JPD55" s="15"/>
      <c r="JPE55" s="15"/>
      <c r="JPF55" s="15"/>
      <c r="JPG55" s="15"/>
      <c r="JPH55" s="15"/>
      <c r="JPI55" s="15"/>
      <c r="JPJ55" s="15"/>
      <c r="JPK55" s="15"/>
      <c r="JPL55" s="15"/>
      <c r="JPM55" s="15"/>
      <c r="JPN55" s="15"/>
      <c r="JPO55" s="15"/>
      <c r="JPP55" s="15"/>
      <c r="JPQ55" s="15"/>
      <c r="JPR55" s="15"/>
      <c r="JPS55" s="15"/>
      <c r="JPT55" s="15"/>
      <c r="JPU55" s="15"/>
      <c r="JPV55" s="15"/>
      <c r="JPW55" s="15"/>
      <c r="JPX55" s="15"/>
      <c r="JPY55" s="15"/>
      <c r="JPZ55" s="15"/>
      <c r="JQA55" s="15"/>
      <c r="JQB55" s="15"/>
      <c r="JQC55" s="15"/>
      <c r="JQD55" s="15"/>
      <c r="JQE55" s="15"/>
      <c r="JQF55" s="15"/>
      <c r="JQG55" s="15"/>
      <c r="JQH55" s="15"/>
      <c r="JQI55" s="15"/>
      <c r="JQJ55" s="15"/>
      <c r="JQK55" s="15"/>
      <c r="JQL55" s="15"/>
      <c r="JQM55" s="15"/>
      <c r="JQN55" s="15"/>
      <c r="JQO55" s="15"/>
      <c r="JQP55" s="15"/>
      <c r="JQQ55" s="15"/>
      <c r="JQR55" s="15"/>
      <c r="JQS55" s="15"/>
      <c r="JQT55" s="15"/>
      <c r="JQU55" s="15"/>
      <c r="JQV55" s="15"/>
      <c r="JQW55" s="15"/>
      <c r="JQX55" s="15"/>
      <c r="JQY55" s="15"/>
      <c r="JQZ55" s="15"/>
      <c r="JRA55" s="15"/>
      <c r="JRB55" s="15"/>
      <c r="JRC55" s="15"/>
      <c r="JRD55" s="15"/>
      <c r="JRE55" s="15"/>
      <c r="JRF55" s="15"/>
      <c r="JRG55" s="15"/>
      <c r="JRH55" s="15"/>
      <c r="JRI55" s="15"/>
      <c r="JRJ55" s="15"/>
      <c r="JRK55" s="15"/>
      <c r="JRL55" s="15"/>
      <c r="JRM55" s="15"/>
      <c r="JRN55" s="15"/>
      <c r="JRO55" s="15"/>
      <c r="JRP55" s="15"/>
      <c r="JRQ55" s="15"/>
      <c r="JRR55" s="15"/>
      <c r="JRS55" s="15"/>
      <c r="JRT55" s="15"/>
      <c r="JRU55" s="15"/>
      <c r="JRV55" s="15"/>
      <c r="JRW55" s="15"/>
      <c r="JRX55" s="15"/>
      <c r="JRY55" s="15"/>
      <c r="JRZ55" s="15"/>
      <c r="JSA55" s="15"/>
      <c r="JSB55" s="15"/>
      <c r="JSC55" s="15"/>
      <c r="JSD55" s="15"/>
      <c r="JSE55" s="15"/>
      <c r="JSF55" s="15"/>
      <c r="JSG55" s="15"/>
      <c r="JSH55" s="15"/>
      <c r="JSI55" s="15"/>
      <c r="JSJ55" s="15"/>
      <c r="JSK55" s="15"/>
      <c r="JSL55" s="15"/>
      <c r="JSM55" s="15"/>
      <c r="JSN55" s="15"/>
      <c r="JSO55" s="15"/>
      <c r="JSP55" s="15"/>
      <c r="JSQ55" s="15"/>
      <c r="JSR55" s="15"/>
      <c r="JSS55" s="15"/>
      <c r="JST55" s="15"/>
      <c r="JSU55" s="15"/>
      <c r="JSV55" s="15"/>
      <c r="JSW55" s="15"/>
      <c r="JSX55" s="15"/>
      <c r="JSY55" s="15"/>
      <c r="JSZ55" s="15"/>
      <c r="JTA55" s="15"/>
      <c r="JTB55" s="15"/>
      <c r="JTC55" s="15"/>
      <c r="JTD55" s="15"/>
      <c r="JTE55" s="15"/>
      <c r="JTF55" s="15"/>
      <c r="JTG55" s="15"/>
      <c r="JTH55" s="15"/>
      <c r="JTI55" s="15"/>
      <c r="JTJ55" s="15"/>
      <c r="JTK55" s="15"/>
      <c r="JTL55" s="15"/>
      <c r="JTM55" s="15"/>
      <c r="JTN55" s="15"/>
      <c r="JTO55" s="15"/>
      <c r="JTP55" s="15"/>
      <c r="JTQ55" s="15"/>
      <c r="JTR55" s="15"/>
      <c r="JTS55" s="15"/>
      <c r="JTT55" s="15"/>
      <c r="JTU55" s="15"/>
      <c r="JTV55" s="15"/>
      <c r="JTW55" s="15"/>
      <c r="JTX55" s="15"/>
      <c r="JTY55" s="15"/>
      <c r="JTZ55" s="15"/>
      <c r="JUA55" s="15"/>
      <c r="JUB55" s="15"/>
      <c r="JUC55" s="15"/>
      <c r="JUD55" s="15"/>
      <c r="JUE55" s="15"/>
      <c r="JUF55" s="15"/>
      <c r="JUG55" s="15"/>
      <c r="JUH55" s="15"/>
      <c r="JUI55" s="15"/>
      <c r="JUJ55" s="15"/>
      <c r="JUK55" s="15"/>
      <c r="JUL55" s="15"/>
      <c r="JUM55" s="15"/>
      <c r="JUN55" s="15"/>
      <c r="JUO55" s="15"/>
      <c r="JUP55" s="15"/>
      <c r="JUQ55" s="15"/>
      <c r="JUR55" s="15"/>
      <c r="JUS55" s="15"/>
      <c r="JUT55" s="15"/>
      <c r="JUU55" s="15"/>
      <c r="JUV55" s="15"/>
      <c r="JUW55" s="15"/>
      <c r="JUX55" s="15"/>
      <c r="JUY55" s="15"/>
      <c r="JUZ55" s="15"/>
      <c r="JVA55" s="15"/>
      <c r="JVB55" s="15"/>
      <c r="JVC55" s="15"/>
      <c r="JVD55" s="15"/>
      <c r="JVE55" s="15"/>
      <c r="JVF55" s="15"/>
      <c r="JVG55" s="15"/>
      <c r="JVH55" s="15"/>
      <c r="JVI55" s="15"/>
      <c r="JVJ55" s="15"/>
      <c r="JVK55" s="15"/>
      <c r="JVL55" s="15"/>
      <c r="JVM55" s="15"/>
      <c r="JVN55" s="15"/>
      <c r="JVO55" s="15"/>
      <c r="JVP55" s="15"/>
      <c r="JVQ55" s="15"/>
      <c r="JVR55" s="15"/>
      <c r="JVS55" s="15"/>
      <c r="JVT55" s="15"/>
      <c r="JVU55" s="15"/>
      <c r="JVV55" s="15"/>
      <c r="JVW55" s="15"/>
      <c r="JVX55" s="15"/>
      <c r="JVY55" s="15"/>
      <c r="JVZ55" s="15"/>
      <c r="JWA55" s="15"/>
      <c r="JWB55" s="15"/>
      <c r="JWC55" s="15"/>
      <c r="JWD55" s="15"/>
      <c r="JWE55" s="15"/>
      <c r="JWF55" s="15"/>
      <c r="JWG55" s="15"/>
      <c r="JWH55" s="15"/>
      <c r="JWI55" s="15"/>
      <c r="JWJ55" s="15"/>
      <c r="JWK55" s="15"/>
      <c r="JWL55" s="15"/>
      <c r="JWM55" s="15"/>
      <c r="JWN55" s="15"/>
      <c r="JWO55" s="15"/>
      <c r="JWP55" s="15"/>
      <c r="JWQ55" s="15"/>
      <c r="JWR55" s="15"/>
      <c r="JWS55" s="15"/>
      <c r="JWT55" s="15"/>
      <c r="JWU55" s="15"/>
      <c r="JWV55" s="15"/>
      <c r="JWW55" s="15"/>
      <c r="JWX55" s="15"/>
      <c r="JWY55" s="15"/>
      <c r="JWZ55" s="15"/>
      <c r="JXA55" s="15"/>
      <c r="JXB55" s="15"/>
      <c r="JXC55" s="15"/>
      <c r="JXD55" s="15"/>
      <c r="JXE55" s="15"/>
      <c r="JXF55" s="15"/>
      <c r="JXG55" s="15"/>
      <c r="JXH55" s="15"/>
      <c r="JXI55" s="15"/>
      <c r="JXJ55" s="15"/>
      <c r="JXK55" s="15"/>
      <c r="JXL55" s="15"/>
      <c r="JXM55" s="15"/>
      <c r="JXN55" s="15"/>
      <c r="JXO55" s="15"/>
      <c r="JXP55" s="15"/>
      <c r="JXQ55" s="15"/>
      <c r="JXR55" s="15"/>
      <c r="JXS55" s="15"/>
      <c r="JXT55" s="15"/>
      <c r="JXU55" s="15"/>
      <c r="JXV55" s="15"/>
      <c r="JXW55" s="15"/>
      <c r="JXX55" s="15"/>
      <c r="JXY55" s="15"/>
      <c r="JXZ55" s="15"/>
      <c r="JYA55" s="15"/>
      <c r="JYB55" s="15"/>
      <c r="JYC55" s="15"/>
      <c r="JYD55" s="15"/>
      <c r="JYE55" s="15"/>
      <c r="JYF55" s="15"/>
      <c r="JYG55" s="15"/>
      <c r="JYH55" s="15"/>
      <c r="JYI55" s="15"/>
      <c r="JYJ55" s="15"/>
      <c r="JYK55" s="15"/>
      <c r="JYL55" s="15"/>
      <c r="JYM55" s="15"/>
      <c r="JYN55" s="15"/>
      <c r="JYO55" s="15"/>
      <c r="JYP55" s="15"/>
      <c r="JYQ55" s="15"/>
      <c r="JYR55" s="15"/>
      <c r="JYS55" s="15"/>
      <c r="JYT55" s="15"/>
      <c r="JYU55" s="15"/>
      <c r="JYV55" s="15"/>
      <c r="JYW55" s="15"/>
      <c r="JYX55" s="15"/>
      <c r="JYY55" s="15"/>
      <c r="JYZ55" s="15"/>
      <c r="JZA55" s="15"/>
      <c r="JZB55" s="15"/>
      <c r="JZC55" s="15"/>
      <c r="JZD55" s="15"/>
      <c r="JZE55" s="15"/>
      <c r="JZF55" s="15"/>
      <c r="JZG55" s="15"/>
      <c r="JZH55" s="15"/>
      <c r="JZI55" s="15"/>
      <c r="JZJ55" s="15"/>
      <c r="JZK55" s="15"/>
      <c r="JZL55" s="15"/>
      <c r="JZM55" s="15"/>
      <c r="JZN55" s="15"/>
      <c r="JZO55" s="15"/>
      <c r="JZP55" s="15"/>
      <c r="JZQ55" s="15"/>
      <c r="JZR55" s="15"/>
      <c r="JZS55" s="15"/>
      <c r="JZT55" s="15"/>
      <c r="JZU55" s="15"/>
      <c r="JZV55" s="15"/>
      <c r="JZW55" s="15"/>
      <c r="JZX55" s="15"/>
      <c r="JZY55" s="15"/>
      <c r="JZZ55" s="15"/>
      <c r="KAA55" s="15"/>
      <c r="KAB55" s="15"/>
      <c r="KAC55" s="15"/>
      <c r="KAD55" s="15"/>
      <c r="KAE55" s="15"/>
      <c r="KAF55" s="15"/>
      <c r="KAG55" s="15"/>
      <c r="KAH55" s="15"/>
      <c r="KAI55" s="15"/>
      <c r="KAJ55" s="15"/>
      <c r="KAK55" s="15"/>
      <c r="KAL55" s="15"/>
      <c r="KAM55" s="15"/>
      <c r="KAN55" s="15"/>
      <c r="KAO55" s="15"/>
      <c r="KAP55" s="15"/>
      <c r="KAQ55" s="15"/>
      <c r="KAR55" s="15"/>
      <c r="KAS55" s="15"/>
      <c r="KAT55" s="15"/>
      <c r="KAU55" s="15"/>
      <c r="KAV55" s="15"/>
      <c r="KAW55" s="15"/>
      <c r="KAX55" s="15"/>
      <c r="KAY55" s="15"/>
      <c r="KAZ55" s="15"/>
      <c r="KBA55" s="15"/>
      <c r="KBB55" s="15"/>
      <c r="KBC55" s="15"/>
      <c r="KBD55" s="15"/>
      <c r="KBE55" s="15"/>
      <c r="KBF55" s="15"/>
      <c r="KBG55" s="15"/>
      <c r="KBH55" s="15"/>
      <c r="KBI55" s="15"/>
      <c r="KBJ55" s="15"/>
      <c r="KBK55" s="15"/>
      <c r="KBL55" s="15"/>
      <c r="KBM55" s="15"/>
      <c r="KBN55" s="15"/>
      <c r="KBO55" s="15"/>
      <c r="KBP55" s="15"/>
      <c r="KBQ55" s="15"/>
      <c r="KBR55" s="15"/>
      <c r="KBS55" s="15"/>
      <c r="KBT55" s="15"/>
      <c r="KBU55" s="15"/>
      <c r="KBV55" s="15"/>
      <c r="KBW55" s="15"/>
      <c r="KBX55" s="15"/>
      <c r="KBY55" s="15"/>
      <c r="KBZ55" s="15"/>
      <c r="KCA55" s="15"/>
      <c r="KCB55" s="15"/>
      <c r="KCC55" s="15"/>
      <c r="KCD55" s="15"/>
      <c r="KCE55" s="15"/>
      <c r="KCF55" s="15"/>
      <c r="KCG55" s="15"/>
      <c r="KCH55" s="15"/>
      <c r="KCI55" s="15"/>
      <c r="KCJ55" s="15"/>
      <c r="KCK55" s="15"/>
      <c r="KCL55" s="15"/>
      <c r="KCM55" s="15"/>
      <c r="KCN55" s="15"/>
      <c r="KCO55" s="15"/>
      <c r="KCP55" s="15"/>
      <c r="KCQ55" s="15"/>
      <c r="KCR55" s="15"/>
      <c r="KCS55" s="15"/>
      <c r="KCT55" s="15"/>
      <c r="KCU55" s="15"/>
      <c r="KCV55" s="15"/>
      <c r="KCW55" s="15"/>
      <c r="KCX55" s="15"/>
      <c r="KCY55" s="15"/>
      <c r="KCZ55" s="15"/>
      <c r="KDA55" s="15"/>
      <c r="KDB55" s="15"/>
      <c r="KDC55" s="15"/>
      <c r="KDD55" s="15"/>
      <c r="KDE55" s="15"/>
      <c r="KDF55" s="15"/>
      <c r="KDG55" s="15"/>
      <c r="KDH55" s="15"/>
      <c r="KDI55" s="15"/>
      <c r="KDJ55" s="15"/>
      <c r="KDK55" s="15"/>
      <c r="KDL55" s="15"/>
      <c r="KDM55" s="15"/>
      <c r="KDN55" s="15"/>
      <c r="KDO55" s="15"/>
      <c r="KDP55" s="15"/>
      <c r="KDQ55" s="15"/>
      <c r="KDR55" s="15"/>
      <c r="KDS55" s="15"/>
      <c r="KDT55" s="15"/>
      <c r="KDU55" s="15"/>
      <c r="KDV55" s="15"/>
      <c r="KDW55" s="15"/>
      <c r="KDX55" s="15"/>
      <c r="KDY55" s="15"/>
      <c r="KDZ55" s="15"/>
      <c r="KEA55" s="15"/>
      <c r="KEB55" s="15"/>
      <c r="KEC55" s="15"/>
      <c r="KED55" s="15"/>
      <c r="KEE55" s="15"/>
      <c r="KEF55" s="15"/>
      <c r="KEG55" s="15"/>
      <c r="KEH55" s="15"/>
      <c r="KEI55" s="15"/>
      <c r="KEJ55" s="15"/>
      <c r="KEK55" s="15"/>
      <c r="KEL55" s="15"/>
      <c r="KEM55" s="15"/>
      <c r="KEN55" s="15"/>
      <c r="KEO55" s="15"/>
      <c r="KEP55" s="15"/>
      <c r="KEQ55" s="15"/>
      <c r="KER55" s="15"/>
      <c r="KES55" s="15"/>
      <c r="KET55" s="15"/>
      <c r="KEU55" s="15"/>
      <c r="KEV55" s="15"/>
      <c r="KEW55" s="15"/>
      <c r="KEX55" s="15"/>
      <c r="KEY55" s="15"/>
      <c r="KEZ55" s="15"/>
      <c r="KFA55" s="15"/>
      <c r="KFB55" s="15"/>
      <c r="KFC55" s="15"/>
      <c r="KFD55" s="15"/>
      <c r="KFE55" s="15"/>
      <c r="KFF55" s="15"/>
      <c r="KFG55" s="15"/>
      <c r="KFH55" s="15"/>
      <c r="KFI55" s="15"/>
      <c r="KFJ55" s="15"/>
      <c r="KFK55" s="15"/>
      <c r="KFL55" s="15"/>
      <c r="KFM55" s="15"/>
      <c r="KFN55" s="15"/>
      <c r="KFO55" s="15"/>
      <c r="KFP55" s="15"/>
      <c r="KFQ55" s="15"/>
      <c r="KFR55" s="15"/>
      <c r="KFS55" s="15"/>
      <c r="KFT55" s="15"/>
      <c r="KFU55" s="15"/>
      <c r="KFV55" s="15"/>
      <c r="KFW55" s="15"/>
      <c r="KFX55" s="15"/>
      <c r="KFY55" s="15"/>
      <c r="KFZ55" s="15"/>
      <c r="KGA55" s="15"/>
      <c r="KGB55" s="15"/>
      <c r="KGC55" s="15"/>
      <c r="KGD55" s="15"/>
      <c r="KGE55" s="15"/>
      <c r="KGF55" s="15"/>
      <c r="KGG55" s="15"/>
      <c r="KGH55" s="15"/>
      <c r="KGI55" s="15"/>
      <c r="KGJ55" s="15"/>
      <c r="KGK55" s="15"/>
      <c r="KGL55" s="15"/>
      <c r="KGM55" s="15"/>
      <c r="KGN55" s="15"/>
      <c r="KGO55" s="15"/>
      <c r="KGP55" s="15"/>
      <c r="KGQ55" s="15"/>
      <c r="KGR55" s="15"/>
      <c r="KGS55" s="15"/>
      <c r="KGT55" s="15"/>
      <c r="KGU55" s="15"/>
      <c r="KGV55" s="15"/>
      <c r="KGW55" s="15"/>
      <c r="KGX55" s="15"/>
      <c r="KGY55" s="15"/>
      <c r="KGZ55" s="15"/>
      <c r="KHA55" s="15"/>
      <c r="KHB55" s="15"/>
      <c r="KHC55" s="15"/>
      <c r="KHD55" s="15"/>
      <c r="KHE55" s="15"/>
      <c r="KHF55" s="15"/>
      <c r="KHG55" s="15"/>
      <c r="KHH55" s="15"/>
      <c r="KHI55" s="15"/>
      <c r="KHJ55" s="15"/>
      <c r="KHK55" s="15"/>
      <c r="KHL55" s="15"/>
      <c r="KHM55" s="15"/>
      <c r="KHN55" s="15"/>
      <c r="KHO55" s="15"/>
      <c r="KHP55" s="15"/>
      <c r="KHQ55" s="15"/>
      <c r="KHR55" s="15"/>
      <c r="KHS55" s="15"/>
      <c r="KHT55" s="15"/>
      <c r="KHU55" s="15"/>
      <c r="KHV55" s="15"/>
      <c r="KHW55" s="15"/>
      <c r="KHX55" s="15"/>
      <c r="KHY55" s="15"/>
      <c r="KHZ55" s="15"/>
      <c r="KIA55" s="15"/>
      <c r="KIB55" s="15"/>
      <c r="KIC55" s="15"/>
      <c r="KID55" s="15"/>
      <c r="KIE55" s="15"/>
      <c r="KIF55" s="15"/>
      <c r="KIG55" s="15"/>
      <c r="KIH55" s="15"/>
      <c r="KII55" s="15"/>
      <c r="KIJ55" s="15"/>
      <c r="KIK55" s="15"/>
      <c r="KIL55" s="15"/>
      <c r="KIM55" s="15"/>
      <c r="KIN55" s="15"/>
      <c r="KIO55" s="15"/>
      <c r="KIP55" s="15"/>
      <c r="KIQ55" s="15"/>
      <c r="KIR55" s="15"/>
      <c r="KIS55" s="15"/>
      <c r="KIT55" s="15"/>
      <c r="KIU55" s="15"/>
      <c r="KIV55" s="15"/>
      <c r="KIW55" s="15"/>
      <c r="KIX55" s="15"/>
      <c r="KIY55" s="15"/>
      <c r="KIZ55" s="15"/>
      <c r="KJA55" s="15"/>
      <c r="KJB55" s="15"/>
      <c r="KJC55" s="15"/>
      <c r="KJD55" s="15"/>
      <c r="KJE55" s="15"/>
      <c r="KJF55" s="15"/>
      <c r="KJG55" s="15"/>
      <c r="KJH55" s="15"/>
      <c r="KJI55" s="15"/>
      <c r="KJJ55" s="15"/>
      <c r="KJK55" s="15"/>
      <c r="KJL55" s="15"/>
      <c r="KJM55" s="15"/>
      <c r="KJN55" s="15"/>
      <c r="KJO55" s="15"/>
      <c r="KJP55" s="15"/>
      <c r="KJQ55" s="15"/>
      <c r="KJR55" s="15"/>
      <c r="KJS55" s="15"/>
      <c r="KJT55" s="15"/>
      <c r="KJU55" s="15"/>
      <c r="KJV55" s="15"/>
      <c r="KJW55" s="15"/>
      <c r="KJX55" s="15"/>
      <c r="KJY55" s="15"/>
      <c r="KJZ55" s="15"/>
      <c r="KKA55" s="15"/>
      <c r="KKB55" s="15"/>
      <c r="KKC55" s="15"/>
      <c r="KKD55" s="15"/>
      <c r="KKE55" s="15"/>
      <c r="KKF55" s="15"/>
      <c r="KKG55" s="15"/>
      <c r="KKH55" s="15"/>
      <c r="KKI55" s="15"/>
      <c r="KKJ55" s="15"/>
      <c r="KKK55" s="15"/>
      <c r="KKL55" s="15"/>
      <c r="KKM55" s="15"/>
      <c r="KKN55" s="15"/>
      <c r="KKO55" s="15"/>
      <c r="KKP55" s="15"/>
      <c r="KKQ55" s="15"/>
      <c r="KKR55" s="15"/>
      <c r="KKS55" s="15"/>
      <c r="KKT55" s="15"/>
      <c r="KKU55" s="15"/>
      <c r="KKV55" s="15"/>
      <c r="KKW55" s="15"/>
      <c r="KKX55" s="15"/>
      <c r="KKY55" s="15"/>
      <c r="KKZ55" s="15"/>
      <c r="KLA55" s="15"/>
      <c r="KLB55" s="15"/>
      <c r="KLC55" s="15"/>
      <c r="KLD55" s="15"/>
      <c r="KLE55" s="15"/>
      <c r="KLF55" s="15"/>
      <c r="KLG55" s="15"/>
      <c r="KLH55" s="15"/>
      <c r="KLI55" s="15"/>
      <c r="KLJ55" s="15"/>
      <c r="KLK55" s="15"/>
      <c r="KLL55" s="15"/>
      <c r="KLM55" s="15"/>
      <c r="KLN55" s="15"/>
      <c r="KLO55" s="15"/>
      <c r="KLP55" s="15"/>
      <c r="KLQ55" s="15"/>
      <c r="KLR55" s="15"/>
      <c r="KLS55" s="15"/>
      <c r="KLT55" s="15"/>
      <c r="KLU55" s="15"/>
      <c r="KLV55" s="15"/>
      <c r="KLW55" s="15"/>
      <c r="KLX55" s="15"/>
      <c r="KLY55" s="15"/>
      <c r="KLZ55" s="15"/>
      <c r="KMA55" s="15"/>
      <c r="KMB55" s="15"/>
      <c r="KMC55" s="15"/>
      <c r="KMD55" s="15"/>
      <c r="KME55" s="15"/>
      <c r="KMF55" s="15"/>
      <c r="KMG55" s="15"/>
      <c r="KMH55" s="15"/>
      <c r="KMI55" s="15"/>
      <c r="KMJ55" s="15"/>
      <c r="KMK55" s="15"/>
      <c r="KML55" s="15"/>
      <c r="KMM55" s="15"/>
      <c r="KMN55" s="15"/>
      <c r="KMO55" s="15"/>
      <c r="KMP55" s="15"/>
      <c r="KMQ55" s="15"/>
      <c r="KMR55" s="15"/>
      <c r="KMS55" s="15"/>
      <c r="KMT55" s="15"/>
      <c r="KMU55" s="15"/>
      <c r="KMV55" s="15"/>
      <c r="KMW55" s="15"/>
      <c r="KMX55" s="15"/>
      <c r="KMY55" s="15"/>
      <c r="KMZ55" s="15"/>
      <c r="KNA55" s="15"/>
      <c r="KNB55" s="15"/>
      <c r="KNC55" s="15"/>
      <c r="KND55" s="15"/>
      <c r="KNE55" s="15"/>
      <c r="KNF55" s="15"/>
      <c r="KNG55" s="15"/>
      <c r="KNH55" s="15"/>
      <c r="KNI55" s="15"/>
      <c r="KNJ55" s="15"/>
      <c r="KNK55" s="15"/>
      <c r="KNL55" s="15"/>
      <c r="KNM55" s="15"/>
      <c r="KNN55" s="15"/>
      <c r="KNO55" s="15"/>
      <c r="KNP55" s="15"/>
      <c r="KNQ55" s="15"/>
      <c r="KNR55" s="15"/>
      <c r="KNS55" s="15"/>
      <c r="KNT55" s="15"/>
      <c r="KNU55" s="15"/>
      <c r="KNV55" s="15"/>
      <c r="KNW55" s="15"/>
      <c r="KNX55" s="15"/>
      <c r="KNY55" s="15"/>
      <c r="KNZ55" s="15"/>
      <c r="KOA55" s="15"/>
      <c r="KOB55" s="15"/>
      <c r="KOC55" s="15"/>
      <c r="KOD55" s="15"/>
      <c r="KOE55" s="15"/>
      <c r="KOF55" s="15"/>
      <c r="KOG55" s="15"/>
      <c r="KOH55" s="15"/>
      <c r="KOI55" s="15"/>
      <c r="KOJ55" s="15"/>
      <c r="KOK55" s="15"/>
      <c r="KOL55" s="15"/>
      <c r="KOM55" s="15"/>
      <c r="KON55" s="15"/>
      <c r="KOO55" s="15"/>
      <c r="KOP55" s="15"/>
      <c r="KOQ55" s="15"/>
      <c r="KOR55" s="15"/>
      <c r="KOS55" s="15"/>
      <c r="KOT55" s="15"/>
      <c r="KOU55" s="15"/>
      <c r="KOV55" s="15"/>
      <c r="KOW55" s="15"/>
      <c r="KOX55" s="15"/>
      <c r="KOY55" s="15"/>
      <c r="KOZ55" s="15"/>
      <c r="KPA55" s="15"/>
      <c r="KPB55" s="15"/>
      <c r="KPC55" s="15"/>
      <c r="KPD55" s="15"/>
      <c r="KPE55" s="15"/>
      <c r="KPF55" s="15"/>
      <c r="KPG55" s="15"/>
      <c r="KPH55" s="15"/>
      <c r="KPI55" s="15"/>
      <c r="KPJ55" s="15"/>
      <c r="KPK55" s="15"/>
      <c r="KPL55" s="15"/>
      <c r="KPM55" s="15"/>
      <c r="KPN55" s="15"/>
      <c r="KPO55" s="15"/>
      <c r="KPP55" s="15"/>
      <c r="KPQ55" s="15"/>
      <c r="KPR55" s="15"/>
      <c r="KPS55" s="15"/>
      <c r="KPT55" s="15"/>
      <c r="KPU55" s="15"/>
      <c r="KPV55" s="15"/>
      <c r="KPW55" s="15"/>
      <c r="KPX55" s="15"/>
      <c r="KPY55" s="15"/>
      <c r="KPZ55" s="15"/>
      <c r="KQA55" s="15"/>
      <c r="KQB55" s="15"/>
      <c r="KQC55" s="15"/>
      <c r="KQD55" s="15"/>
      <c r="KQE55" s="15"/>
      <c r="KQF55" s="15"/>
      <c r="KQG55" s="15"/>
      <c r="KQH55" s="15"/>
      <c r="KQI55" s="15"/>
      <c r="KQJ55" s="15"/>
      <c r="KQK55" s="15"/>
      <c r="KQL55" s="15"/>
      <c r="KQM55" s="15"/>
      <c r="KQN55" s="15"/>
      <c r="KQO55" s="15"/>
      <c r="KQP55" s="15"/>
      <c r="KQQ55" s="15"/>
      <c r="KQR55" s="15"/>
      <c r="KQS55" s="15"/>
      <c r="KQT55" s="15"/>
      <c r="KQU55" s="15"/>
      <c r="KQV55" s="15"/>
      <c r="KQW55" s="15"/>
      <c r="KQX55" s="15"/>
      <c r="KQY55" s="15"/>
      <c r="KQZ55" s="15"/>
      <c r="KRA55" s="15"/>
      <c r="KRB55" s="15"/>
      <c r="KRC55" s="15"/>
      <c r="KRD55" s="15"/>
      <c r="KRE55" s="15"/>
      <c r="KRF55" s="15"/>
      <c r="KRG55" s="15"/>
      <c r="KRH55" s="15"/>
      <c r="KRI55" s="15"/>
      <c r="KRJ55" s="15"/>
      <c r="KRK55" s="15"/>
      <c r="KRL55" s="15"/>
      <c r="KRM55" s="15"/>
      <c r="KRN55" s="15"/>
      <c r="KRO55" s="15"/>
      <c r="KRP55" s="15"/>
      <c r="KRQ55" s="15"/>
      <c r="KRR55" s="15"/>
      <c r="KRS55" s="15"/>
      <c r="KRT55" s="15"/>
      <c r="KRU55" s="15"/>
      <c r="KRV55" s="15"/>
      <c r="KRW55" s="15"/>
      <c r="KRX55" s="15"/>
      <c r="KRY55" s="15"/>
      <c r="KRZ55" s="15"/>
      <c r="KSA55" s="15"/>
      <c r="KSB55" s="15"/>
      <c r="KSC55" s="15"/>
      <c r="KSD55" s="15"/>
      <c r="KSE55" s="15"/>
      <c r="KSF55" s="15"/>
      <c r="KSG55" s="15"/>
      <c r="KSH55" s="15"/>
      <c r="KSI55" s="15"/>
      <c r="KSJ55" s="15"/>
      <c r="KSK55" s="15"/>
      <c r="KSL55" s="15"/>
      <c r="KSM55" s="15"/>
      <c r="KSN55" s="15"/>
      <c r="KSO55" s="15"/>
      <c r="KSP55" s="15"/>
      <c r="KSQ55" s="15"/>
      <c r="KSR55" s="15"/>
      <c r="KSS55" s="15"/>
      <c r="KST55" s="15"/>
      <c r="KSU55" s="15"/>
      <c r="KSV55" s="15"/>
      <c r="KSW55" s="15"/>
      <c r="KSX55" s="15"/>
      <c r="KSY55" s="15"/>
      <c r="KSZ55" s="15"/>
      <c r="KTA55" s="15"/>
      <c r="KTB55" s="15"/>
      <c r="KTC55" s="15"/>
      <c r="KTD55" s="15"/>
      <c r="KTE55" s="15"/>
      <c r="KTF55" s="15"/>
      <c r="KTG55" s="15"/>
      <c r="KTH55" s="15"/>
      <c r="KTI55" s="15"/>
      <c r="KTJ55" s="15"/>
      <c r="KTK55" s="15"/>
      <c r="KTL55" s="15"/>
      <c r="KTM55" s="15"/>
      <c r="KTN55" s="15"/>
      <c r="KTO55" s="15"/>
      <c r="KTP55" s="15"/>
      <c r="KTQ55" s="15"/>
      <c r="KTR55" s="15"/>
      <c r="KTS55" s="15"/>
      <c r="KTT55" s="15"/>
      <c r="KTU55" s="15"/>
      <c r="KTV55" s="15"/>
      <c r="KTW55" s="15"/>
      <c r="KTX55" s="15"/>
      <c r="KTY55" s="15"/>
      <c r="KTZ55" s="15"/>
      <c r="KUA55" s="15"/>
      <c r="KUB55" s="15"/>
      <c r="KUC55" s="15"/>
      <c r="KUD55" s="15"/>
      <c r="KUE55" s="15"/>
      <c r="KUF55" s="15"/>
      <c r="KUG55" s="15"/>
      <c r="KUH55" s="15"/>
      <c r="KUI55" s="15"/>
      <c r="KUJ55" s="15"/>
      <c r="KUK55" s="15"/>
      <c r="KUL55" s="15"/>
      <c r="KUM55" s="15"/>
      <c r="KUN55" s="15"/>
      <c r="KUO55" s="15"/>
      <c r="KUP55" s="15"/>
      <c r="KUQ55" s="15"/>
      <c r="KUR55" s="15"/>
      <c r="KUS55" s="15"/>
      <c r="KUT55" s="15"/>
      <c r="KUU55" s="15"/>
      <c r="KUV55" s="15"/>
      <c r="KUW55" s="15"/>
      <c r="KUX55" s="15"/>
      <c r="KUY55" s="15"/>
      <c r="KUZ55" s="15"/>
      <c r="KVA55" s="15"/>
      <c r="KVB55" s="15"/>
      <c r="KVC55" s="15"/>
      <c r="KVD55" s="15"/>
      <c r="KVE55" s="15"/>
      <c r="KVF55" s="15"/>
      <c r="KVG55" s="15"/>
      <c r="KVH55" s="15"/>
      <c r="KVI55" s="15"/>
      <c r="KVJ55" s="15"/>
      <c r="KVK55" s="15"/>
      <c r="KVL55" s="15"/>
      <c r="KVM55" s="15"/>
      <c r="KVN55" s="15"/>
      <c r="KVO55" s="15"/>
      <c r="KVP55" s="15"/>
      <c r="KVQ55" s="15"/>
      <c r="KVR55" s="15"/>
      <c r="KVS55" s="15"/>
      <c r="KVT55" s="15"/>
      <c r="KVU55" s="15"/>
      <c r="KVV55" s="15"/>
      <c r="KVW55" s="15"/>
      <c r="KVX55" s="15"/>
      <c r="KVY55" s="15"/>
      <c r="KVZ55" s="15"/>
      <c r="KWA55" s="15"/>
      <c r="KWB55" s="15"/>
      <c r="KWC55" s="15"/>
      <c r="KWD55" s="15"/>
      <c r="KWE55" s="15"/>
      <c r="KWF55" s="15"/>
      <c r="KWG55" s="15"/>
      <c r="KWH55" s="15"/>
      <c r="KWI55" s="15"/>
      <c r="KWJ55" s="15"/>
      <c r="KWK55" s="15"/>
      <c r="KWL55" s="15"/>
      <c r="KWM55" s="15"/>
      <c r="KWN55" s="15"/>
      <c r="KWO55" s="15"/>
      <c r="KWP55" s="15"/>
      <c r="KWQ55" s="15"/>
      <c r="KWR55" s="15"/>
      <c r="KWS55" s="15"/>
      <c r="KWT55" s="15"/>
      <c r="KWU55" s="15"/>
      <c r="KWV55" s="15"/>
      <c r="KWW55" s="15"/>
      <c r="KWX55" s="15"/>
      <c r="KWY55" s="15"/>
      <c r="KWZ55" s="15"/>
      <c r="KXA55" s="15"/>
      <c r="KXB55" s="15"/>
      <c r="KXC55" s="15"/>
      <c r="KXD55" s="15"/>
      <c r="KXE55" s="15"/>
      <c r="KXF55" s="15"/>
      <c r="KXG55" s="15"/>
      <c r="KXH55" s="15"/>
      <c r="KXI55" s="15"/>
      <c r="KXJ55" s="15"/>
      <c r="KXK55" s="15"/>
      <c r="KXL55" s="15"/>
      <c r="KXM55" s="15"/>
      <c r="KXN55" s="15"/>
      <c r="KXO55" s="15"/>
      <c r="KXP55" s="15"/>
      <c r="KXQ55" s="15"/>
      <c r="KXR55" s="15"/>
      <c r="KXS55" s="15"/>
      <c r="KXT55" s="15"/>
      <c r="KXU55" s="15"/>
      <c r="KXV55" s="15"/>
      <c r="KXW55" s="15"/>
      <c r="KXX55" s="15"/>
      <c r="KXY55" s="15"/>
      <c r="KXZ55" s="15"/>
      <c r="KYA55" s="15"/>
      <c r="KYB55" s="15"/>
      <c r="KYC55" s="15"/>
      <c r="KYD55" s="15"/>
      <c r="KYE55" s="15"/>
      <c r="KYF55" s="15"/>
      <c r="KYG55" s="15"/>
      <c r="KYH55" s="15"/>
      <c r="KYI55" s="15"/>
      <c r="KYJ55" s="15"/>
      <c r="KYK55" s="15"/>
      <c r="KYL55" s="15"/>
      <c r="KYM55" s="15"/>
      <c r="KYN55" s="15"/>
      <c r="KYO55" s="15"/>
      <c r="KYP55" s="15"/>
      <c r="KYQ55" s="15"/>
      <c r="KYR55" s="15"/>
      <c r="KYS55" s="15"/>
      <c r="KYT55" s="15"/>
      <c r="KYU55" s="15"/>
      <c r="KYV55" s="15"/>
      <c r="KYW55" s="15"/>
      <c r="KYX55" s="15"/>
      <c r="KYY55" s="15"/>
      <c r="KYZ55" s="15"/>
      <c r="KZA55" s="15"/>
      <c r="KZB55" s="15"/>
      <c r="KZC55" s="15"/>
      <c r="KZD55" s="15"/>
      <c r="KZE55" s="15"/>
      <c r="KZF55" s="15"/>
      <c r="KZG55" s="15"/>
      <c r="KZH55" s="15"/>
      <c r="KZI55" s="15"/>
      <c r="KZJ55" s="15"/>
      <c r="KZK55" s="15"/>
      <c r="KZL55" s="15"/>
      <c r="KZM55" s="15"/>
      <c r="KZN55" s="15"/>
      <c r="KZO55" s="15"/>
      <c r="KZP55" s="15"/>
      <c r="KZQ55" s="15"/>
      <c r="KZR55" s="15"/>
      <c r="KZS55" s="15"/>
      <c r="KZT55" s="15"/>
      <c r="KZU55" s="15"/>
      <c r="KZV55" s="15"/>
      <c r="KZW55" s="15"/>
      <c r="KZX55" s="15"/>
      <c r="KZY55" s="15"/>
      <c r="KZZ55" s="15"/>
      <c r="LAA55" s="15"/>
      <c r="LAB55" s="15"/>
      <c r="LAC55" s="15"/>
      <c r="LAD55" s="15"/>
      <c r="LAE55" s="15"/>
      <c r="LAF55" s="15"/>
      <c r="LAG55" s="15"/>
      <c r="LAH55" s="15"/>
      <c r="LAI55" s="15"/>
      <c r="LAJ55" s="15"/>
      <c r="LAK55" s="15"/>
      <c r="LAL55" s="15"/>
      <c r="LAM55" s="15"/>
      <c r="LAN55" s="15"/>
      <c r="LAO55" s="15"/>
      <c r="LAP55" s="15"/>
      <c r="LAQ55" s="15"/>
      <c r="LAR55" s="15"/>
      <c r="LAS55" s="15"/>
      <c r="LAT55" s="15"/>
      <c r="LAU55" s="15"/>
      <c r="LAV55" s="15"/>
      <c r="LAW55" s="15"/>
      <c r="LAX55" s="15"/>
      <c r="LAY55" s="15"/>
      <c r="LAZ55" s="15"/>
      <c r="LBA55" s="15"/>
      <c r="LBB55" s="15"/>
      <c r="LBC55" s="15"/>
      <c r="LBD55" s="15"/>
      <c r="LBE55" s="15"/>
      <c r="LBF55" s="15"/>
      <c r="LBG55" s="15"/>
      <c r="LBH55" s="15"/>
      <c r="LBI55" s="15"/>
      <c r="LBJ55" s="15"/>
      <c r="LBK55" s="15"/>
      <c r="LBL55" s="15"/>
      <c r="LBM55" s="15"/>
      <c r="LBN55" s="15"/>
      <c r="LBO55" s="15"/>
      <c r="LBP55" s="15"/>
      <c r="LBQ55" s="15"/>
      <c r="LBR55" s="15"/>
      <c r="LBS55" s="15"/>
      <c r="LBT55" s="15"/>
      <c r="LBU55" s="15"/>
      <c r="LBV55" s="15"/>
      <c r="LBW55" s="15"/>
      <c r="LBX55" s="15"/>
      <c r="LBY55" s="15"/>
      <c r="LBZ55" s="15"/>
      <c r="LCA55" s="15"/>
      <c r="LCB55" s="15"/>
      <c r="LCC55" s="15"/>
      <c r="LCD55" s="15"/>
      <c r="LCE55" s="15"/>
      <c r="LCF55" s="15"/>
      <c r="LCG55" s="15"/>
      <c r="LCH55" s="15"/>
      <c r="LCI55" s="15"/>
      <c r="LCJ55" s="15"/>
      <c r="LCK55" s="15"/>
      <c r="LCL55" s="15"/>
      <c r="LCM55" s="15"/>
      <c r="LCN55" s="15"/>
      <c r="LCO55" s="15"/>
      <c r="LCP55" s="15"/>
      <c r="LCQ55" s="15"/>
      <c r="LCR55" s="15"/>
      <c r="LCS55" s="15"/>
      <c r="LCT55" s="15"/>
      <c r="LCU55" s="15"/>
      <c r="LCV55" s="15"/>
      <c r="LCW55" s="15"/>
      <c r="LCX55" s="15"/>
      <c r="LCY55" s="15"/>
      <c r="LCZ55" s="15"/>
      <c r="LDA55" s="15"/>
      <c r="LDB55" s="15"/>
      <c r="LDC55" s="15"/>
      <c r="LDD55" s="15"/>
      <c r="LDE55" s="15"/>
      <c r="LDF55" s="15"/>
      <c r="LDG55" s="15"/>
      <c r="LDH55" s="15"/>
      <c r="LDI55" s="15"/>
      <c r="LDJ55" s="15"/>
      <c r="LDK55" s="15"/>
      <c r="LDL55" s="15"/>
      <c r="LDM55" s="15"/>
      <c r="LDN55" s="15"/>
      <c r="LDO55" s="15"/>
      <c r="LDP55" s="15"/>
      <c r="LDQ55" s="15"/>
      <c r="LDR55" s="15"/>
      <c r="LDS55" s="15"/>
      <c r="LDT55" s="15"/>
      <c r="LDU55" s="15"/>
      <c r="LDV55" s="15"/>
      <c r="LDW55" s="15"/>
      <c r="LDX55" s="15"/>
      <c r="LDY55" s="15"/>
      <c r="LDZ55" s="15"/>
      <c r="LEA55" s="15"/>
      <c r="LEB55" s="15"/>
      <c r="LEC55" s="15"/>
      <c r="LED55" s="15"/>
      <c r="LEE55" s="15"/>
      <c r="LEF55" s="15"/>
      <c r="LEG55" s="15"/>
      <c r="LEH55" s="15"/>
      <c r="LEI55" s="15"/>
      <c r="LEJ55" s="15"/>
      <c r="LEK55" s="15"/>
      <c r="LEL55" s="15"/>
      <c r="LEM55" s="15"/>
      <c r="LEN55" s="15"/>
      <c r="LEO55" s="15"/>
      <c r="LEP55" s="15"/>
      <c r="LEQ55" s="15"/>
      <c r="LER55" s="15"/>
      <c r="LES55" s="15"/>
      <c r="LET55" s="15"/>
      <c r="LEU55" s="15"/>
      <c r="LEV55" s="15"/>
      <c r="LEW55" s="15"/>
      <c r="LEX55" s="15"/>
      <c r="LEY55" s="15"/>
      <c r="LEZ55" s="15"/>
      <c r="LFA55" s="15"/>
      <c r="LFB55" s="15"/>
      <c r="LFC55" s="15"/>
      <c r="LFD55" s="15"/>
      <c r="LFE55" s="15"/>
      <c r="LFF55" s="15"/>
      <c r="LFG55" s="15"/>
      <c r="LFH55" s="15"/>
      <c r="LFI55" s="15"/>
      <c r="LFJ55" s="15"/>
      <c r="LFK55" s="15"/>
      <c r="LFL55" s="15"/>
      <c r="LFM55" s="15"/>
      <c r="LFN55" s="15"/>
      <c r="LFO55" s="15"/>
      <c r="LFP55" s="15"/>
      <c r="LFQ55" s="15"/>
      <c r="LFR55" s="15"/>
      <c r="LFS55" s="15"/>
      <c r="LFT55" s="15"/>
      <c r="LFU55" s="15"/>
      <c r="LFV55" s="15"/>
      <c r="LFW55" s="15"/>
      <c r="LFX55" s="15"/>
      <c r="LFY55" s="15"/>
      <c r="LFZ55" s="15"/>
      <c r="LGA55" s="15"/>
      <c r="LGB55" s="15"/>
      <c r="LGC55" s="15"/>
      <c r="LGD55" s="15"/>
      <c r="LGE55" s="15"/>
      <c r="LGF55" s="15"/>
      <c r="LGG55" s="15"/>
      <c r="LGH55" s="15"/>
      <c r="LGI55" s="15"/>
      <c r="LGJ55" s="15"/>
      <c r="LGK55" s="15"/>
      <c r="LGL55" s="15"/>
      <c r="LGM55" s="15"/>
      <c r="LGN55" s="15"/>
      <c r="LGO55" s="15"/>
      <c r="LGP55" s="15"/>
      <c r="LGQ55" s="15"/>
      <c r="LGR55" s="15"/>
      <c r="LGS55" s="15"/>
      <c r="LGT55" s="15"/>
      <c r="LGU55" s="15"/>
      <c r="LGV55" s="15"/>
      <c r="LGW55" s="15"/>
      <c r="LGX55" s="15"/>
      <c r="LGY55" s="15"/>
      <c r="LGZ55" s="15"/>
      <c r="LHA55" s="15"/>
      <c r="LHB55" s="15"/>
      <c r="LHC55" s="15"/>
      <c r="LHD55" s="15"/>
      <c r="LHE55" s="15"/>
      <c r="LHF55" s="15"/>
      <c r="LHG55" s="15"/>
      <c r="LHH55" s="15"/>
      <c r="LHI55" s="15"/>
      <c r="LHJ55" s="15"/>
      <c r="LHK55" s="15"/>
      <c r="LHL55" s="15"/>
      <c r="LHM55" s="15"/>
      <c r="LHN55" s="15"/>
      <c r="LHO55" s="15"/>
      <c r="LHP55" s="15"/>
      <c r="LHQ55" s="15"/>
      <c r="LHR55" s="15"/>
      <c r="LHS55" s="15"/>
      <c r="LHT55" s="15"/>
      <c r="LHU55" s="15"/>
      <c r="LHV55" s="15"/>
      <c r="LHW55" s="15"/>
      <c r="LHX55" s="15"/>
      <c r="LHY55" s="15"/>
      <c r="LHZ55" s="15"/>
      <c r="LIA55" s="15"/>
      <c r="LIB55" s="15"/>
      <c r="LIC55" s="15"/>
      <c r="LID55" s="15"/>
      <c r="LIE55" s="15"/>
      <c r="LIF55" s="15"/>
      <c r="LIG55" s="15"/>
      <c r="LIH55" s="15"/>
      <c r="LII55" s="15"/>
      <c r="LIJ55" s="15"/>
      <c r="LIK55" s="15"/>
      <c r="LIL55" s="15"/>
      <c r="LIM55" s="15"/>
      <c r="LIN55" s="15"/>
      <c r="LIO55" s="15"/>
      <c r="LIP55" s="15"/>
      <c r="LIQ55" s="15"/>
      <c r="LIR55" s="15"/>
      <c r="LIS55" s="15"/>
      <c r="LIT55" s="15"/>
      <c r="LIU55" s="15"/>
      <c r="LIV55" s="15"/>
      <c r="LIW55" s="15"/>
      <c r="LIX55" s="15"/>
      <c r="LIY55" s="15"/>
      <c r="LIZ55" s="15"/>
      <c r="LJA55" s="15"/>
      <c r="LJB55" s="15"/>
      <c r="LJC55" s="15"/>
      <c r="LJD55" s="15"/>
      <c r="LJE55" s="15"/>
      <c r="LJF55" s="15"/>
      <c r="LJG55" s="15"/>
      <c r="LJH55" s="15"/>
      <c r="LJI55" s="15"/>
      <c r="LJJ55" s="15"/>
      <c r="LJK55" s="15"/>
      <c r="LJL55" s="15"/>
      <c r="LJM55" s="15"/>
      <c r="LJN55" s="15"/>
      <c r="LJO55" s="15"/>
      <c r="LJP55" s="15"/>
      <c r="LJQ55" s="15"/>
      <c r="LJR55" s="15"/>
      <c r="LJS55" s="15"/>
      <c r="LJT55" s="15"/>
      <c r="LJU55" s="15"/>
      <c r="LJV55" s="15"/>
      <c r="LJW55" s="15"/>
      <c r="LJX55" s="15"/>
      <c r="LJY55" s="15"/>
      <c r="LJZ55" s="15"/>
      <c r="LKA55" s="15"/>
      <c r="LKB55" s="15"/>
      <c r="LKC55" s="15"/>
      <c r="LKD55" s="15"/>
      <c r="LKE55" s="15"/>
      <c r="LKF55" s="15"/>
      <c r="LKG55" s="15"/>
      <c r="LKH55" s="15"/>
      <c r="LKI55" s="15"/>
      <c r="LKJ55" s="15"/>
      <c r="LKK55" s="15"/>
      <c r="LKL55" s="15"/>
      <c r="LKM55" s="15"/>
      <c r="LKN55" s="15"/>
      <c r="LKO55" s="15"/>
      <c r="LKP55" s="15"/>
      <c r="LKQ55" s="15"/>
      <c r="LKR55" s="15"/>
      <c r="LKS55" s="15"/>
      <c r="LKT55" s="15"/>
      <c r="LKU55" s="15"/>
      <c r="LKV55" s="15"/>
      <c r="LKW55" s="15"/>
      <c r="LKX55" s="15"/>
      <c r="LKY55" s="15"/>
      <c r="LKZ55" s="15"/>
      <c r="LLA55" s="15"/>
      <c r="LLB55" s="15"/>
      <c r="LLC55" s="15"/>
      <c r="LLD55" s="15"/>
      <c r="LLE55" s="15"/>
      <c r="LLF55" s="15"/>
      <c r="LLG55" s="15"/>
      <c r="LLH55" s="15"/>
      <c r="LLI55" s="15"/>
      <c r="LLJ55" s="15"/>
      <c r="LLK55" s="15"/>
      <c r="LLL55" s="15"/>
      <c r="LLM55" s="15"/>
      <c r="LLN55" s="15"/>
      <c r="LLO55" s="15"/>
      <c r="LLP55" s="15"/>
      <c r="LLQ55" s="15"/>
      <c r="LLR55" s="15"/>
      <c r="LLS55" s="15"/>
      <c r="LLT55" s="15"/>
      <c r="LLU55" s="15"/>
      <c r="LLV55" s="15"/>
      <c r="LLW55" s="15"/>
      <c r="LLX55" s="15"/>
      <c r="LLY55" s="15"/>
      <c r="LLZ55" s="15"/>
      <c r="LMA55" s="15"/>
      <c r="LMB55" s="15"/>
      <c r="LMC55" s="15"/>
      <c r="LMD55" s="15"/>
      <c r="LME55" s="15"/>
      <c r="LMF55" s="15"/>
      <c r="LMG55" s="15"/>
      <c r="LMH55" s="15"/>
      <c r="LMI55" s="15"/>
      <c r="LMJ55" s="15"/>
      <c r="LMK55" s="15"/>
      <c r="LML55" s="15"/>
      <c r="LMM55" s="15"/>
      <c r="LMN55" s="15"/>
      <c r="LMO55" s="15"/>
      <c r="LMP55" s="15"/>
      <c r="LMQ55" s="15"/>
      <c r="LMR55" s="15"/>
      <c r="LMS55" s="15"/>
      <c r="LMT55" s="15"/>
      <c r="LMU55" s="15"/>
      <c r="LMV55" s="15"/>
      <c r="LMW55" s="15"/>
      <c r="LMX55" s="15"/>
      <c r="LMY55" s="15"/>
      <c r="LMZ55" s="15"/>
      <c r="LNA55" s="15"/>
      <c r="LNB55" s="15"/>
      <c r="LNC55" s="15"/>
      <c r="LND55" s="15"/>
      <c r="LNE55" s="15"/>
      <c r="LNF55" s="15"/>
      <c r="LNG55" s="15"/>
      <c r="LNH55" s="15"/>
      <c r="LNI55" s="15"/>
      <c r="LNJ55" s="15"/>
      <c r="LNK55" s="15"/>
      <c r="LNL55" s="15"/>
      <c r="LNM55" s="15"/>
      <c r="LNN55" s="15"/>
      <c r="LNO55" s="15"/>
      <c r="LNP55" s="15"/>
      <c r="LNQ55" s="15"/>
      <c r="LNR55" s="15"/>
      <c r="LNS55" s="15"/>
      <c r="LNT55" s="15"/>
      <c r="LNU55" s="15"/>
      <c r="LNV55" s="15"/>
      <c r="LNW55" s="15"/>
      <c r="LNX55" s="15"/>
      <c r="LNY55" s="15"/>
      <c r="LNZ55" s="15"/>
      <c r="LOA55" s="15"/>
      <c r="LOB55" s="15"/>
      <c r="LOC55" s="15"/>
      <c r="LOD55" s="15"/>
      <c r="LOE55" s="15"/>
      <c r="LOF55" s="15"/>
      <c r="LOG55" s="15"/>
      <c r="LOH55" s="15"/>
      <c r="LOI55" s="15"/>
      <c r="LOJ55" s="15"/>
      <c r="LOK55" s="15"/>
      <c r="LOL55" s="15"/>
      <c r="LOM55" s="15"/>
      <c r="LON55" s="15"/>
      <c r="LOO55" s="15"/>
      <c r="LOP55" s="15"/>
      <c r="LOQ55" s="15"/>
      <c r="LOR55" s="15"/>
      <c r="LOS55" s="15"/>
      <c r="LOT55" s="15"/>
      <c r="LOU55" s="15"/>
      <c r="LOV55" s="15"/>
      <c r="LOW55" s="15"/>
      <c r="LOX55" s="15"/>
      <c r="LOY55" s="15"/>
      <c r="LOZ55" s="15"/>
      <c r="LPA55" s="15"/>
      <c r="LPB55" s="15"/>
      <c r="LPC55" s="15"/>
      <c r="LPD55" s="15"/>
      <c r="LPE55" s="15"/>
      <c r="LPF55" s="15"/>
      <c r="LPG55" s="15"/>
      <c r="LPH55" s="15"/>
      <c r="LPI55" s="15"/>
      <c r="LPJ55" s="15"/>
      <c r="LPK55" s="15"/>
      <c r="LPL55" s="15"/>
      <c r="LPM55" s="15"/>
      <c r="LPN55" s="15"/>
      <c r="LPO55" s="15"/>
      <c r="LPP55" s="15"/>
      <c r="LPQ55" s="15"/>
      <c r="LPR55" s="15"/>
      <c r="LPS55" s="15"/>
      <c r="LPT55" s="15"/>
      <c r="LPU55" s="15"/>
      <c r="LPV55" s="15"/>
      <c r="LPW55" s="15"/>
      <c r="LPX55" s="15"/>
      <c r="LPY55" s="15"/>
      <c r="LPZ55" s="15"/>
      <c r="LQA55" s="15"/>
      <c r="LQB55" s="15"/>
      <c r="LQC55" s="15"/>
      <c r="LQD55" s="15"/>
      <c r="LQE55" s="15"/>
      <c r="LQF55" s="15"/>
      <c r="LQG55" s="15"/>
      <c r="LQH55" s="15"/>
      <c r="LQI55" s="15"/>
      <c r="LQJ55" s="15"/>
      <c r="LQK55" s="15"/>
      <c r="LQL55" s="15"/>
      <c r="LQM55" s="15"/>
      <c r="LQN55" s="15"/>
      <c r="LQO55" s="15"/>
      <c r="LQP55" s="15"/>
      <c r="LQQ55" s="15"/>
      <c r="LQR55" s="15"/>
      <c r="LQS55" s="15"/>
      <c r="LQT55" s="15"/>
      <c r="LQU55" s="15"/>
      <c r="LQV55" s="15"/>
      <c r="LQW55" s="15"/>
      <c r="LQX55" s="15"/>
      <c r="LQY55" s="15"/>
      <c r="LQZ55" s="15"/>
      <c r="LRA55" s="15"/>
      <c r="LRB55" s="15"/>
      <c r="LRC55" s="15"/>
      <c r="LRD55" s="15"/>
      <c r="LRE55" s="15"/>
      <c r="LRF55" s="15"/>
      <c r="LRG55" s="15"/>
      <c r="LRH55" s="15"/>
      <c r="LRI55" s="15"/>
      <c r="LRJ55" s="15"/>
      <c r="LRK55" s="15"/>
      <c r="LRL55" s="15"/>
      <c r="LRM55" s="15"/>
      <c r="LRN55" s="15"/>
      <c r="LRO55" s="15"/>
      <c r="LRP55" s="15"/>
      <c r="LRQ55" s="15"/>
      <c r="LRR55" s="15"/>
      <c r="LRS55" s="15"/>
      <c r="LRT55" s="15"/>
      <c r="LRU55" s="15"/>
      <c r="LRV55" s="15"/>
      <c r="LRW55" s="15"/>
      <c r="LRX55" s="15"/>
      <c r="LRY55" s="15"/>
      <c r="LRZ55" s="15"/>
      <c r="LSA55" s="15"/>
      <c r="LSB55" s="15"/>
      <c r="LSC55" s="15"/>
      <c r="LSD55" s="15"/>
      <c r="LSE55" s="15"/>
      <c r="LSF55" s="15"/>
      <c r="LSG55" s="15"/>
      <c r="LSH55" s="15"/>
      <c r="LSI55" s="15"/>
      <c r="LSJ55" s="15"/>
      <c r="LSK55" s="15"/>
      <c r="LSL55" s="15"/>
      <c r="LSM55" s="15"/>
      <c r="LSN55" s="15"/>
      <c r="LSO55" s="15"/>
      <c r="LSP55" s="15"/>
      <c r="LSQ55" s="15"/>
      <c r="LSR55" s="15"/>
      <c r="LSS55" s="15"/>
      <c r="LST55" s="15"/>
      <c r="LSU55" s="15"/>
      <c r="LSV55" s="15"/>
      <c r="LSW55" s="15"/>
      <c r="LSX55" s="15"/>
      <c r="LSY55" s="15"/>
      <c r="LSZ55" s="15"/>
      <c r="LTA55" s="15"/>
      <c r="LTB55" s="15"/>
      <c r="LTC55" s="15"/>
      <c r="LTD55" s="15"/>
      <c r="LTE55" s="15"/>
      <c r="LTF55" s="15"/>
      <c r="LTG55" s="15"/>
      <c r="LTH55" s="15"/>
      <c r="LTI55" s="15"/>
      <c r="LTJ55" s="15"/>
      <c r="LTK55" s="15"/>
      <c r="LTL55" s="15"/>
      <c r="LTM55" s="15"/>
      <c r="LTN55" s="15"/>
      <c r="LTO55" s="15"/>
      <c r="LTP55" s="15"/>
      <c r="LTQ55" s="15"/>
      <c r="LTR55" s="15"/>
      <c r="LTS55" s="15"/>
      <c r="LTT55" s="15"/>
      <c r="LTU55" s="15"/>
      <c r="LTV55" s="15"/>
      <c r="LTW55" s="15"/>
      <c r="LTX55" s="15"/>
      <c r="LTY55" s="15"/>
      <c r="LTZ55" s="15"/>
      <c r="LUA55" s="15"/>
      <c r="LUB55" s="15"/>
      <c r="LUC55" s="15"/>
      <c r="LUD55" s="15"/>
      <c r="LUE55" s="15"/>
      <c r="LUF55" s="15"/>
      <c r="LUG55" s="15"/>
      <c r="LUH55" s="15"/>
      <c r="LUI55" s="15"/>
      <c r="LUJ55" s="15"/>
      <c r="LUK55" s="15"/>
      <c r="LUL55" s="15"/>
      <c r="LUM55" s="15"/>
      <c r="LUN55" s="15"/>
      <c r="LUO55" s="15"/>
      <c r="LUP55" s="15"/>
      <c r="LUQ55" s="15"/>
      <c r="LUR55" s="15"/>
      <c r="LUS55" s="15"/>
      <c r="LUT55" s="15"/>
      <c r="LUU55" s="15"/>
      <c r="LUV55" s="15"/>
      <c r="LUW55" s="15"/>
      <c r="LUX55" s="15"/>
      <c r="LUY55" s="15"/>
      <c r="LUZ55" s="15"/>
      <c r="LVA55" s="15"/>
      <c r="LVB55" s="15"/>
      <c r="LVC55" s="15"/>
      <c r="LVD55" s="15"/>
      <c r="LVE55" s="15"/>
      <c r="LVF55" s="15"/>
      <c r="LVG55" s="15"/>
      <c r="LVH55" s="15"/>
      <c r="LVI55" s="15"/>
      <c r="LVJ55" s="15"/>
      <c r="LVK55" s="15"/>
      <c r="LVL55" s="15"/>
      <c r="LVM55" s="15"/>
      <c r="LVN55" s="15"/>
      <c r="LVO55" s="15"/>
      <c r="LVP55" s="15"/>
      <c r="LVQ55" s="15"/>
      <c r="LVR55" s="15"/>
      <c r="LVS55" s="15"/>
      <c r="LVT55" s="15"/>
      <c r="LVU55" s="15"/>
      <c r="LVV55" s="15"/>
      <c r="LVW55" s="15"/>
      <c r="LVX55" s="15"/>
      <c r="LVY55" s="15"/>
      <c r="LVZ55" s="15"/>
      <c r="LWA55" s="15"/>
      <c r="LWB55" s="15"/>
      <c r="LWC55" s="15"/>
      <c r="LWD55" s="15"/>
      <c r="LWE55" s="15"/>
      <c r="LWF55" s="15"/>
      <c r="LWG55" s="15"/>
      <c r="LWH55" s="15"/>
      <c r="LWI55" s="15"/>
      <c r="LWJ55" s="15"/>
      <c r="LWK55" s="15"/>
      <c r="LWL55" s="15"/>
      <c r="LWM55" s="15"/>
      <c r="LWN55" s="15"/>
      <c r="LWO55" s="15"/>
      <c r="LWP55" s="15"/>
      <c r="LWQ55" s="15"/>
      <c r="LWR55" s="15"/>
      <c r="LWS55" s="15"/>
      <c r="LWT55" s="15"/>
      <c r="LWU55" s="15"/>
      <c r="LWV55" s="15"/>
      <c r="LWW55" s="15"/>
      <c r="LWX55" s="15"/>
      <c r="LWY55" s="15"/>
      <c r="LWZ55" s="15"/>
      <c r="LXA55" s="15"/>
      <c r="LXB55" s="15"/>
      <c r="LXC55" s="15"/>
      <c r="LXD55" s="15"/>
      <c r="LXE55" s="15"/>
      <c r="LXF55" s="15"/>
      <c r="LXG55" s="15"/>
      <c r="LXH55" s="15"/>
      <c r="LXI55" s="15"/>
      <c r="LXJ55" s="15"/>
      <c r="LXK55" s="15"/>
      <c r="LXL55" s="15"/>
      <c r="LXM55" s="15"/>
      <c r="LXN55" s="15"/>
      <c r="LXO55" s="15"/>
      <c r="LXP55" s="15"/>
      <c r="LXQ55" s="15"/>
      <c r="LXR55" s="15"/>
      <c r="LXS55" s="15"/>
      <c r="LXT55" s="15"/>
      <c r="LXU55" s="15"/>
      <c r="LXV55" s="15"/>
      <c r="LXW55" s="15"/>
      <c r="LXX55" s="15"/>
      <c r="LXY55" s="15"/>
      <c r="LXZ55" s="15"/>
      <c r="LYA55" s="15"/>
      <c r="LYB55" s="15"/>
      <c r="LYC55" s="15"/>
      <c r="LYD55" s="15"/>
      <c r="LYE55" s="15"/>
      <c r="LYF55" s="15"/>
      <c r="LYG55" s="15"/>
      <c r="LYH55" s="15"/>
      <c r="LYI55" s="15"/>
      <c r="LYJ55" s="15"/>
      <c r="LYK55" s="15"/>
      <c r="LYL55" s="15"/>
      <c r="LYM55" s="15"/>
      <c r="LYN55" s="15"/>
      <c r="LYO55" s="15"/>
      <c r="LYP55" s="15"/>
      <c r="LYQ55" s="15"/>
      <c r="LYR55" s="15"/>
      <c r="LYS55" s="15"/>
      <c r="LYT55" s="15"/>
      <c r="LYU55" s="15"/>
      <c r="LYV55" s="15"/>
      <c r="LYW55" s="15"/>
      <c r="LYX55" s="15"/>
      <c r="LYY55" s="15"/>
      <c r="LYZ55" s="15"/>
      <c r="LZA55" s="15"/>
      <c r="LZB55" s="15"/>
      <c r="LZC55" s="15"/>
      <c r="LZD55" s="15"/>
      <c r="LZE55" s="15"/>
      <c r="LZF55" s="15"/>
      <c r="LZG55" s="15"/>
      <c r="LZH55" s="15"/>
      <c r="LZI55" s="15"/>
      <c r="LZJ55" s="15"/>
      <c r="LZK55" s="15"/>
      <c r="LZL55" s="15"/>
      <c r="LZM55" s="15"/>
      <c r="LZN55" s="15"/>
      <c r="LZO55" s="15"/>
      <c r="LZP55" s="15"/>
      <c r="LZQ55" s="15"/>
      <c r="LZR55" s="15"/>
      <c r="LZS55" s="15"/>
      <c r="LZT55" s="15"/>
      <c r="LZU55" s="15"/>
      <c r="LZV55" s="15"/>
      <c r="LZW55" s="15"/>
      <c r="LZX55" s="15"/>
      <c r="LZY55" s="15"/>
      <c r="LZZ55" s="15"/>
      <c r="MAA55" s="15"/>
      <c r="MAB55" s="15"/>
      <c r="MAC55" s="15"/>
      <c r="MAD55" s="15"/>
      <c r="MAE55" s="15"/>
      <c r="MAF55" s="15"/>
      <c r="MAG55" s="15"/>
      <c r="MAH55" s="15"/>
      <c r="MAI55" s="15"/>
      <c r="MAJ55" s="15"/>
      <c r="MAK55" s="15"/>
      <c r="MAL55" s="15"/>
      <c r="MAM55" s="15"/>
      <c r="MAN55" s="15"/>
      <c r="MAO55" s="15"/>
      <c r="MAP55" s="15"/>
      <c r="MAQ55" s="15"/>
      <c r="MAR55" s="15"/>
      <c r="MAS55" s="15"/>
      <c r="MAT55" s="15"/>
      <c r="MAU55" s="15"/>
      <c r="MAV55" s="15"/>
      <c r="MAW55" s="15"/>
      <c r="MAX55" s="15"/>
      <c r="MAY55" s="15"/>
      <c r="MAZ55" s="15"/>
      <c r="MBA55" s="15"/>
      <c r="MBB55" s="15"/>
      <c r="MBC55" s="15"/>
      <c r="MBD55" s="15"/>
      <c r="MBE55" s="15"/>
      <c r="MBF55" s="15"/>
      <c r="MBG55" s="15"/>
      <c r="MBH55" s="15"/>
      <c r="MBI55" s="15"/>
      <c r="MBJ55" s="15"/>
      <c r="MBK55" s="15"/>
      <c r="MBL55" s="15"/>
      <c r="MBM55" s="15"/>
      <c r="MBN55" s="15"/>
      <c r="MBO55" s="15"/>
      <c r="MBP55" s="15"/>
      <c r="MBQ55" s="15"/>
      <c r="MBR55" s="15"/>
      <c r="MBS55" s="15"/>
      <c r="MBT55" s="15"/>
      <c r="MBU55" s="15"/>
      <c r="MBV55" s="15"/>
      <c r="MBW55" s="15"/>
      <c r="MBX55" s="15"/>
      <c r="MBY55" s="15"/>
      <c r="MBZ55" s="15"/>
      <c r="MCA55" s="15"/>
      <c r="MCB55" s="15"/>
      <c r="MCC55" s="15"/>
      <c r="MCD55" s="15"/>
      <c r="MCE55" s="15"/>
      <c r="MCF55" s="15"/>
      <c r="MCG55" s="15"/>
      <c r="MCH55" s="15"/>
      <c r="MCI55" s="15"/>
      <c r="MCJ55" s="15"/>
      <c r="MCK55" s="15"/>
      <c r="MCL55" s="15"/>
      <c r="MCM55" s="15"/>
      <c r="MCN55" s="15"/>
      <c r="MCO55" s="15"/>
      <c r="MCP55" s="15"/>
      <c r="MCQ55" s="15"/>
      <c r="MCR55" s="15"/>
      <c r="MCS55" s="15"/>
      <c r="MCT55" s="15"/>
      <c r="MCU55" s="15"/>
      <c r="MCV55" s="15"/>
      <c r="MCW55" s="15"/>
      <c r="MCX55" s="15"/>
      <c r="MCY55" s="15"/>
      <c r="MCZ55" s="15"/>
      <c r="MDA55" s="15"/>
      <c r="MDB55" s="15"/>
      <c r="MDC55" s="15"/>
      <c r="MDD55" s="15"/>
      <c r="MDE55" s="15"/>
      <c r="MDF55" s="15"/>
      <c r="MDG55" s="15"/>
      <c r="MDH55" s="15"/>
      <c r="MDI55" s="15"/>
      <c r="MDJ55" s="15"/>
      <c r="MDK55" s="15"/>
      <c r="MDL55" s="15"/>
      <c r="MDM55" s="15"/>
      <c r="MDN55" s="15"/>
      <c r="MDO55" s="15"/>
      <c r="MDP55" s="15"/>
      <c r="MDQ55" s="15"/>
      <c r="MDR55" s="15"/>
      <c r="MDS55" s="15"/>
      <c r="MDT55" s="15"/>
      <c r="MDU55" s="15"/>
      <c r="MDV55" s="15"/>
      <c r="MDW55" s="15"/>
      <c r="MDX55" s="15"/>
      <c r="MDY55" s="15"/>
      <c r="MDZ55" s="15"/>
      <c r="MEA55" s="15"/>
      <c r="MEB55" s="15"/>
      <c r="MEC55" s="15"/>
      <c r="MED55" s="15"/>
      <c r="MEE55" s="15"/>
      <c r="MEF55" s="15"/>
      <c r="MEG55" s="15"/>
      <c r="MEH55" s="15"/>
      <c r="MEI55" s="15"/>
      <c r="MEJ55" s="15"/>
      <c r="MEK55" s="15"/>
      <c r="MEL55" s="15"/>
      <c r="MEM55" s="15"/>
      <c r="MEN55" s="15"/>
      <c r="MEO55" s="15"/>
      <c r="MEP55" s="15"/>
      <c r="MEQ55" s="15"/>
      <c r="MER55" s="15"/>
      <c r="MES55" s="15"/>
      <c r="MET55" s="15"/>
      <c r="MEU55" s="15"/>
      <c r="MEV55" s="15"/>
      <c r="MEW55" s="15"/>
      <c r="MEX55" s="15"/>
      <c r="MEY55" s="15"/>
      <c r="MEZ55" s="15"/>
      <c r="MFA55" s="15"/>
      <c r="MFB55" s="15"/>
      <c r="MFC55" s="15"/>
      <c r="MFD55" s="15"/>
      <c r="MFE55" s="15"/>
      <c r="MFF55" s="15"/>
      <c r="MFG55" s="15"/>
      <c r="MFH55" s="15"/>
      <c r="MFI55" s="15"/>
      <c r="MFJ55" s="15"/>
      <c r="MFK55" s="15"/>
      <c r="MFL55" s="15"/>
      <c r="MFM55" s="15"/>
      <c r="MFN55" s="15"/>
      <c r="MFO55" s="15"/>
      <c r="MFP55" s="15"/>
      <c r="MFQ55" s="15"/>
      <c r="MFR55" s="15"/>
      <c r="MFS55" s="15"/>
      <c r="MFT55" s="15"/>
      <c r="MFU55" s="15"/>
      <c r="MFV55" s="15"/>
      <c r="MFW55" s="15"/>
      <c r="MFX55" s="15"/>
      <c r="MFY55" s="15"/>
      <c r="MFZ55" s="15"/>
      <c r="MGA55" s="15"/>
      <c r="MGB55" s="15"/>
      <c r="MGC55" s="15"/>
      <c r="MGD55" s="15"/>
      <c r="MGE55" s="15"/>
      <c r="MGF55" s="15"/>
      <c r="MGG55" s="15"/>
      <c r="MGH55" s="15"/>
      <c r="MGI55" s="15"/>
      <c r="MGJ55" s="15"/>
      <c r="MGK55" s="15"/>
      <c r="MGL55" s="15"/>
      <c r="MGM55" s="15"/>
      <c r="MGN55" s="15"/>
      <c r="MGO55" s="15"/>
      <c r="MGP55" s="15"/>
      <c r="MGQ55" s="15"/>
      <c r="MGR55" s="15"/>
      <c r="MGS55" s="15"/>
      <c r="MGT55" s="15"/>
      <c r="MGU55" s="15"/>
      <c r="MGV55" s="15"/>
      <c r="MGW55" s="15"/>
      <c r="MGX55" s="15"/>
      <c r="MGY55" s="15"/>
      <c r="MGZ55" s="15"/>
      <c r="MHA55" s="15"/>
      <c r="MHB55" s="15"/>
      <c r="MHC55" s="15"/>
      <c r="MHD55" s="15"/>
      <c r="MHE55" s="15"/>
      <c r="MHF55" s="15"/>
      <c r="MHG55" s="15"/>
      <c r="MHH55" s="15"/>
      <c r="MHI55" s="15"/>
      <c r="MHJ55" s="15"/>
      <c r="MHK55" s="15"/>
      <c r="MHL55" s="15"/>
      <c r="MHM55" s="15"/>
      <c r="MHN55" s="15"/>
      <c r="MHO55" s="15"/>
      <c r="MHP55" s="15"/>
      <c r="MHQ55" s="15"/>
      <c r="MHR55" s="15"/>
      <c r="MHS55" s="15"/>
      <c r="MHT55" s="15"/>
      <c r="MHU55" s="15"/>
      <c r="MHV55" s="15"/>
      <c r="MHW55" s="15"/>
      <c r="MHX55" s="15"/>
      <c r="MHY55" s="15"/>
      <c r="MHZ55" s="15"/>
      <c r="MIA55" s="15"/>
      <c r="MIB55" s="15"/>
      <c r="MIC55" s="15"/>
      <c r="MID55" s="15"/>
      <c r="MIE55" s="15"/>
      <c r="MIF55" s="15"/>
      <c r="MIG55" s="15"/>
      <c r="MIH55" s="15"/>
      <c r="MII55" s="15"/>
      <c r="MIJ55" s="15"/>
      <c r="MIK55" s="15"/>
      <c r="MIL55" s="15"/>
      <c r="MIM55" s="15"/>
      <c r="MIN55" s="15"/>
      <c r="MIO55" s="15"/>
      <c r="MIP55" s="15"/>
      <c r="MIQ55" s="15"/>
      <c r="MIR55" s="15"/>
      <c r="MIS55" s="15"/>
      <c r="MIT55" s="15"/>
      <c r="MIU55" s="15"/>
      <c r="MIV55" s="15"/>
      <c r="MIW55" s="15"/>
      <c r="MIX55" s="15"/>
      <c r="MIY55" s="15"/>
      <c r="MIZ55" s="15"/>
      <c r="MJA55" s="15"/>
      <c r="MJB55" s="15"/>
      <c r="MJC55" s="15"/>
      <c r="MJD55" s="15"/>
      <c r="MJE55" s="15"/>
      <c r="MJF55" s="15"/>
      <c r="MJG55" s="15"/>
      <c r="MJH55" s="15"/>
      <c r="MJI55" s="15"/>
      <c r="MJJ55" s="15"/>
      <c r="MJK55" s="15"/>
      <c r="MJL55" s="15"/>
      <c r="MJM55" s="15"/>
      <c r="MJN55" s="15"/>
      <c r="MJO55" s="15"/>
      <c r="MJP55" s="15"/>
      <c r="MJQ55" s="15"/>
      <c r="MJR55" s="15"/>
      <c r="MJS55" s="15"/>
      <c r="MJT55" s="15"/>
      <c r="MJU55" s="15"/>
      <c r="MJV55" s="15"/>
      <c r="MJW55" s="15"/>
      <c r="MJX55" s="15"/>
      <c r="MJY55" s="15"/>
      <c r="MJZ55" s="15"/>
      <c r="MKA55" s="15"/>
      <c r="MKB55" s="15"/>
      <c r="MKC55" s="15"/>
      <c r="MKD55" s="15"/>
      <c r="MKE55" s="15"/>
      <c r="MKF55" s="15"/>
      <c r="MKG55" s="15"/>
      <c r="MKH55" s="15"/>
      <c r="MKI55" s="15"/>
      <c r="MKJ55" s="15"/>
      <c r="MKK55" s="15"/>
      <c r="MKL55" s="15"/>
      <c r="MKM55" s="15"/>
      <c r="MKN55" s="15"/>
      <c r="MKO55" s="15"/>
      <c r="MKP55" s="15"/>
      <c r="MKQ55" s="15"/>
      <c r="MKR55" s="15"/>
      <c r="MKS55" s="15"/>
      <c r="MKT55" s="15"/>
      <c r="MKU55" s="15"/>
      <c r="MKV55" s="15"/>
      <c r="MKW55" s="15"/>
      <c r="MKX55" s="15"/>
      <c r="MKY55" s="15"/>
      <c r="MKZ55" s="15"/>
      <c r="MLA55" s="15"/>
      <c r="MLB55" s="15"/>
      <c r="MLC55" s="15"/>
      <c r="MLD55" s="15"/>
      <c r="MLE55" s="15"/>
      <c r="MLF55" s="15"/>
      <c r="MLG55" s="15"/>
      <c r="MLH55" s="15"/>
      <c r="MLI55" s="15"/>
      <c r="MLJ55" s="15"/>
      <c r="MLK55" s="15"/>
      <c r="MLL55" s="15"/>
      <c r="MLM55" s="15"/>
      <c r="MLN55" s="15"/>
      <c r="MLO55" s="15"/>
      <c r="MLP55" s="15"/>
      <c r="MLQ55" s="15"/>
      <c r="MLR55" s="15"/>
      <c r="MLS55" s="15"/>
      <c r="MLT55" s="15"/>
      <c r="MLU55" s="15"/>
      <c r="MLV55" s="15"/>
      <c r="MLW55" s="15"/>
      <c r="MLX55" s="15"/>
      <c r="MLY55" s="15"/>
      <c r="MLZ55" s="15"/>
      <c r="MMA55" s="15"/>
      <c r="MMB55" s="15"/>
      <c r="MMC55" s="15"/>
      <c r="MMD55" s="15"/>
      <c r="MME55" s="15"/>
      <c r="MMF55" s="15"/>
      <c r="MMG55" s="15"/>
      <c r="MMH55" s="15"/>
      <c r="MMI55" s="15"/>
      <c r="MMJ55" s="15"/>
      <c r="MMK55" s="15"/>
      <c r="MML55" s="15"/>
      <c r="MMM55" s="15"/>
      <c r="MMN55" s="15"/>
      <c r="MMO55" s="15"/>
      <c r="MMP55" s="15"/>
      <c r="MMQ55" s="15"/>
      <c r="MMR55" s="15"/>
      <c r="MMS55" s="15"/>
      <c r="MMT55" s="15"/>
      <c r="MMU55" s="15"/>
      <c r="MMV55" s="15"/>
      <c r="MMW55" s="15"/>
      <c r="MMX55" s="15"/>
      <c r="MMY55" s="15"/>
      <c r="MMZ55" s="15"/>
      <c r="MNA55" s="15"/>
      <c r="MNB55" s="15"/>
      <c r="MNC55" s="15"/>
      <c r="MND55" s="15"/>
      <c r="MNE55" s="15"/>
      <c r="MNF55" s="15"/>
      <c r="MNG55" s="15"/>
      <c r="MNH55" s="15"/>
      <c r="MNI55" s="15"/>
      <c r="MNJ55" s="15"/>
      <c r="MNK55" s="15"/>
      <c r="MNL55" s="15"/>
      <c r="MNM55" s="15"/>
      <c r="MNN55" s="15"/>
      <c r="MNO55" s="15"/>
      <c r="MNP55" s="15"/>
      <c r="MNQ55" s="15"/>
      <c r="MNR55" s="15"/>
      <c r="MNS55" s="15"/>
      <c r="MNT55" s="15"/>
      <c r="MNU55" s="15"/>
      <c r="MNV55" s="15"/>
      <c r="MNW55" s="15"/>
      <c r="MNX55" s="15"/>
      <c r="MNY55" s="15"/>
      <c r="MNZ55" s="15"/>
      <c r="MOA55" s="15"/>
      <c r="MOB55" s="15"/>
      <c r="MOC55" s="15"/>
      <c r="MOD55" s="15"/>
      <c r="MOE55" s="15"/>
      <c r="MOF55" s="15"/>
      <c r="MOG55" s="15"/>
      <c r="MOH55" s="15"/>
      <c r="MOI55" s="15"/>
      <c r="MOJ55" s="15"/>
      <c r="MOK55" s="15"/>
      <c r="MOL55" s="15"/>
      <c r="MOM55" s="15"/>
      <c r="MON55" s="15"/>
      <c r="MOO55" s="15"/>
      <c r="MOP55" s="15"/>
      <c r="MOQ55" s="15"/>
      <c r="MOR55" s="15"/>
      <c r="MOS55" s="15"/>
      <c r="MOT55" s="15"/>
      <c r="MOU55" s="15"/>
      <c r="MOV55" s="15"/>
      <c r="MOW55" s="15"/>
      <c r="MOX55" s="15"/>
      <c r="MOY55" s="15"/>
      <c r="MOZ55" s="15"/>
      <c r="MPA55" s="15"/>
      <c r="MPB55" s="15"/>
      <c r="MPC55" s="15"/>
      <c r="MPD55" s="15"/>
      <c r="MPE55" s="15"/>
      <c r="MPF55" s="15"/>
      <c r="MPG55" s="15"/>
      <c r="MPH55" s="15"/>
      <c r="MPI55" s="15"/>
      <c r="MPJ55" s="15"/>
      <c r="MPK55" s="15"/>
      <c r="MPL55" s="15"/>
      <c r="MPM55" s="15"/>
      <c r="MPN55" s="15"/>
      <c r="MPO55" s="15"/>
      <c r="MPP55" s="15"/>
      <c r="MPQ55" s="15"/>
      <c r="MPR55" s="15"/>
      <c r="MPS55" s="15"/>
      <c r="MPT55" s="15"/>
      <c r="MPU55" s="15"/>
      <c r="MPV55" s="15"/>
      <c r="MPW55" s="15"/>
      <c r="MPX55" s="15"/>
      <c r="MPY55" s="15"/>
      <c r="MPZ55" s="15"/>
      <c r="MQA55" s="15"/>
      <c r="MQB55" s="15"/>
      <c r="MQC55" s="15"/>
      <c r="MQD55" s="15"/>
      <c r="MQE55" s="15"/>
      <c r="MQF55" s="15"/>
      <c r="MQG55" s="15"/>
      <c r="MQH55" s="15"/>
      <c r="MQI55" s="15"/>
      <c r="MQJ55" s="15"/>
      <c r="MQK55" s="15"/>
      <c r="MQL55" s="15"/>
      <c r="MQM55" s="15"/>
      <c r="MQN55" s="15"/>
      <c r="MQO55" s="15"/>
      <c r="MQP55" s="15"/>
      <c r="MQQ55" s="15"/>
      <c r="MQR55" s="15"/>
      <c r="MQS55" s="15"/>
      <c r="MQT55" s="15"/>
      <c r="MQU55" s="15"/>
      <c r="MQV55" s="15"/>
      <c r="MQW55" s="15"/>
      <c r="MQX55" s="15"/>
      <c r="MQY55" s="15"/>
      <c r="MQZ55" s="15"/>
      <c r="MRA55" s="15"/>
      <c r="MRB55" s="15"/>
      <c r="MRC55" s="15"/>
      <c r="MRD55" s="15"/>
      <c r="MRE55" s="15"/>
      <c r="MRF55" s="15"/>
      <c r="MRG55" s="15"/>
      <c r="MRH55" s="15"/>
      <c r="MRI55" s="15"/>
      <c r="MRJ55" s="15"/>
      <c r="MRK55" s="15"/>
      <c r="MRL55" s="15"/>
      <c r="MRM55" s="15"/>
      <c r="MRN55" s="15"/>
      <c r="MRO55" s="15"/>
      <c r="MRP55" s="15"/>
      <c r="MRQ55" s="15"/>
      <c r="MRR55" s="15"/>
      <c r="MRS55" s="15"/>
      <c r="MRT55" s="15"/>
      <c r="MRU55" s="15"/>
      <c r="MRV55" s="15"/>
      <c r="MRW55" s="15"/>
      <c r="MRX55" s="15"/>
      <c r="MRY55" s="15"/>
      <c r="MRZ55" s="15"/>
      <c r="MSA55" s="15"/>
      <c r="MSB55" s="15"/>
      <c r="MSC55" s="15"/>
      <c r="MSD55" s="15"/>
      <c r="MSE55" s="15"/>
      <c r="MSF55" s="15"/>
      <c r="MSG55" s="15"/>
      <c r="MSH55" s="15"/>
      <c r="MSI55" s="15"/>
      <c r="MSJ55" s="15"/>
      <c r="MSK55" s="15"/>
      <c r="MSL55" s="15"/>
      <c r="MSM55" s="15"/>
      <c r="MSN55" s="15"/>
      <c r="MSO55" s="15"/>
      <c r="MSP55" s="15"/>
      <c r="MSQ55" s="15"/>
      <c r="MSR55" s="15"/>
      <c r="MSS55" s="15"/>
      <c r="MST55" s="15"/>
      <c r="MSU55" s="15"/>
      <c r="MSV55" s="15"/>
      <c r="MSW55" s="15"/>
      <c r="MSX55" s="15"/>
      <c r="MSY55" s="15"/>
      <c r="MSZ55" s="15"/>
      <c r="MTA55" s="15"/>
      <c r="MTB55" s="15"/>
      <c r="MTC55" s="15"/>
      <c r="MTD55" s="15"/>
      <c r="MTE55" s="15"/>
      <c r="MTF55" s="15"/>
      <c r="MTG55" s="15"/>
      <c r="MTH55" s="15"/>
      <c r="MTI55" s="15"/>
      <c r="MTJ55" s="15"/>
      <c r="MTK55" s="15"/>
      <c r="MTL55" s="15"/>
      <c r="MTM55" s="15"/>
      <c r="MTN55" s="15"/>
      <c r="MTO55" s="15"/>
      <c r="MTP55" s="15"/>
      <c r="MTQ55" s="15"/>
      <c r="MTR55" s="15"/>
      <c r="MTS55" s="15"/>
      <c r="MTT55" s="15"/>
      <c r="MTU55" s="15"/>
      <c r="MTV55" s="15"/>
      <c r="MTW55" s="15"/>
      <c r="MTX55" s="15"/>
      <c r="MTY55" s="15"/>
      <c r="MTZ55" s="15"/>
      <c r="MUA55" s="15"/>
      <c r="MUB55" s="15"/>
      <c r="MUC55" s="15"/>
      <c r="MUD55" s="15"/>
      <c r="MUE55" s="15"/>
      <c r="MUF55" s="15"/>
      <c r="MUG55" s="15"/>
      <c r="MUH55" s="15"/>
      <c r="MUI55" s="15"/>
      <c r="MUJ55" s="15"/>
      <c r="MUK55" s="15"/>
      <c r="MUL55" s="15"/>
      <c r="MUM55" s="15"/>
      <c r="MUN55" s="15"/>
      <c r="MUO55" s="15"/>
      <c r="MUP55" s="15"/>
      <c r="MUQ55" s="15"/>
      <c r="MUR55" s="15"/>
      <c r="MUS55" s="15"/>
      <c r="MUT55" s="15"/>
      <c r="MUU55" s="15"/>
      <c r="MUV55" s="15"/>
      <c r="MUW55" s="15"/>
      <c r="MUX55" s="15"/>
      <c r="MUY55" s="15"/>
      <c r="MUZ55" s="15"/>
      <c r="MVA55" s="15"/>
      <c r="MVB55" s="15"/>
      <c r="MVC55" s="15"/>
      <c r="MVD55" s="15"/>
      <c r="MVE55" s="15"/>
      <c r="MVF55" s="15"/>
      <c r="MVG55" s="15"/>
      <c r="MVH55" s="15"/>
      <c r="MVI55" s="15"/>
      <c r="MVJ55" s="15"/>
      <c r="MVK55" s="15"/>
      <c r="MVL55" s="15"/>
      <c r="MVM55" s="15"/>
      <c r="MVN55" s="15"/>
      <c r="MVO55" s="15"/>
      <c r="MVP55" s="15"/>
      <c r="MVQ55" s="15"/>
      <c r="MVR55" s="15"/>
      <c r="MVS55" s="15"/>
      <c r="MVT55" s="15"/>
      <c r="MVU55" s="15"/>
      <c r="MVV55" s="15"/>
      <c r="MVW55" s="15"/>
      <c r="MVX55" s="15"/>
      <c r="MVY55" s="15"/>
      <c r="MVZ55" s="15"/>
      <c r="MWA55" s="15"/>
      <c r="MWB55" s="15"/>
      <c r="MWC55" s="15"/>
      <c r="MWD55" s="15"/>
      <c r="MWE55" s="15"/>
      <c r="MWF55" s="15"/>
      <c r="MWG55" s="15"/>
      <c r="MWH55" s="15"/>
      <c r="MWI55" s="15"/>
      <c r="MWJ55" s="15"/>
      <c r="MWK55" s="15"/>
      <c r="MWL55" s="15"/>
      <c r="MWM55" s="15"/>
      <c r="MWN55" s="15"/>
      <c r="MWO55" s="15"/>
      <c r="MWP55" s="15"/>
      <c r="MWQ55" s="15"/>
      <c r="MWR55" s="15"/>
      <c r="MWS55" s="15"/>
      <c r="MWT55" s="15"/>
      <c r="MWU55" s="15"/>
      <c r="MWV55" s="15"/>
      <c r="MWW55" s="15"/>
      <c r="MWX55" s="15"/>
      <c r="MWY55" s="15"/>
      <c r="MWZ55" s="15"/>
      <c r="MXA55" s="15"/>
      <c r="MXB55" s="15"/>
      <c r="MXC55" s="15"/>
      <c r="MXD55" s="15"/>
      <c r="MXE55" s="15"/>
      <c r="MXF55" s="15"/>
      <c r="MXG55" s="15"/>
      <c r="MXH55" s="15"/>
      <c r="MXI55" s="15"/>
      <c r="MXJ55" s="15"/>
      <c r="MXK55" s="15"/>
      <c r="MXL55" s="15"/>
      <c r="MXM55" s="15"/>
      <c r="MXN55" s="15"/>
      <c r="MXO55" s="15"/>
      <c r="MXP55" s="15"/>
      <c r="MXQ55" s="15"/>
      <c r="MXR55" s="15"/>
      <c r="MXS55" s="15"/>
      <c r="MXT55" s="15"/>
      <c r="MXU55" s="15"/>
      <c r="MXV55" s="15"/>
      <c r="MXW55" s="15"/>
      <c r="MXX55" s="15"/>
      <c r="MXY55" s="15"/>
      <c r="MXZ55" s="15"/>
      <c r="MYA55" s="15"/>
      <c r="MYB55" s="15"/>
      <c r="MYC55" s="15"/>
      <c r="MYD55" s="15"/>
      <c r="MYE55" s="15"/>
      <c r="MYF55" s="15"/>
      <c r="MYG55" s="15"/>
      <c r="MYH55" s="15"/>
      <c r="MYI55" s="15"/>
      <c r="MYJ55" s="15"/>
      <c r="MYK55" s="15"/>
      <c r="MYL55" s="15"/>
      <c r="MYM55" s="15"/>
      <c r="MYN55" s="15"/>
      <c r="MYO55" s="15"/>
      <c r="MYP55" s="15"/>
      <c r="MYQ55" s="15"/>
      <c r="MYR55" s="15"/>
      <c r="MYS55" s="15"/>
      <c r="MYT55" s="15"/>
      <c r="MYU55" s="15"/>
      <c r="MYV55" s="15"/>
      <c r="MYW55" s="15"/>
      <c r="MYX55" s="15"/>
      <c r="MYY55" s="15"/>
      <c r="MYZ55" s="15"/>
      <c r="MZA55" s="15"/>
      <c r="MZB55" s="15"/>
      <c r="MZC55" s="15"/>
      <c r="MZD55" s="15"/>
      <c r="MZE55" s="15"/>
      <c r="MZF55" s="15"/>
      <c r="MZG55" s="15"/>
      <c r="MZH55" s="15"/>
      <c r="MZI55" s="15"/>
      <c r="MZJ55" s="15"/>
      <c r="MZK55" s="15"/>
      <c r="MZL55" s="15"/>
      <c r="MZM55" s="15"/>
      <c r="MZN55" s="15"/>
      <c r="MZO55" s="15"/>
      <c r="MZP55" s="15"/>
      <c r="MZQ55" s="15"/>
      <c r="MZR55" s="15"/>
      <c r="MZS55" s="15"/>
      <c r="MZT55" s="15"/>
      <c r="MZU55" s="15"/>
      <c r="MZV55" s="15"/>
      <c r="MZW55" s="15"/>
      <c r="MZX55" s="15"/>
      <c r="MZY55" s="15"/>
      <c r="MZZ55" s="15"/>
      <c r="NAA55" s="15"/>
      <c r="NAB55" s="15"/>
      <c r="NAC55" s="15"/>
      <c r="NAD55" s="15"/>
      <c r="NAE55" s="15"/>
      <c r="NAF55" s="15"/>
      <c r="NAG55" s="15"/>
      <c r="NAH55" s="15"/>
      <c r="NAI55" s="15"/>
      <c r="NAJ55" s="15"/>
      <c r="NAK55" s="15"/>
      <c r="NAL55" s="15"/>
      <c r="NAM55" s="15"/>
      <c r="NAN55" s="15"/>
      <c r="NAO55" s="15"/>
      <c r="NAP55" s="15"/>
      <c r="NAQ55" s="15"/>
      <c r="NAR55" s="15"/>
      <c r="NAS55" s="15"/>
      <c r="NAT55" s="15"/>
      <c r="NAU55" s="15"/>
      <c r="NAV55" s="15"/>
      <c r="NAW55" s="15"/>
      <c r="NAX55" s="15"/>
      <c r="NAY55" s="15"/>
      <c r="NAZ55" s="15"/>
      <c r="NBA55" s="15"/>
      <c r="NBB55" s="15"/>
      <c r="NBC55" s="15"/>
      <c r="NBD55" s="15"/>
      <c r="NBE55" s="15"/>
      <c r="NBF55" s="15"/>
      <c r="NBG55" s="15"/>
      <c r="NBH55" s="15"/>
      <c r="NBI55" s="15"/>
      <c r="NBJ55" s="15"/>
      <c r="NBK55" s="15"/>
      <c r="NBL55" s="15"/>
      <c r="NBM55" s="15"/>
      <c r="NBN55" s="15"/>
      <c r="NBO55" s="15"/>
      <c r="NBP55" s="15"/>
      <c r="NBQ55" s="15"/>
      <c r="NBR55" s="15"/>
      <c r="NBS55" s="15"/>
      <c r="NBT55" s="15"/>
      <c r="NBU55" s="15"/>
      <c r="NBV55" s="15"/>
      <c r="NBW55" s="15"/>
      <c r="NBX55" s="15"/>
      <c r="NBY55" s="15"/>
      <c r="NBZ55" s="15"/>
      <c r="NCA55" s="15"/>
      <c r="NCB55" s="15"/>
      <c r="NCC55" s="15"/>
      <c r="NCD55" s="15"/>
      <c r="NCE55" s="15"/>
      <c r="NCF55" s="15"/>
      <c r="NCG55" s="15"/>
      <c r="NCH55" s="15"/>
      <c r="NCI55" s="15"/>
      <c r="NCJ55" s="15"/>
      <c r="NCK55" s="15"/>
      <c r="NCL55" s="15"/>
      <c r="NCM55" s="15"/>
      <c r="NCN55" s="15"/>
      <c r="NCO55" s="15"/>
      <c r="NCP55" s="15"/>
      <c r="NCQ55" s="15"/>
      <c r="NCR55" s="15"/>
      <c r="NCS55" s="15"/>
      <c r="NCT55" s="15"/>
      <c r="NCU55" s="15"/>
      <c r="NCV55" s="15"/>
      <c r="NCW55" s="15"/>
      <c r="NCX55" s="15"/>
      <c r="NCY55" s="15"/>
      <c r="NCZ55" s="15"/>
      <c r="NDA55" s="15"/>
      <c r="NDB55" s="15"/>
      <c r="NDC55" s="15"/>
      <c r="NDD55" s="15"/>
      <c r="NDE55" s="15"/>
      <c r="NDF55" s="15"/>
      <c r="NDG55" s="15"/>
      <c r="NDH55" s="15"/>
      <c r="NDI55" s="15"/>
      <c r="NDJ55" s="15"/>
      <c r="NDK55" s="15"/>
      <c r="NDL55" s="15"/>
      <c r="NDM55" s="15"/>
      <c r="NDN55" s="15"/>
      <c r="NDO55" s="15"/>
      <c r="NDP55" s="15"/>
      <c r="NDQ55" s="15"/>
      <c r="NDR55" s="15"/>
      <c r="NDS55" s="15"/>
      <c r="NDT55" s="15"/>
      <c r="NDU55" s="15"/>
      <c r="NDV55" s="15"/>
      <c r="NDW55" s="15"/>
      <c r="NDX55" s="15"/>
      <c r="NDY55" s="15"/>
      <c r="NDZ55" s="15"/>
      <c r="NEA55" s="15"/>
      <c r="NEB55" s="15"/>
      <c r="NEC55" s="15"/>
      <c r="NED55" s="15"/>
      <c r="NEE55" s="15"/>
      <c r="NEF55" s="15"/>
      <c r="NEG55" s="15"/>
      <c r="NEH55" s="15"/>
      <c r="NEI55" s="15"/>
      <c r="NEJ55" s="15"/>
      <c r="NEK55" s="15"/>
      <c r="NEL55" s="15"/>
      <c r="NEM55" s="15"/>
      <c r="NEN55" s="15"/>
      <c r="NEO55" s="15"/>
      <c r="NEP55" s="15"/>
      <c r="NEQ55" s="15"/>
      <c r="NER55" s="15"/>
      <c r="NES55" s="15"/>
      <c r="NET55" s="15"/>
      <c r="NEU55" s="15"/>
      <c r="NEV55" s="15"/>
      <c r="NEW55" s="15"/>
      <c r="NEX55" s="15"/>
      <c r="NEY55" s="15"/>
      <c r="NEZ55" s="15"/>
      <c r="NFA55" s="15"/>
      <c r="NFB55" s="15"/>
      <c r="NFC55" s="15"/>
      <c r="NFD55" s="15"/>
      <c r="NFE55" s="15"/>
      <c r="NFF55" s="15"/>
      <c r="NFG55" s="15"/>
      <c r="NFH55" s="15"/>
      <c r="NFI55" s="15"/>
      <c r="NFJ55" s="15"/>
      <c r="NFK55" s="15"/>
      <c r="NFL55" s="15"/>
      <c r="NFM55" s="15"/>
      <c r="NFN55" s="15"/>
      <c r="NFO55" s="15"/>
      <c r="NFP55" s="15"/>
      <c r="NFQ55" s="15"/>
      <c r="NFR55" s="15"/>
      <c r="NFS55" s="15"/>
      <c r="NFT55" s="15"/>
      <c r="NFU55" s="15"/>
      <c r="NFV55" s="15"/>
      <c r="NFW55" s="15"/>
      <c r="NFX55" s="15"/>
      <c r="NFY55" s="15"/>
      <c r="NFZ55" s="15"/>
      <c r="NGA55" s="15"/>
      <c r="NGB55" s="15"/>
      <c r="NGC55" s="15"/>
      <c r="NGD55" s="15"/>
      <c r="NGE55" s="15"/>
      <c r="NGF55" s="15"/>
      <c r="NGG55" s="15"/>
      <c r="NGH55" s="15"/>
      <c r="NGI55" s="15"/>
      <c r="NGJ55" s="15"/>
      <c r="NGK55" s="15"/>
      <c r="NGL55" s="15"/>
      <c r="NGM55" s="15"/>
      <c r="NGN55" s="15"/>
      <c r="NGO55" s="15"/>
      <c r="NGP55" s="15"/>
      <c r="NGQ55" s="15"/>
      <c r="NGR55" s="15"/>
      <c r="NGS55" s="15"/>
      <c r="NGT55" s="15"/>
      <c r="NGU55" s="15"/>
      <c r="NGV55" s="15"/>
      <c r="NGW55" s="15"/>
      <c r="NGX55" s="15"/>
      <c r="NGY55" s="15"/>
      <c r="NGZ55" s="15"/>
      <c r="NHA55" s="15"/>
      <c r="NHB55" s="15"/>
      <c r="NHC55" s="15"/>
      <c r="NHD55" s="15"/>
      <c r="NHE55" s="15"/>
      <c r="NHF55" s="15"/>
      <c r="NHG55" s="15"/>
      <c r="NHH55" s="15"/>
      <c r="NHI55" s="15"/>
      <c r="NHJ55" s="15"/>
      <c r="NHK55" s="15"/>
      <c r="NHL55" s="15"/>
      <c r="NHM55" s="15"/>
      <c r="NHN55" s="15"/>
      <c r="NHO55" s="15"/>
      <c r="NHP55" s="15"/>
      <c r="NHQ55" s="15"/>
      <c r="NHR55" s="15"/>
      <c r="NHS55" s="15"/>
      <c r="NHT55" s="15"/>
      <c r="NHU55" s="15"/>
      <c r="NHV55" s="15"/>
      <c r="NHW55" s="15"/>
      <c r="NHX55" s="15"/>
      <c r="NHY55" s="15"/>
      <c r="NHZ55" s="15"/>
      <c r="NIA55" s="15"/>
      <c r="NIB55" s="15"/>
      <c r="NIC55" s="15"/>
      <c r="NID55" s="15"/>
      <c r="NIE55" s="15"/>
      <c r="NIF55" s="15"/>
      <c r="NIG55" s="15"/>
      <c r="NIH55" s="15"/>
      <c r="NII55" s="15"/>
      <c r="NIJ55" s="15"/>
      <c r="NIK55" s="15"/>
      <c r="NIL55" s="15"/>
      <c r="NIM55" s="15"/>
      <c r="NIN55" s="15"/>
      <c r="NIO55" s="15"/>
      <c r="NIP55" s="15"/>
      <c r="NIQ55" s="15"/>
      <c r="NIR55" s="15"/>
      <c r="NIS55" s="15"/>
      <c r="NIT55" s="15"/>
      <c r="NIU55" s="15"/>
      <c r="NIV55" s="15"/>
      <c r="NIW55" s="15"/>
      <c r="NIX55" s="15"/>
      <c r="NIY55" s="15"/>
      <c r="NIZ55" s="15"/>
      <c r="NJA55" s="15"/>
      <c r="NJB55" s="15"/>
      <c r="NJC55" s="15"/>
      <c r="NJD55" s="15"/>
      <c r="NJE55" s="15"/>
      <c r="NJF55" s="15"/>
      <c r="NJG55" s="15"/>
      <c r="NJH55" s="15"/>
      <c r="NJI55" s="15"/>
      <c r="NJJ55" s="15"/>
      <c r="NJK55" s="15"/>
      <c r="NJL55" s="15"/>
      <c r="NJM55" s="15"/>
      <c r="NJN55" s="15"/>
      <c r="NJO55" s="15"/>
      <c r="NJP55" s="15"/>
      <c r="NJQ55" s="15"/>
      <c r="NJR55" s="15"/>
      <c r="NJS55" s="15"/>
      <c r="NJT55" s="15"/>
      <c r="NJU55" s="15"/>
      <c r="NJV55" s="15"/>
      <c r="NJW55" s="15"/>
      <c r="NJX55" s="15"/>
      <c r="NJY55" s="15"/>
      <c r="NJZ55" s="15"/>
      <c r="NKA55" s="15"/>
      <c r="NKB55" s="15"/>
      <c r="NKC55" s="15"/>
      <c r="NKD55" s="15"/>
      <c r="NKE55" s="15"/>
      <c r="NKF55" s="15"/>
      <c r="NKG55" s="15"/>
      <c r="NKH55" s="15"/>
      <c r="NKI55" s="15"/>
      <c r="NKJ55" s="15"/>
      <c r="NKK55" s="15"/>
      <c r="NKL55" s="15"/>
      <c r="NKM55" s="15"/>
      <c r="NKN55" s="15"/>
      <c r="NKO55" s="15"/>
      <c r="NKP55" s="15"/>
      <c r="NKQ55" s="15"/>
      <c r="NKR55" s="15"/>
      <c r="NKS55" s="15"/>
      <c r="NKT55" s="15"/>
      <c r="NKU55" s="15"/>
      <c r="NKV55" s="15"/>
      <c r="NKW55" s="15"/>
      <c r="NKX55" s="15"/>
      <c r="NKY55" s="15"/>
      <c r="NKZ55" s="15"/>
      <c r="NLA55" s="15"/>
      <c r="NLB55" s="15"/>
      <c r="NLC55" s="15"/>
      <c r="NLD55" s="15"/>
      <c r="NLE55" s="15"/>
      <c r="NLF55" s="15"/>
      <c r="NLG55" s="15"/>
      <c r="NLH55" s="15"/>
      <c r="NLI55" s="15"/>
      <c r="NLJ55" s="15"/>
      <c r="NLK55" s="15"/>
      <c r="NLL55" s="15"/>
      <c r="NLM55" s="15"/>
      <c r="NLN55" s="15"/>
      <c r="NLO55" s="15"/>
      <c r="NLP55" s="15"/>
      <c r="NLQ55" s="15"/>
      <c r="NLR55" s="15"/>
      <c r="NLS55" s="15"/>
      <c r="NLT55" s="15"/>
      <c r="NLU55" s="15"/>
      <c r="NLV55" s="15"/>
      <c r="NLW55" s="15"/>
      <c r="NLX55" s="15"/>
      <c r="NLY55" s="15"/>
      <c r="NLZ55" s="15"/>
      <c r="NMA55" s="15"/>
      <c r="NMB55" s="15"/>
      <c r="NMC55" s="15"/>
      <c r="NMD55" s="15"/>
      <c r="NME55" s="15"/>
      <c r="NMF55" s="15"/>
      <c r="NMG55" s="15"/>
      <c r="NMH55" s="15"/>
      <c r="NMI55" s="15"/>
      <c r="NMJ55" s="15"/>
      <c r="NMK55" s="15"/>
      <c r="NML55" s="15"/>
      <c r="NMM55" s="15"/>
      <c r="NMN55" s="15"/>
      <c r="NMO55" s="15"/>
      <c r="NMP55" s="15"/>
      <c r="NMQ55" s="15"/>
      <c r="NMR55" s="15"/>
      <c r="NMS55" s="15"/>
      <c r="NMT55" s="15"/>
      <c r="NMU55" s="15"/>
      <c r="NMV55" s="15"/>
      <c r="NMW55" s="15"/>
      <c r="NMX55" s="15"/>
      <c r="NMY55" s="15"/>
      <c r="NMZ55" s="15"/>
      <c r="NNA55" s="15"/>
      <c r="NNB55" s="15"/>
      <c r="NNC55" s="15"/>
      <c r="NND55" s="15"/>
      <c r="NNE55" s="15"/>
      <c r="NNF55" s="15"/>
      <c r="NNG55" s="15"/>
      <c r="NNH55" s="15"/>
      <c r="NNI55" s="15"/>
      <c r="NNJ55" s="15"/>
      <c r="NNK55" s="15"/>
      <c r="NNL55" s="15"/>
      <c r="NNM55" s="15"/>
      <c r="NNN55" s="15"/>
      <c r="NNO55" s="15"/>
      <c r="NNP55" s="15"/>
      <c r="NNQ55" s="15"/>
      <c r="NNR55" s="15"/>
      <c r="NNS55" s="15"/>
      <c r="NNT55" s="15"/>
      <c r="NNU55" s="15"/>
      <c r="NNV55" s="15"/>
      <c r="NNW55" s="15"/>
      <c r="NNX55" s="15"/>
      <c r="NNY55" s="15"/>
      <c r="NNZ55" s="15"/>
      <c r="NOA55" s="15"/>
      <c r="NOB55" s="15"/>
      <c r="NOC55" s="15"/>
      <c r="NOD55" s="15"/>
      <c r="NOE55" s="15"/>
      <c r="NOF55" s="15"/>
      <c r="NOG55" s="15"/>
      <c r="NOH55" s="15"/>
      <c r="NOI55" s="15"/>
      <c r="NOJ55" s="15"/>
      <c r="NOK55" s="15"/>
      <c r="NOL55" s="15"/>
      <c r="NOM55" s="15"/>
      <c r="NON55" s="15"/>
      <c r="NOO55" s="15"/>
      <c r="NOP55" s="15"/>
      <c r="NOQ55" s="15"/>
      <c r="NOR55" s="15"/>
      <c r="NOS55" s="15"/>
      <c r="NOT55" s="15"/>
      <c r="NOU55" s="15"/>
      <c r="NOV55" s="15"/>
      <c r="NOW55" s="15"/>
      <c r="NOX55" s="15"/>
      <c r="NOY55" s="15"/>
      <c r="NOZ55" s="15"/>
      <c r="NPA55" s="15"/>
      <c r="NPB55" s="15"/>
      <c r="NPC55" s="15"/>
      <c r="NPD55" s="15"/>
      <c r="NPE55" s="15"/>
      <c r="NPF55" s="15"/>
      <c r="NPG55" s="15"/>
      <c r="NPH55" s="15"/>
      <c r="NPI55" s="15"/>
      <c r="NPJ55" s="15"/>
      <c r="NPK55" s="15"/>
      <c r="NPL55" s="15"/>
      <c r="NPM55" s="15"/>
      <c r="NPN55" s="15"/>
      <c r="NPO55" s="15"/>
      <c r="NPP55" s="15"/>
      <c r="NPQ55" s="15"/>
      <c r="NPR55" s="15"/>
      <c r="NPS55" s="15"/>
      <c r="NPT55" s="15"/>
      <c r="NPU55" s="15"/>
      <c r="NPV55" s="15"/>
      <c r="NPW55" s="15"/>
      <c r="NPX55" s="15"/>
      <c r="NPY55" s="15"/>
      <c r="NPZ55" s="15"/>
      <c r="NQA55" s="15"/>
      <c r="NQB55" s="15"/>
      <c r="NQC55" s="15"/>
      <c r="NQD55" s="15"/>
      <c r="NQE55" s="15"/>
      <c r="NQF55" s="15"/>
      <c r="NQG55" s="15"/>
      <c r="NQH55" s="15"/>
      <c r="NQI55" s="15"/>
      <c r="NQJ55" s="15"/>
      <c r="NQK55" s="15"/>
      <c r="NQL55" s="15"/>
      <c r="NQM55" s="15"/>
      <c r="NQN55" s="15"/>
      <c r="NQO55" s="15"/>
      <c r="NQP55" s="15"/>
      <c r="NQQ55" s="15"/>
      <c r="NQR55" s="15"/>
      <c r="NQS55" s="15"/>
      <c r="NQT55" s="15"/>
      <c r="NQU55" s="15"/>
      <c r="NQV55" s="15"/>
      <c r="NQW55" s="15"/>
      <c r="NQX55" s="15"/>
      <c r="NQY55" s="15"/>
      <c r="NQZ55" s="15"/>
      <c r="NRA55" s="15"/>
      <c r="NRB55" s="15"/>
      <c r="NRC55" s="15"/>
      <c r="NRD55" s="15"/>
      <c r="NRE55" s="15"/>
      <c r="NRF55" s="15"/>
      <c r="NRG55" s="15"/>
      <c r="NRH55" s="15"/>
      <c r="NRI55" s="15"/>
      <c r="NRJ55" s="15"/>
      <c r="NRK55" s="15"/>
      <c r="NRL55" s="15"/>
      <c r="NRM55" s="15"/>
      <c r="NRN55" s="15"/>
      <c r="NRO55" s="15"/>
      <c r="NRP55" s="15"/>
      <c r="NRQ55" s="15"/>
      <c r="NRR55" s="15"/>
      <c r="NRS55" s="15"/>
      <c r="NRT55" s="15"/>
      <c r="NRU55" s="15"/>
      <c r="NRV55" s="15"/>
      <c r="NRW55" s="15"/>
      <c r="NRX55" s="15"/>
      <c r="NRY55" s="15"/>
      <c r="NRZ55" s="15"/>
      <c r="NSA55" s="15"/>
      <c r="NSB55" s="15"/>
      <c r="NSC55" s="15"/>
      <c r="NSD55" s="15"/>
      <c r="NSE55" s="15"/>
      <c r="NSF55" s="15"/>
      <c r="NSG55" s="15"/>
      <c r="NSH55" s="15"/>
      <c r="NSI55" s="15"/>
      <c r="NSJ55" s="15"/>
      <c r="NSK55" s="15"/>
      <c r="NSL55" s="15"/>
      <c r="NSM55" s="15"/>
      <c r="NSN55" s="15"/>
      <c r="NSO55" s="15"/>
      <c r="NSP55" s="15"/>
      <c r="NSQ55" s="15"/>
      <c r="NSR55" s="15"/>
      <c r="NSS55" s="15"/>
      <c r="NST55" s="15"/>
      <c r="NSU55" s="15"/>
      <c r="NSV55" s="15"/>
      <c r="NSW55" s="15"/>
      <c r="NSX55" s="15"/>
      <c r="NSY55" s="15"/>
      <c r="NSZ55" s="15"/>
      <c r="NTA55" s="15"/>
      <c r="NTB55" s="15"/>
      <c r="NTC55" s="15"/>
      <c r="NTD55" s="15"/>
      <c r="NTE55" s="15"/>
      <c r="NTF55" s="15"/>
      <c r="NTG55" s="15"/>
      <c r="NTH55" s="15"/>
      <c r="NTI55" s="15"/>
      <c r="NTJ55" s="15"/>
      <c r="NTK55" s="15"/>
      <c r="NTL55" s="15"/>
      <c r="NTM55" s="15"/>
      <c r="NTN55" s="15"/>
      <c r="NTO55" s="15"/>
      <c r="NTP55" s="15"/>
      <c r="NTQ55" s="15"/>
      <c r="NTR55" s="15"/>
      <c r="NTS55" s="15"/>
      <c r="NTT55" s="15"/>
      <c r="NTU55" s="15"/>
      <c r="NTV55" s="15"/>
      <c r="NTW55" s="15"/>
      <c r="NTX55" s="15"/>
      <c r="NTY55" s="15"/>
      <c r="NTZ55" s="15"/>
      <c r="NUA55" s="15"/>
      <c r="NUB55" s="15"/>
      <c r="NUC55" s="15"/>
      <c r="NUD55" s="15"/>
      <c r="NUE55" s="15"/>
      <c r="NUF55" s="15"/>
      <c r="NUG55" s="15"/>
      <c r="NUH55" s="15"/>
      <c r="NUI55" s="15"/>
      <c r="NUJ55" s="15"/>
      <c r="NUK55" s="15"/>
      <c r="NUL55" s="15"/>
      <c r="NUM55" s="15"/>
      <c r="NUN55" s="15"/>
      <c r="NUO55" s="15"/>
      <c r="NUP55" s="15"/>
      <c r="NUQ55" s="15"/>
      <c r="NUR55" s="15"/>
      <c r="NUS55" s="15"/>
      <c r="NUT55" s="15"/>
      <c r="NUU55" s="15"/>
      <c r="NUV55" s="15"/>
      <c r="NUW55" s="15"/>
      <c r="NUX55" s="15"/>
      <c r="NUY55" s="15"/>
      <c r="NUZ55" s="15"/>
      <c r="NVA55" s="15"/>
      <c r="NVB55" s="15"/>
      <c r="NVC55" s="15"/>
      <c r="NVD55" s="15"/>
      <c r="NVE55" s="15"/>
      <c r="NVF55" s="15"/>
      <c r="NVG55" s="15"/>
      <c r="NVH55" s="15"/>
      <c r="NVI55" s="15"/>
      <c r="NVJ55" s="15"/>
      <c r="NVK55" s="15"/>
      <c r="NVL55" s="15"/>
      <c r="NVM55" s="15"/>
      <c r="NVN55" s="15"/>
      <c r="NVO55" s="15"/>
      <c r="NVP55" s="15"/>
      <c r="NVQ55" s="15"/>
      <c r="NVR55" s="15"/>
      <c r="NVS55" s="15"/>
      <c r="NVT55" s="15"/>
      <c r="NVU55" s="15"/>
      <c r="NVV55" s="15"/>
      <c r="NVW55" s="15"/>
      <c r="NVX55" s="15"/>
      <c r="NVY55" s="15"/>
      <c r="NVZ55" s="15"/>
      <c r="NWA55" s="15"/>
      <c r="NWB55" s="15"/>
      <c r="NWC55" s="15"/>
      <c r="NWD55" s="15"/>
      <c r="NWE55" s="15"/>
      <c r="NWF55" s="15"/>
      <c r="NWG55" s="15"/>
      <c r="NWH55" s="15"/>
      <c r="NWI55" s="15"/>
      <c r="NWJ55" s="15"/>
      <c r="NWK55" s="15"/>
      <c r="NWL55" s="15"/>
      <c r="NWM55" s="15"/>
      <c r="NWN55" s="15"/>
      <c r="NWO55" s="15"/>
      <c r="NWP55" s="15"/>
      <c r="NWQ55" s="15"/>
      <c r="NWR55" s="15"/>
      <c r="NWS55" s="15"/>
      <c r="NWT55" s="15"/>
      <c r="NWU55" s="15"/>
      <c r="NWV55" s="15"/>
      <c r="NWW55" s="15"/>
      <c r="NWX55" s="15"/>
      <c r="NWY55" s="15"/>
      <c r="NWZ55" s="15"/>
      <c r="NXA55" s="15"/>
      <c r="NXB55" s="15"/>
      <c r="NXC55" s="15"/>
      <c r="NXD55" s="15"/>
      <c r="NXE55" s="15"/>
      <c r="NXF55" s="15"/>
      <c r="NXG55" s="15"/>
      <c r="NXH55" s="15"/>
      <c r="NXI55" s="15"/>
      <c r="NXJ55" s="15"/>
      <c r="NXK55" s="15"/>
      <c r="NXL55" s="15"/>
      <c r="NXM55" s="15"/>
      <c r="NXN55" s="15"/>
      <c r="NXO55" s="15"/>
      <c r="NXP55" s="15"/>
      <c r="NXQ55" s="15"/>
      <c r="NXR55" s="15"/>
      <c r="NXS55" s="15"/>
      <c r="NXT55" s="15"/>
      <c r="NXU55" s="15"/>
      <c r="NXV55" s="15"/>
      <c r="NXW55" s="15"/>
      <c r="NXX55" s="15"/>
      <c r="NXY55" s="15"/>
      <c r="NXZ55" s="15"/>
      <c r="NYA55" s="15"/>
      <c r="NYB55" s="15"/>
      <c r="NYC55" s="15"/>
      <c r="NYD55" s="15"/>
      <c r="NYE55" s="15"/>
      <c r="NYF55" s="15"/>
      <c r="NYG55" s="15"/>
      <c r="NYH55" s="15"/>
      <c r="NYI55" s="15"/>
      <c r="NYJ55" s="15"/>
      <c r="NYK55" s="15"/>
      <c r="NYL55" s="15"/>
      <c r="NYM55" s="15"/>
      <c r="NYN55" s="15"/>
      <c r="NYO55" s="15"/>
      <c r="NYP55" s="15"/>
      <c r="NYQ55" s="15"/>
      <c r="NYR55" s="15"/>
      <c r="NYS55" s="15"/>
      <c r="NYT55" s="15"/>
      <c r="NYU55" s="15"/>
      <c r="NYV55" s="15"/>
      <c r="NYW55" s="15"/>
      <c r="NYX55" s="15"/>
      <c r="NYY55" s="15"/>
      <c r="NYZ55" s="15"/>
      <c r="NZA55" s="15"/>
      <c r="NZB55" s="15"/>
      <c r="NZC55" s="15"/>
      <c r="NZD55" s="15"/>
      <c r="NZE55" s="15"/>
      <c r="NZF55" s="15"/>
      <c r="NZG55" s="15"/>
      <c r="NZH55" s="15"/>
      <c r="NZI55" s="15"/>
      <c r="NZJ55" s="15"/>
      <c r="NZK55" s="15"/>
      <c r="NZL55" s="15"/>
      <c r="NZM55" s="15"/>
      <c r="NZN55" s="15"/>
      <c r="NZO55" s="15"/>
      <c r="NZP55" s="15"/>
      <c r="NZQ55" s="15"/>
      <c r="NZR55" s="15"/>
      <c r="NZS55" s="15"/>
      <c r="NZT55" s="15"/>
      <c r="NZU55" s="15"/>
      <c r="NZV55" s="15"/>
      <c r="NZW55" s="15"/>
      <c r="NZX55" s="15"/>
      <c r="NZY55" s="15"/>
      <c r="NZZ55" s="15"/>
      <c r="OAA55" s="15"/>
      <c r="OAB55" s="15"/>
      <c r="OAC55" s="15"/>
      <c r="OAD55" s="15"/>
      <c r="OAE55" s="15"/>
      <c r="OAF55" s="15"/>
      <c r="OAG55" s="15"/>
      <c r="OAH55" s="15"/>
      <c r="OAI55" s="15"/>
      <c r="OAJ55" s="15"/>
      <c r="OAK55" s="15"/>
      <c r="OAL55" s="15"/>
      <c r="OAM55" s="15"/>
      <c r="OAN55" s="15"/>
      <c r="OAO55" s="15"/>
      <c r="OAP55" s="15"/>
      <c r="OAQ55" s="15"/>
      <c r="OAR55" s="15"/>
      <c r="OAS55" s="15"/>
      <c r="OAT55" s="15"/>
      <c r="OAU55" s="15"/>
      <c r="OAV55" s="15"/>
      <c r="OAW55" s="15"/>
      <c r="OAX55" s="15"/>
      <c r="OAY55" s="15"/>
      <c r="OAZ55" s="15"/>
      <c r="OBA55" s="15"/>
      <c r="OBB55" s="15"/>
      <c r="OBC55" s="15"/>
      <c r="OBD55" s="15"/>
      <c r="OBE55" s="15"/>
      <c r="OBF55" s="15"/>
      <c r="OBG55" s="15"/>
      <c r="OBH55" s="15"/>
      <c r="OBI55" s="15"/>
      <c r="OBJ55" s="15"/>
      <c r="OBK55" s="15"/>
      <c r="OBL55" s="15"/>
      <c r="OBM55" s="15"/>
      <c r="OBN55" s="15"/>
      <c r="OBO55" s="15"/>
      <c r="OBP55" s="15"/>
      <c r="OBQ55" s="15"/>
      <c r="OBR55" s="15"/>
      <c r="OBS55" s="15"/>
      <c r="OBT55" s="15"/>
      <c r="OBU55" s="15"/>
      <c r="OBV55" s="15"/>
      <c r="OBW55" s="15"/>
      <c r="OBX55" s="15"/>
      <c r="OBY55" s="15"/>
      <c r="OBZ55" s="15"/>
      <c r="OCA55" s="15"/>
      <c r="OCB55" s="15"/>
      <c r="OCC55" s="15"/>
      <c r="OCD55" s="15"/>
      <c r="OCE55" s="15"/>
      <c r="OCF55" s="15"/>
      <c r="OCG55" s="15"/>
      <c r="OCH55" s="15"/>
      <c r="OCI55" s="15"/>
      <c r="OCJ55" s="15"/>
      <c r="OCK55" s="15"/>
      <c r="OCL55" s="15"/>
      <c r="OCM55" s="15"/>
      <c r="OCN55" s="15"/>
      <c r="OCO55" s="15"/>
      <c r="OCP55" s="15"/>
      <c r="OCQ55" s="15"/>
      <c r="OCR55" s="15"/>
      <c r="OCS55" s="15"/>
      <c r="OCT55" s="15"/>
      <c r="OCU55" s="15"/>
      <c r="OCV55" s="15"/>
      <c r="OCW55" s="15"/>
      <c r="OCX55" s="15"/>
      <c r="OCY55" s="15"/>
      <c r="OCZ55" s="15"/>
      <c r="ODA55" s="15"/>
      <c r="ODB55" s="15"/>
      <c r="ODC55" s="15"/>
      <c r="ODD55" s="15"/>
      <c r="ODE55" s="15"/>
      <c r="ODF55" s="15"/>
      <c r="ODG55" s="15"/>
      <c r="ODH55" s="15"/>
      <c r="ODI55" s="15"/>
      <c r="ODJ55" s="15"/>
      <c r="ODK55" s="15"/>
      <c r="ODL55" s="15"/>
      <c r="ODM55" s="15"/>
      <c r="ODN55" s="15"/>
      <c r="ODO55" s="15"/>
      <c r="ODP55" s="15"/>
      <c r="ODQ55" s="15"/>
      <c r="ODR55" s="15"/>
      <c r="ODS55" s="15"/>
      <c r="ODT55" s="15"/>
      <c r="ODU55" s="15"/>
      <c r="ODV55" s="15"/>
      <c r="ODW55" s="15"/>
      <c r="ODX55" s="15"/>
      <c r="ODY55" s="15"/>
      <c r="ODZ55" s="15"/>
      <c r="OEA55" s="15"/>
      <c r="OEB55" s="15"/>
      <c r="OEC55" s="15"/>
      <c r="OED55" s="15"/>
      <c r="OEE55" s="15"/>
      <c r="OEF55" s="15"/>
      <c r="OEG55" s="15"/>
      <c r="OEH55" s="15"/>
      <c r="OEI55" s="15"/>
      <c r="OEJ55" s="15"/>
      <c r="OEK55" s="15"/>
      <c r="OEL55" s="15"/>
      <c r="OEM55" s="15"/>
      <c r="OEN55" s="15"/>
      <c r="OEO55" s="15"/>
      <c r="OEP55" s="15"/>
      <c r="OEQ55" s="15"/>
      <c r="OER55" s="15"/>
      <c r="OES55" s="15"/>
      <c r="OET55" s="15"/>
      <c r="OEU55" s="15"/>
      <c r="OEV55" s="15"/>
      <c r="OEW55" s="15"/>
      <c r="OEX55" s="15"/>
      <c r="OEY55" s="15"/>
      <c r="OEZ55" s="15"/>
      <c r="OFA55" s="15"/>
      <c r="OFB55" s="15"/>
      <c r="OFC55" s="15"/>
      <c r="OFD55" s="15"/>
      <c r="OFE55" s="15"/>
      <c r="OFF55" s="15"/>
      <c r="OFG55" s="15"/>
      <c r="OFH55" s="15"/>
      <c r="OFI55" s="15"/>
      <c r="OFJ55" s="15"/>
      <c r="OFK55" s="15"/>
      <c r="OFL55" s="15"/>
      <c r="OFM55" s="15"/>
      <c r="OFN55" s="15"/>
      <c r="OFO55" s="15"/>
      <c r="OFP55" s="15"/>
      <c r="OFQ55" s="15"/>
      <c r="OFR55" s="15"/>
      <c r="OFS55" s="15"/>
      <c r="OFT55" s="15"/>
      <c r="OFU55" s="15"/>
      <c r="OFV55" s="15"/>
      <c r="OFW55" s="15"/>
      <c r="OFX55" s="15"/>
      <c r="OFY55" s="15"/>
      <c r="OFZ55" s="15"/>
      <c r="OGA55" s="15"/>
      <c r="OGB55" s="15"/>
      <c r="OGC55" s="15"/>
      <c r="OGD55" s="15"/>
      <c r="OGE55" s="15"/>
      <c r="OGF55" s="15"/>
      <c r="OGG55" s="15"/>
      <c r="OGH55" s="15"/>
      <c r="OGI55" s="15"/>
      <c r="OGJ55" s="15"/>
      <c r="OGK55" s="15"/>
      <c r="OGL55" s="15"/>
      <c r="OGM55" s="15"/>
      <c r="OGN55" s="15"/>
      <c r="OGO55" s="15"/>
      <c r="OGP55" s="15"/>
      <c r="OGQ55" s="15"/>
      <c r="OGR55" s="15"/>
      <c r="OGS55" s="15"/>
      <c r="OGT55" s="15"/>
      <c r="OGU55" s="15"/>
      <c r="OGV55" s="15"/>
      <c r="OGW55" s="15"/>
      <c r="OGX55" s="15"/>
      <c r="OGY55" s="15"/>
      <c r="OGZ55" s="15"/>
      <c r="OHA55" s="15"/>
      <c r="OHB55" s="15"/>
      <c r="OHC55" s="15"/>
      <c r="OHD55" s="15"/>
      <c r="OHE55" s="15"/>
      <c r="OHF55" s="15"/>
      <c r="OHG55" s="15"/>
      <c r="OHH55" s="15"/>
      <c r="OHI55" s="15"/>
      <c r="OHJ55" s="15"/>
      <c r="OHK55" s="15"/>
      <c r="OHL55" s="15"/>
      <c r="OHM55" s="15"/>
      <c r="OHN55" s="15"/>
      <c r="OHO55" s="15"/>
      <c r="OHP55" s="15"/>
      <c r="OHQ55" s="15"/>
      <c r="OHR55" s="15"/>
      <c r="OHS55" s="15"/>
      <c r="OHT55" s="15"/>
      <c r="OHU55" s="15"/>
      <c r="OHV55" s="15"/>
      <c r="OHW55" s="15"/>
      <c r="OHX55" s="15"/>
      <c r="OHY55" s="15"/>
      <c r="OHZ55" s="15"/>
      <c r="OIA55" s="15"/>
      <c r="OIB55" s="15"/>
      <c r="OIC55" s="15"/>
      <c r="OID55" s="15"/>
      <c r="OIE55" s="15"/>
      <c r="OIF55" s="15"/>
      <c r="OIG55" s="15"/>
      <c r="OIH55" s="15"/>
      <c r="OII55" s="15"/>
      <c r="OIJ55" s="15"/>
      <c r="OIK55" s="15"/>
      <c r="OIL55" s="15"/>
      <c r="OIM55" s="15"/>
      <c r="OIN55" s="15"/>
      <c r="OIO55" s="15"/>
      <c r="OIP55" s="15"/>
      <c r="OIQ55" s="15"/>
      <c r="OIR55" s="15"/>
      <c r="OIS55" s="15"/>
      <c r="OIT55" s="15"/>
      <c r="OIU55" s="15"/>
      <c r="OIV55" s="15"/>
      <c r="OIW55" s="15"/>
      <c r="OIX55" s="15"/>
      <c r="OIY55" s="15"/>
      <c r="OIZ55" s="15"/>
      <c r="OJA55" s="15"/>
      <c r="OJB55" s="15"/>
      <c r="OJC55" s="15"/>
      <c r="OJD55" s="15"/>
      <c r="OJE55" s="15"/>
      <c r="OJF55" s="15"/>
      <c r="OJG55" s="15"/>
      <c r="OJH55" s="15"/>
      <c r="OJI55" s="15"/>
      <c r="OJJ55" s="15"/>
      <c r="OJK55" s="15"/>
      <c r="OJL55" s="15"/>
      <c r="OJM55" s="15"/>
      <c r="OJN55" s="15"/>
      <c r="OJO55" s="15"/>
      <c r="OJP55" s="15"/>
      <c r="OJQ55" s="15"/>
      <c r="OJR55" s="15"/>
      <c r="OJS55" s="15"/>
      <c r="OJT55" s="15"/>
      <c r="OJU55" s="15"/>
      <c r="OJV55" s="15"/>
      <c r="OJW55" s="15"/>
      <c r="OJX55" s="15"/>
      <c r="OJY55" s="15"/>
      <c r="OJZ55" s="15"/>
      <c r="OKA55" s="15"/>
      <c r="OKB55" s="15"/>
      <c r="OKC55" s="15"/>
      <c r="OKD55" s="15"/>
      <c r="OKE55" s="15"/>
      <c r="OKF55" s="15"/>
      <c r="OKG55" s="15"/>
      <c r="OKH55" s="15"/>
      <c r="OKI55" s="15"/>
      <c r="OKJ55" s="15"/>
      <c r="OKK55" s="15"/>
      <c r="OKL55" s="15"/>
      <c r="OKM55" s="15"/>
      <c r="OKN55" s="15"/>
      <c r="OKO55" s="15"/>
      <c r="OKP55" s="15"/>
      <c r="OKQ55" s="15"/>
      <c r="OKR55" s="15"/>
      <c r="OKS55" s="15"/>
      <c r="OKT55" s="15"/>
      <c r="OKU55" s="15"/>
      <c r="OKV55" s="15"/>
      <c r="OKW55" s="15"/>
      <c r="OKX55" s="15"/>
      <c r="OKY55" s="15"/>
      <c r="OKZ55" s="15"/>
      <c r="OLA55" s="15"/>
      <c r="OLB55" s="15"/>
      <c r="OLC55" s="15"/>
      <c r="OLD55" s="15"/>
      <c r="OLE55" s="15"/>
      <c r="OLF55" s="15"/>
      <c r="OLG55" s="15"/>
      <c r="OLH55" s="15"/>
      <c r="OLI55" s="15"/>
      <c r="OLJ55" s="15"/>
      <c r="OLK55" s="15"/>
      <c r="OLL55" s="15"/>
      <c r="OLM55" s="15"/>
      <c r="OLN55" s="15"/>
      <c r="OLO55" s="15"/>
      <c r="OLP55" s="15"/>
      <c r="OLQ55" s="15"/>
      <c r="OLR55" s="15"/>
      <c r="OLS55" s="15"/>
      <c r="OLT55" s="15"/>
      <c r="OLU55" s="15"/>
      <c r="OLV55" s="15"/>
      <c r="OLW55" s="15"/>
      <c r="OLX55" s="15"/>
      <c r="OLY55" s="15"/>
      <c r="OLZ55" s="15"/>
      <c r="OMA55" s="15"/>
      <c r="OMB55" s="15"/>
      <c r="OMC55" s="15"/>
      <c r="OMD55" s="15"/>
      <c r="OME55" s="15"/>
      <c r="OMF55" s="15"/>
      <c r="OMG55" s="15"/>
      <c r="OMH55" s="15"/>
      <c r="OMI55" s="15"/>
      <c r="OMJ55" s="15"/>
      <c r="OMK55" s="15"/>
      <c r="OML55" s="15"/>
      <c r="OMM55" s="15"/>
      <c r="OMN55" s="15"/>
      <c r="OMO55" s="15"/>
      <c r="OMP55" s="15"/>
      <c r="OMQ55" s="15"/>
      <c r="OMR55" s="15"/>
      <c r="OMS55" s="15"/>
      <c r="OMT55" s="15"/>
      <c r="OMU55" s="15"/>
      <c r="OMV55" s="15"/>
      <c r="OMW55" s="15"/>
      <c r="OMX55" s="15"/>
      <c r="OMY55" s="15"/>
      <c r="OMZ55" s="15"/>
      <c r="ONA55" s="15"/>
      <c r="ONB55" s="15"/>
      <c r="ONC55" s="15"/>
      <c r="OND55" s="15"/>
      <c r="ONE55" s="15"/>
      <c r="ONF55" s="15"/>
      <c r="ONG55" s="15"/>
      <c r="ONH55" s="15"/>
      <c r="ONI55" s="15"/>
      <c r="ONJ55" s="15"/>
      <c r="ONK55" s="15"/>
      <c r="ONL55" s="15"/>
      <c r="ONM55" s="15"/>
      <c r="ONN55" s="15"/>
      <c r="ONO55" s="15"/>
      <c r="ONP55" s="15"/>
      <c r="ONQ55" s="15"/>
      <c r="ONR55" s="15"/>
      <c r="ONS55" s="15"/>
      <c r="ONT55" s="15"/>
      <c r="ONU55" s="15"/>
      <c r="ONV55" s="15"/>
      <c r="ONW55" s="15"/>
      <c r="ONX55" s="15"/>
      <c r="ONY55" s="15"/>
      <c r="ONZ55" s="15"/>
      <c r="OOA55" s="15"/>
      <c r="OOB55" s="15"/>
      <c r="OOC55" s="15"/>
      <c r="OOD55" s="15"/>
      <c r="OOE55" s="15"/>
      <c r="OOF55" s="15"/>
      <c r="OOG55" s="15"/>
      <c r="OOH55" s="15"/>
      <c r="OOI55" s="15"/>
      <c r="OOJ55" s="15"/>
      <c r="OOK55" s="15"/>
      <c r="OOL55" s="15"/>
      <c r="OOM55" s="15"/>
      <c r="OON55" s="15"/>
      <c r="OOO55" s="15"/>
      <c r="OOP55" s="15"/>
      <c r="OOQ55" s="15"/>
      <c r="OOR55" s="15"/>
      <c r="OOS55" s="15"/>
      <c r="OOT55" s="15"/>
      <c r="OOU55" s="15"/>
      <c r="OOV55" s="15"/>
      <c r="OOW55" s="15"/>
      <c r="OOX55" s="15"/>
      <c r="OOY55" s="15"/>
      <c r="OOZ55" s="15"/>
      <c r="OPA55" s="15"/>
      <c r="OPB55" s="15"/>
      <c r="OPC55" s="15"/>
      <c r="OPD55" s="15"/>
      <c r="OPE55" s="15"/>
      <c r="OPF55" s="15"/>
      <c r="OPG55" s="15"/>
      <c r="OPH55" s="15"/>
      <c r="OPI55" s="15"/>
      <c r="OPJ55" s="15"/>
      <c r="OPK55" s="15"/>
      <c r="OPL55" s="15"/>
      <c r="OPM55" s="15"/>
      <c r="OPN55" s="15"/>
      <c r="OPO55" s="15"/>
      <c r="OPP55" s="15"/>
      <c r="OPQ55" s="15"/>
      <c r="OPR55" s="15"/>
      <c r="OPS55" s="15"/>
      <c r="OPT55" s="15"/>
      <c r="OPU55" s="15"/>
      <c r="OPV55" s="15"/>
      <c r="OPW55" s="15"/>
      <c r="OPX55" s="15"/>
      <c r="OPY55" s="15"/>
      <c r="OPZ55" s="15"/>
      <c r="OQA55" s="15"/>
      <c r="OQB55" s="15"/>
      <c r="OQC55" s="15"/>
      <c r="OQD55" s="15"/>
      <c r="OQE55" s="15"/>
      <c r="OQF55" s="15"/>
      <c r="OQG55" s="15"/>
      <c r="OQH55" s="15"/>
      <c r="OQI55" s="15"/>
      <c r="OQJ55" s="15"/>
      <c r="OQK55" s="15"/>
      <c r="OQL55" s="15"/>
      <c r="OQM55" s="15"/>
      <c r="OQN55" s="15"/>
      <c r="OQO55" s="15"/>
      <c r="OQP55" s="15"/>
      <c r="OQQ55" s="15"/>
      <c r="OQR55" s="15"/>
      <c r="OQS55" s="15"/>
      <c r="OQT55" s="15"/>
      <c r="OQU55" s="15"/>
      <c r="OQV55" s="15"/>
      <c r="OQW55" s="15"/>
      <c r="OQX55" s="15"/>
      <c r="OQY55" s="15"/>
      <c r="OQZ55" s="15"/>
      <c r="ORA55" s="15"/>
      <c r="ORB55" s="15"/>
      <c r="ORC55" s="15"/>
      <c r="ORD55" s="15"/>
      <c r="ORE55" s="15"/>
      <c r="ORF55" s="15"/>
      <c r="ORG55" s="15"/>
      <c r="ORH55" s="15"/>
      <c r="ORI55" s="15"/>
      <c r="ORJ55" s="15"/>
      <c r="ORK55" s="15"/>
      <c r="ORL55" s="15"/>
      <c r="ORM55" s="15"/>
      <c r="ORN55" s="15"/>
      <c r="ORO55" s="15"/>
      <c r="ORP55" s="15"/>
      <c r="ORQ55" s="15"/>
      <c r="ORR55" s="15"/>
      <c r="ORS55" s="15"/>
      <c r="ORT55" s="15"/>
      <c r="ORU55" s="15"/>
      <c r="ORV55" s="15"/>
      <c r="ORW55" s="15"/>
      <c r="ORX55" s="15"/>
      <c r="ORY55" s="15"/>
      <c r="ORZ55" s="15"/>
      <c r="OSA55" s="15"/>
      <c r="OSB55" s="15"/>
      <c r="OSC55" s="15"/>
      <c r="OSD55" s="15"/>
      <c r="OSE55" s="15"/>
      <c r="OSF55" s="15"/>
      <c r="OSG55" s="15"/>
      <c r="OSH55" s="15"/>
      <c r="OSI55" s="15"/>
      <c r="OSJ55" s="15"/>
      <c r="OSK55" s="15"/>
      <c r="OSL55" s="15"/>
      <c r="OSM55" s="15"/>
      <c r="OSN55" s="15"/>
      <c r="OSO55" s="15"/>
      <c r="OSP55" s="15"/>
      <c r="OSQ55" s="15"/>
      <c r="OSR55" s="15"/>
      <c r="OSS55" s="15"/>
      <c r="OST55" s="15"/>
      <c r="OSU55" s="15"/>
      <c r="OSV55" s="15"/>
      <c r="OSW55" s="15"/>
      <c r="OSX55" s="15"/>
      <c r="OSY55" s="15"/>
      <c r="OSZ55" s="15"/>
      <c r="OTA55" s="15"/>
      <c r="OTB55" s="15"/>
      <c r="OTC55" s="15"/>
      <c r="OTD55" s="15"/>
      <c r="OTE55" s="15"/>
      <c r="OTF55" s="15"/>
      <c r="OTG55" s="15"/>
      <c r="OTH55" s="15"/>
      <c r="OTI55" s="15"/>
      <c r="OTJ55" s="15"/>
      <c r="OTK55" s="15"/>
      <c r="OTL55" s="15"/>
      <c r="OTM55" s="15"/>
      <c r="OTN55" s="15"/>
      <c r="OTO55" s="15"/>
      <c r="OTP55" s="15"/>
      <c r="OTQ55" s="15"/>
      <c r="OTR55" s="15"/>
      <c r="OTS55" s="15"/>
      <c r="OTT55" s="15"/>
      <c r="OTU55" s="15"/>
      <c r="OTV55" s="15"/>
      <c r="OTW55" s="15"/>
      <c r="OTX55" s="15"/>
      <c r="OTY55" s="15"/>
      <c r="OTZ55" s="15"/>
      <c r="OUA55" s="15"/>
      <c r="OUB55" s="15"/>
      <c r="OUC55" s="15"/>
      <c r="OUD55" s="15"/>
      <c r="OUE55" s="15"/>
      <c r="OUF55" s="15"/>
      <c r="OUG55" s="15"/>
      <c r="OUH55" s="15"/>
      <c r="OUI55" s="15"/>
      <c r="OUJ55" s="15"/>
      <c r="OUK55" s="15"/>
      <c r="OUL55" s="15"/>
      <c r="OUM55" s="15"/>
      <c r="OUN55" s="15"/>
      <c r="OUO55" s="15"/>
      <c r="OUP55" s="15"/>
      <c r="OUQ55" s="15"/>
      <c r="OUR55" s="15"/>
      <c r="OUS55" s="15"/>
      <c r="OUT55" s="15"/>
      <c r="OUU55" s="15"/>
      <c r="OUV55" s="15"/>
      <c r="OUW55" s="15"/>
      <c r="OUX55" s="15"/>
      <c r="OUY55" s="15"/>
      <c r="OUZ55" s="15"/>
      <c r="OVA55" s="15"/>
      <c r="OVB55" s="15"/>
      <c r="OVC55" s="15"/>
      <c r="OVD55" s="15"/>
      <c r="OVE55" s="15"/>
      <c r="OVF55" s="15"/>
      <c r="OVG55" s="15"/>
      <c r="OVH55" s="15"/>
      <c r="OVI55" s="15"/>
      <c r="OVJ55" s="15"/>
      <c r="OVK55" s="15"/>
      <c r="OVL55" s="15"/>
      <c r="OVM55" s="15"/>
      <c r="OVN55" s="15"/>
      <c r="OVO55" s="15"/>
      <c r="OVP55" s="15"/>
      <c r="OVQ55" s="15"/>
      <c r="OVR55" s="15"/>
      <c r="OVS55" s="15"/>
      <c r="OVT55" s="15"/>
      <c r="OVU55" s="15"/>
      <c r="OVV55" s="15"/>
      <c r="OVW55" s="15"/>
      <c r="OVX55" s="15"/>
      <c r="OVY55" s="15"/>
      <c r="OVZ55" s="15"/>
      <c r="OWA55" s="15"/>
      <c r="OWB55" s="15"/>
      <c r="OWC55" s="15"/>
      <c r="OWD55" s="15"/>
      <c r="OWE55" s="15"/>
      <c r="OWF55" s="15"/>
      <c r="OWG55" s="15"/>
      <c r="OWH55" s="15"/>
      <c r="OWI55" s="15"/>
      <c r="OWJ55" s="15"/>
      <c r="OWK55" s="15"/>
      <c r="OWL55" s="15"/>
      <c r="OWM55" s="15"/>
      <c r="OWN55" s="15"/>
      <c r="OWO55" s="15"/>
      <c r="OWP55" s="15"/>
      <c r="OWQ55" s="15"/>
      <c r="OWR55" s="15"/>
      <c r="OWS55" s="15"/>
      <c r="OWT55" s="15"/>
      <c r="OWU55" s="15"/>
      <c r="OWV55" s="15"/>
      <c r="OWW55" s="15"/>
      <c r="OWX55" s="15"/>
      <c r="OWY55" s="15"/>
      <c r="OWZ55" s="15"/>
      <c r="OXA55" s="15"/>
      <c r="OXB55" s="15"/>
      <c r="OXC55" s="15"/>
      <c r="OXD55" s="15"/>
      <c r="OXE55" s="15"/>
      <c r="OXF55" s="15"/>
      <c r="OXG55" s="15"/>
      <c r="OXH55" s="15"/>
      <c r="OXI55" s="15"/>
      <c r="OXJ55" s="15"/>
      <c r="OXK55" s="15"/>
      <c r="OXL55" s="15"/>
      <c r="OXM55" s="15"/>
      <c r="OXN55" s="15"/>
      <c r="OXO55" s="15"/>
      <c r="OXP55" s="15"/>
      <c r="OXQ55" s="15"/>
      <c r="OXR55" s="15"/>
      <c r="OXS55" s="15"/>
      <c r="OXT55" s="15"/>
      <c r="OXU55" s="15"/>
      <c r="OXV55" s="15"/>
      <c r="OXW55" s="15"/>
      <c r="OXX55" s="15"/>
      <c r="OXY55" s="15"/>
      <c r="OXZ55" s="15"/>
      <c r="OYA55" s="15"/>
      <c r="OYB55" s="15"/>
      <c r="OYC55" s="15"/>
      <c r="OYD55" s="15"/>
      <c r="OYE55" s="15"/>
      <c r="OYF55" s="15"/>
      <c r="OYG55" s="15"/>
      <c r="OYH55" s="15"/>
      <c r="OYI55" s="15"/>
      <c r="OYJ55" s="15"/>
      <c r="OYK55" s="15"/>
      <c r="OYL55" s="15"/>
      <c r="OYM55" s="15"/>
      <c r="OYN55" s="15"/>
      <c r="OYO55" s="15"/>
      <c r="OYP55" s="15"/>
      <c r="OYQ55" s="15"/>
      <c r="OYR55" s="15"/>
      <c r="OYS55" s="15"/>
      <c r="OYT55" s="15"/>
      <c r="OYU55" s="15"/>
      <c r="OYV55" s="15"/>
      <c r="OYW55" s="15"/>
      <c r="OYX55" s="15"/>
      <c r="OYY55" s="15"/>
      <c r="OYZ55" s="15"/>
      <c r="OZA55" s="15"/>
      <c r="OZB55" s="15"/>
      <c r="OZC55" s="15"/>
      <c r="OZD55" s="15"/>
      <c r="OZE55" s="15"/>
      <c r="OZF55" s="15"/>
      <c r="OZG55" s="15"/>
      <c r="OZH55" s="15"/>
      <c r="OZI55" s="15"/>
      <c r="OZJ55" s="15"/>
      <c r="OZK55" s="15"/>
      <c r="OZL55" s="15"/>
      <c r="OZM55" s="15"/>
      <c r="OZN55" s="15"/>
      <c r="OZO55" s="15"/>
      <c r="OZP55" s="15"/>
      <c r="OZQ55" s="15"/>
      <c r="OZR55" s="15"/>
      <c r="OZS55" s="15"/>
      <c r="OZT55" s="15"/>
      <c r="OZU55" s="15"/>
      <c r="OZV55" s="15"/>
      <c r="OZW55" s="15"/>
      <c r="OZX55" s="15"/>
      <c r="OZY55" s="15"/>
      <c r="OZZ55" s="15"/>
      <c r="PAA55" s="15"/>
      <c r="PAB55" s="15"/>
      <c r="PAC55" s="15"/>
      <c r="PAD55" s="15"/>
      <c r="PAE55" s="15"/>
      <c r="PAF55" s="15"/>
      <c r="PAG55" s="15"/>
      <c r="PAH55" s="15"/>
      <c r="PAI55" s="15"/>
      <c r="PAJ55" s="15"/>
      <c r="PAK55" s="15"/>
      <c r="PAL55" s="15"/>
      <c r="PAM55" s="15"/>
      <c r="PAN55" s="15"/>
      <c r="PAO55" s="15"/>
      <c r="PAP55" s="15"/>
      <c r="PAQ55" s="15"/>
      <c r="PAR55" s="15"/>
      <c r="PAS55" s="15"/>
      <c r="PAT55" s="15"/>
      <c r="PAU55" s="15"/>
      <c r="PAV55" s="15"/>
      <c r="PAW55" s="15"/>
      <c r="PAX55" s="15"/>
      <c r="PAY55" s="15"/>
      <c r="PAZ55" s="15"/>
      <c r="PBA55" s="15"/>
      <c r="PBB55" s="15"/>
      <c r="PBC55" s="15"/>
      <c r="PBD55" s="15"/>
      <c r="PBE55" s="15"/>
      <c r="PBF55" s="15"/>
      <c r="PBG55" s="15"/>
      <c r="PBH55" s="15"/>
      <c r="PBI55" s="15"/>
      <c r="PBJ55" s="15"/>
      <c r="PBK55" s="15"/>
      <c r="PBL55" s="15"/>
      <c r="PBM55" s="15"/>
      <c r="PBN55" s="15"/>
      <c r="PBO55" s="15"/>
      <c r="PBP55" s="15"/>
      <c r="PBQ55" s="15"/>
      <c r="PBR55" s="15"/>
      <c r="PBS55" s="15"/>
      <c r="PBT55" s="15"/>
      <c r="PBU55" s="15"/>
      <c r="PBV55" s="15"/>
      <c r="PBW55" s="15"/>
      <c r="PBX55" s="15"/>
      <c r="PBY55" s="15"/>
      <c r="PBZ55" s="15"/>
      <c r="PCA55" s="15"/>
      <c r="PCB55" s="15"/>
      <c r="PCC55" s="15"/>
      <c r="PCD55" s="15"/>
      <c r="PCE55" s="15"/>
      <c r="PCF55" s="15"/>
      <c r="PCG55" s="15"/>
      <c r="PCH55" s="15"/>
      <c r="PCI55" s="15"/>
      <c r="PCJ55" s="15"/>
      <c r="PCK55" s="15"/>
      <c r="PCL55" s="15"/>
      <c r="PCM55" s="15"/>
      <c r="PCN55" s="15"/>
      <c r="PCO55" s="15"/>
      <c r="PCP55" s="15"/>
      <c r="PCQ55" s="15"/>
      <c r="PCR55" s="15"/>
      <c r="PCS55" s="15"/>
      <c r="PCT55" s="15"/>
      <c r="PCU55" s="15"/>
      <c r="PCV55" s="15"/>
      <c r="PCW55" s="15"/>
      <c r="PCX55" s="15"/>
      <c r="PCY55" s="15"/>
      <c r="PCZ55" s="15"/>
      <c r="PDA55" s="15"/>
      <c r="PDB55" s="15"/>
      <c r="PDC55" s="15"/>
      <c r="PDD55" s="15"/>
      <c r="PDE55" s="15"/>
      <c r="PDF55" s="15"/>
      <c r="PDG55" s="15"/>
      <c r="PDH55" s="15"/>
      <c r="PDI55" s="15"/>
      <c r="PDJ55" s="15"/>
      <c r="PDK55" s="15"/>
      <c r="PDL55" s="15"/>
      <c r="PDM55" s="15"/>
      <c r="PDN55" s="15"/>
      <c r="PDO55" s="15"/>
      <c r="PDP55" s="15"/>
      <c r="PDQ55" s="15"/>
      <c r="PDR55" s="15"/>
      <c r="PDS55" s="15"/>
      <c r="PDT55" s="15"/>
      <c r="PDU55" s="15"/>
      <c r="PDV55" s="15"/>
      <c r="PDW55" s="15"/>
      <c r="PDX55" s="15"/>
      <c r="PDY55" s="15"/>
      <c r="PDZ55" s="15"/>
      <c r="PEA55" s="15"/>
      <c r="PEB55" s="15"/>
      <c r="PEC55" s="15"/>
      <c r="PED55" s="15"/>
      <c r="PEE55" s="15"/>
      <c r="PEF55" s="15"/>
      <c r="PEG55" s="15"/>
      <c r="PEH55" s="15"/>
      <c r="PEI55" s="15"/>
      <c r="PEJ55" s="15"/>
      <c r="PEK55" s="15"/>
      <c r="PEL55" s="15"/>
      <c r="PEM55" s="15"/>
      <c r="PEN55" s="15"/>
      <c r="PEO55" s="15"/>
      <c r="PEP55" s="15"/>
      <c r="PEQ55" s="15"/>
      <c r="PER55" s="15"/>
      <c r="PES55" s="15"/>
      <c r="PET55" s="15"/>
      <c r="PEU55" s="15"/>
      <c r="PEV55" s="15"/>
      <c r="PEW55" s="15"/>
      <c r="PEX55" s="15"/>
      <c r="PEY55" s="15"/>
      <c r="PEZ55" s="15"/>
      <c r="PFA55" s="15"/>
      <c r="PFB55" s="15"/>
      <c r="PFC55" s="15"/>
      <c r="PFD55" s="15"/>
      <c r="PFE55" s="15"/>
      <c r="PFF55" s="15"/>
      <c r="PFG55" s="15"/>
      <c r="PFH55" s="15"/>
      <c r="PFI55" s="15"/>
      <c r="PFJ55" s="15"/>
      <c r="PFK55" s="15"/>
      <c r="PFL55" s="15"/>
      <c r="PFM55" s="15"/>
      <c r="PFN55" s="15"/>
      <c r="PFO55" s="15"/>
      <c r="PFP55" s="15"/>
      <c r="PFQ55" s="15"/>
      <c r="PFR55" s="15"/>
      <c r="PFS55" s="15"/>
      <c r="PFT55" s="15"/>
      <c r="PFU55" s="15"/>
      <c r="PFV55" s="15"/>
      <c r="PFW55" s="15"/>
      <c r="PFX55" s="15"/>
      <c r="PFY55" s="15"/>
      <c r="PFZ55" s="15"/>
      <c r="PGA55" s="15"/>
      <c r="PGB55" s="15"/>
      <c r="PGC55" s="15"/>
      <c r="PGD55" s="15"/>
      <c r="PGE55" s="15"/>
      <c r="PGF55" s="15"/>
      <c r="PGG55" s="15"/>
      <c r="PGH55" s="15"/>
      <c r="PGI55" s="15"/>
      <c r="PGJ55" s="15"/>
      <c r="PGK55" s="15"/>
      <c r="PGL55" s="15"/>
      <c r="PGM55" s="15"/>
      <c r="PGN55" s="15"/>
      <c r="PGO55" s="15"/>
      <c r="PGP55" s="15"/>
      <c r="PGQ55" s="15"/>
      <c r="PGR55" s="15"/>
      <c r="PGS55" s="15"/>
      <c r="PGT55" s="15"/>
      <c r="PGU55" s="15"/>
      <c r="PGV55" s="15"/>
      <c r="PGW55" s="15"/>
      <c r="PGX55" s="15"/>
      <c r="PGY55" s="15"/>
      <c r="PGZ55" s="15"/>
      <c r="PHA55" s="15"/>
      <c r="PHB55" s="15"/>
      <c r="PHC55" s="15"/>
      <c r="PHD55" s="15"/>
      <c r="PHE55" s="15"/>
      <c r="PHF55" s="15"/>
      <c r="PHG55" s="15"/>
      <c r="PHH55" s="15"/>
      <c r="PHI55" s="15"/>
      <c r="PHJ55" s="15"/>
      <c r="PHK55" s="15"/>
      <c r="PHL55" s="15"/>
      <c r="PHM55" s="15"/>
      <c r="PHN55" s="15"/>
      <c r="PHO55" s="15"/>
      <c r="PHP55" s="15"/>
      <c r="PHQ55" s="15"/>
      <c r="PHR55" s="15"/>
      <c r="PHS55" s="15"/>
      <c r="PHT55" s="15"/>
      <c r="PHU55" s="15"/>
      <c r="PHV55" s="15"/>
      <c r="PHW55" s="15"/>
      <c r="PHX55" s="15"/>
      <c r="PHY55" s="15"/>
      <c r="PHZ55" s="15"/>
      <c r="PIA55" s="15"/>
      <c r="PIB55" s="15"/>
      <c r="PIC55" s="15"/>
      <c r="PID55" s="15"/>
      <c r="PIE55" s="15"/>
      <c r="PIF55" s="15"/>
      <c r="PIG55" s="15"/>
      <c r="PIH55" s="15"/>
      <c r="PII55" s="15"/>
      <c r="PIJ55" s="15"/>
      <c r="PIK55" s="15"/>
      <c r="PIL55" s="15"/>
      <c r="PIM55" s="15"/>
      <c r="PIN55" s="15"/>
      <c r="PIO55" s="15"/>
      <c r="PIP55" s="15"/>
      <c r="PIQ55" s="15"/>
      <c r="PIR55" s="15"/>
      <c r="PIS55" s="15"/>
      <c r="PIT55" s="15"/>
      <c r="PIU55" s="15"/>
      <c r="PIV55" s="15"/>
      <c r="PIW55" s="15"/>
      <c r="PIX55" s="15"/>
      <c r="PIY55" s="15"/>
      <c r="PIZ55" s="15"/>
      <c r="PJA55" s="15"/>
      <c r="PJB55" s="15"/>
      <c r="PJC55" s="15"/>
      <c r="PJD55" s="15"/>
      <c r="PJE55" s="15"/>
      <c r="PJF55" s="15"/>
      <c r="PJG55" s="15"/>
      <c r="PJH55" s="15"/>
      <c r="PJI55" s="15"/>
      <c r="PJJ55" s="15"/>
      <c r="PJK55" s="15"/>
      <c r="PJL55" s="15"/>
      <c r="PJM55" s="15"/>
      <c r="PJN55" s="15"/>
      <c r="PJO55" s="15"/>
      <c r="PJP55" s="15"/>
      <c r="PJQ55" s="15"/>
      <c r="PJR55" s="15"/>
      <c r="PJS55" s="15"/>
      <c r="PJT55" s="15"/>
      <c r="PJU55" s="15"/>
      <c r="PJV55" s="15"/>
      <c r="PJW55" s="15"/>
      <c r="PJX55" s="15"/>
      <c r="PJY55" s="15"/>
      <c r="PJZ55" s="15"/>
      <c r="PKA55" s="15"/>
      <c r="PKB55" s="15"/>
      <c r="PKC55" s="15"/>
      <c r="PKD55" s="15"/>
      <c r="PKE55" s="15"/>
      <c r="PKF55" s="15"/>
      <c r="PKG55" s="15"/>
      <c r="PKH55" s="15"/>
      <c r="PKI55" s="15"/>
      <c r="PKJ55" s="15"/>
      <c r="PKK55" s="15"/>
      <c r="PKL55" s="15"/>
      <c r="PKM55" s="15"/>
      <c r="PKN55" s="15"/>
      <c r="PKO55" s="15"/>
      <c r="PKP55" s="15"/>
      <c r="PKQ55" s="15"/>
      <c r="PKR55" s="15"/>
      <c r="PKS55" s="15"/>
      <c r="PKT55" s="15"/>
      <c r="PKU55" s="15"/>
      <c r="PKV55" s="15"/>
      <c r="PKW55" s="15"/>
      <c r="PKX55" s="15"/>
      <c r="PKY55" s="15"/>
      <c r="PKZ55" s="15"/>
      <c r="PLA55" s="15"/>
      <c r="PLB55" s="15"/>
      <c r="PLC55" s="15"/>
      <c r="PLD55" s="15"/>
      <c r="PLE55" s="15"/>
      <c r="PLF55" s="15"/>
      <c r="PLG55" s="15"/>
      <c r="PLH55" s="15"/>
      <c r="PLI55" s="15"/>
      <c r="PLJ55" s="15"/>
      <c r="PLK55" s="15"/>
      <c r="PLL55" s="15"/>
      <c r="PLM55" s="15"/>
      <c r="PLN55" s="15"/>
      <c r="PLO55" s="15"/>
      <c r="PLP55" s="15"/>
      <c r="PLQ55" s="15"/>
      <c r="PLR55" s="15"/>
      <c r="PLS55" s="15"/>
      <c r="PLT55" s="15"/>
      <c r="PLU55" s="15"/>
      <c r="PLV55" s="15"/>
      <c r="PLW55" s="15"/>
      <c r="PLX55" s="15"/>
      <c r="PLY55" s="15"/>
      <c r="PLZ55" s="15"/>
      <c r="PMA55" s="15"/>
      <c r="PMB55" s="15"/>
      <c r="PMC55" s="15"/>
      <c r="PMD55" s="15"/>
      <c r="PME55" s="15"/>
      <c r="PMF55" s="15"/>
      <c r="PMG55" s="15"/>
      <c r="PMH55" s="15"/>
      <c r="PMI55" s="15"/>
      <c r="PMJ55" s="15"/>
      <c r="PMK55" s="15"/>
      <c r="PML55" s="15"/>
      <c r="PMM55" s="15"/>
      <c r="PMN55" s="15"/>
      <c r="PMO55" s="15"/>
      <c r="PMP55" s="15"/>
      <c r="PMQ55" s="15"/>
      <c r="PMR55" s="15"/>
      <c r="PMS55" s="15"/>
      <c r="PMT55" s="15"/>
      <c r="PMU55" s="15"/>
      <c r="PMV55" s="15"/>
      <c r="PMW55" s="15"/>
      <c r="PMX55" s="15"/>
      <c r="PMY55" s="15"/>
      <c r="PMZ55" s="15"/>
      <c r="PNA55" s="15"/>
      <c r="PNB55" s="15"/>
      <c r="PNC55" s="15"/>
      <c r="PND55" s="15"/>
      <c r="PNE55" s="15"/>
      <c r="PNF55" s="15"/>
      <c r="PNG55" s="15"/>
      <c r="PNH55" s="15"/>
      <c r="PNI55" s="15"/>
      <c r="PNJ55" s="15"/>
      <c r="PNK55" s="15"/>
      <c r="PNL55" s="15"/>
      <c r="PNM55" s="15"/>
      <c r="PNN55" s="15"/>
      <c r="PNO55" s="15"/>
      <c r="PNP55" s="15"/>
      <c r="PNQ55" s="15"/>
      <c r="PNR55" s="15"/>
      <c r="PNS55" s="15"/>
      <c r="PNT55" s="15"/>
      <c r="PNU55" s="15"/>
      <c r="PNV55" s="15"/>
      <c r="PNW55" s="15"/>
      <c r="PNX55" s="15"/>
      <c r="PNY55" s="15"/>
      <c r="PNZ55" s="15"/>
      <c r="POA55" s="15"/>
      <c r="POB55" s="15"/>
      <c r="POC55" s="15"/>
      <c r="POD55" s="15"/>
      <c r="POE55" s="15"/>
      <c r="POF55" s="15"/>
      <c r="POG55" s="15"/>
      <c r="POH55" s="15"/>
      <c r="POI55" s="15"/>
      <c r="POJ55" s="15"/>
      <c r="POK55" s="15"/>
      <c r="POL55" s="15"/>
      <c r="POM55" s="15"/>
      <c r="PON55" s="15"/>
      <c r="POO55" s="15"/>
      <c r="POP55" s="15"/>
      <c r="POQ55" s="15"/>
      <c r="POR55" s="15"/>
      <c r="POS55" s="15"/>
      <c r="POT55" s="15"/>
      <c r="POU55" s="15"/>
      <c r="POV55" s="15"/>
      <c r="POW55" s="15"/>
      <c r="POX55" s="15"/>
      <c r="POY55" s="15"/>
      <c r="POZ55" s="15"/>
      <c r="PPA55" s="15"/>
      <c r="PPB55" s="15"/>
      <c r="PPC55" s="15"/>
      <c r="PPD55" s="15"/>
      <c r="PPE55" s="15"/>
      <c r="PPF55" s="15"/>
      <c r="PPG55" s="15"/>
      <c r="PPH55" s="15"/>
      <c r="PPI55" s="15"/>
      <c r="PPJ55" s="15"/>
      <c r="PPK55" s="15"/>
      <c r="PPL55" s="15"/>
      <c r="PPM55" s="15"/>
      <c r="PPN55" s="15"/>
      <c r="PPO55" s="15"/>
      <c r="PPP55" s="15"/>
      <c r="PPQ55" s="15"/>
      <c r="PPR55" s="15"/>
      <c r="PPS55" s="15"/>
      <c r="PPT55" s="15"/>
      <c r="PPU55" s="15"/>
      <c r="PPV55" s="15"/>
      <c r="PPW55" s="15"/>
      <c r="PPX55" s="15"/>
      <c r="PPY55" s="15"/>
      <c r="PPZ55" s="15"/>
      <c r="PQA55" s="15"/>
      <c r="PQB55" s="15"/>
      <c r="PQC55" s="15"/>
      <c r="PQD55" s="15"/>
      <c r="PQE55" s="15"/>
      <c r="PQF55" s="15"/>
      <c r="PQG55" s="15"/>
      <c r="PQH55" s="15"/>
      <c r="PQI55" s="15"/>
      <c r="PQJ55" s="15"/>
      <c r="PQK55" s="15"/>
      <c r="PQL55" s="15"/>
      <c r="PQM55" s="15"/>
      <c r="PQN55" s="15"/>
      <c r="PQO55" s="15"/>
      <c r="PQP55" s="15"/>
      <c r="PQQ55" s="15"/>
      <c r="PQR55" s="15"/>
      <c r="PQS55" s="15"/>
      <c r="PQT55" s="15"/>
      <c r="PQU55" s="15"/>
      <c r="PQV55" s="15"/>
      <c r="PQW55" s="15"/>
      <c r="PQX55" s="15"/>
      <c r="PQY55" s="15"/>
      <c r="PQZ55" s="15"/>
      <c r="PRA55" s="15"/>
      <c r="PRB55" s="15"/>
      <c r="PRC55" s="15"/>
      <c r="PRD55" s="15"/>
      <c r="PRE55" s="15"/>
      <c r="PRF55" s="15"/>
      <c r="PRG55" s="15"/>
      <c r="PRH55" s="15"/>
      <c r="PRI55" s="15"/>
      <c r="PRJ55" s="15"/>
      <c r="PRK55" s="15"/>
      <c r="PRL55" s="15"/>
      <c r="PRM55" s="15"/>
      <c r="PRN55" s="15"/>
      <c r="PRO55" s="15"/>
      <c r="PRP55" s="15"/>
      <c r="PRQ55" s="15"/>
      <c r="PRR55" s="15"/>
      <c r="PRS55" s="15"/>
      <c r="PRT55" s="15"/>
      <c r="PRU55" s="15"/>
      <c r="PRV55" s="15"/>
      <c r="PRW55" s="15"/>
      <c r="PRX55" s="15"/>
      <c r="PRY55" s="15"/>
      <c r="PRZ55" s="15"/>
      <c r="PSA55" s="15"/>
      <c r="PSB55" s="15"/>
      <c r="PSC55" s="15"/>
      <c r="PSD55" s="15"/>
      <c r="PSE55" s="15"/>
      <c r="PSF55" s="15"/>
      <c r="PSG55" s="15"/>
      <c r="PSH55" s="15"/>
      <c r="PSI55" s="15"/>
      <c r="PSJ55" s="15"/>
      <c r="PSK55" s="15"/>
      <c r="PSL55" s="15"/>
      <c r="PSM55" s="15"/>
      <c r="PSN55" s="15"/>
      <c r="PSO55" s="15"/>
      <c r="PSP55" s="15"/>
      <c r="PSQ55" s="15"/>
      <c r="PSR55" s="15"/>
      <c r="PSS55" s="15"/>
      <c r="PST55" s="15"/>
      <c r="PSU55" s="15"/>
      <c r="PSV55" s="15"/>
      <c r="PSW55" s="15"/>
      <c r="PSX55" s="15"/>
      <c r="PSY55" s="15"/>
      <c r="PSZ55" s="15"/>
      <c r="PTA55" s="15"/>
      <c r="PTB55" s="15"/>
      <c r="PTC55" s="15"/>
      <c r="PTD55" s="15"/>
      <c r="PTE55" s="15"/>
      <c r="PTF55" s="15"/>
      <c r="PTG55" s="15"/>
      <c r="PTH55" s="15"/>
      <c r="PTI55" s="15"/>
      <c r="PTJ55" s="15"/>
      <c r="PTK55" s="15"/>
      <c r="PTL55" s="15"/>
      <c r="PTM55" s="15"/>
      <c r="PTN55" s="15"/>
      <c r="PTO55" s="15"/>
      <c r="PTP55" s="15"/>
      <c r="PTQ55" s="15"/>
      <c r="PTR55" s="15"/>
      <c r="PTS55" s="15"/>
      <c r="PTT55" s="15"/>
      <c r="PTU55" s="15"/>
      <c r="PTV55" s="15"/>
      <c r="PTW55" s="15"/>
      <c r="PTX55" s="15"/>
      <c r="PTY55" s="15"/>
      <c r="PTZ55" s="15"/>
      <c r="PUA55" s="15"/>
      <c r="PUB55" s="15"/>
      <c r="PUC55" s="15"/>
      <c r="PUD55" s="15"/>
      <c r="PUE55" s="15"/>
      <c r="PUF55" s="15"/>
      <c r="PUG55" s="15"/>
      <c r="PUH55" s="15"/>
      <c r="PUI55" s="15"/>
      <c r="PUJ55" s="15"/>
      <c r="PUK55" s="15"/>
      <c r="PUL55" s="15"/>
      <c r="PUM55" s="15"/>
      <c r="PUN55" s="15"/>
      <c r="PUO55" s="15"/>
      <c r="PUP55" s="15"/>
      <c r="PUQ55" s="15"/>
      <c r="PUR55" s="15"/>
      <c r="PUS55" s="15"/>
      <c r="PUT55" s="15"/>
      <c r="PUU55" s="15"/>
      <c r="PUV55" s="15"/>
      <c r="PUW55" s="15"/>
      <c r="PUX55" s="15"/>
      <c r="PUY55" s="15"/>
      <c r="PUZ55" s="15"/>
      <c r="PVA55" s="15"/>
      <c r="PVB55" s="15"/>
      <c r="PVC55" s="15"/>
      <c r="PVD55" s="15"/>
      <c r="PVE55" s="15"/>
      <c r="PVF55" s="15"/>
      <c r="PVG55" s="15"/>
      <c r="PVH55" s="15"/>
      <c r="PVI55" s="15"/>
      <c r="PVJ55" s="15"/>
      <c r="PVK55" s="15"/>
      <c r="PVL55" s="15"/>
      <c r="PVM55" s="15"/>
      <c r="PVN55" s="15"/>
      <c r="PVO55" s="15"/>
      <c r="PVP55" s="15"/>
      <c r="PVQ55" s="15"/>
      <c r="PVR55" s="15"/>
      <c r="PVS55" s="15"/>
      <c r="PVT55" s="15"/>
      <c r="PVU55" s="15"/>
      <c r="PVV55" s="15"/>
      <c r="PVW55" s="15"/>
      <c r="PVX55" s="15"/>
      <c r="PVY55" s="15"/>
      <c r="PVZ55" s="15"/>
      <c r="PWA55" s="15"/>
      <c r="PWB55" s="15"/>
      <c r="PWC55" s="15"/>
      <c r="PWD55" s="15"/>
      <c r="PWE55" s="15"/>
      <c r="PWF55" s="15"/>
      <c r="PWG55" s="15"/>
      <c r="PWH55" s="15"/>
      <c r="PWI55" s="15"/>
      <c r="PWJ55" s="15"/>
      <c r="PWK55" s="15"/>
      <c r="PWL55" s="15"/>
      <c r="PWM55" s="15"/>
      <c r="PWN55" s="15"/>
      <c r="PWO55" s="15"/>
      <c r="PWP55" s="15"/>
      <c r="PWQ55" s="15"/>
      <c r="PWR55" s="15"/>
      <c r="PWS55" s="15"/>
      <c r="PWT55" s="15"/>
      <c r="PWU55" s="15"/>
      <c r="PWV55" s="15"/>
      <c r="PWW55" s="15"/>
      <c r="PWX55" s="15"/>
      <c r="PWY55" s="15"/>
      <c r="PWZ55" s="15"/>
      <c r="PXA55" s="15"/>
      <c r="PXB55" s="15"/>
      <c r="PXC55" s="15"/>
      <c r="PXD55" s="15"/>
      <c r="PXE55" s="15"/>
      <c r="PXF55" s="15"/>
      <c r="PXG55" s="15"/>
      <c r="PXH55" s="15"/>
      <c r="PXI55" s="15"/>
      <c r="PXJ55" s="15"/>
      <c r="PXK55" s="15"/>
      <c r="PXL55" s="15"/>
      <c r="PXM55" s="15"/>
      <c r="PXN55" s="15"/>
      <c r="PXO55" s="15"/>
      <c r="PXP55" s="15"/>
      <c r="PXQ55" s="15"/>
      <c r="PXR55" s="15"/>
      <c r="PXS55" s="15"/>
      <c r="PXT55" s="15"/>
      <c r="PXU55" s="15"/>
      <c r="PXV55" s="15"/>
      <c r="PXW55" s="15"/>
      <c r="PXX55" s="15"/>
      <c r="PXY55" s="15"/>
      <c r="PXZ55" s="15"/>
      <c r="PYA55" s="15"/>
      <c r="PYB55" s="15"/>
      <c r="PYC55" s="15"/>
      <c r="PYD55" s="15"/>
      <c r="PYE55" s="15"/>
      <c r="PYF55" s="15"/>
      <c r="PYG55" s="15"/>
      <c r="PYH55" s="15"/>
      <c r="PYI55" s="15"/>
      <c r="PYJ55" s="15"/>
      <c r="PYK55" s="15"/>
      <c r="PYL55" s="15"/>
      <c r="PYM55" s="15"/>
      <c r="PYN55" s="15"/>
      <c r="PYO55" s="15"/>
      <c r="PYP55" s="15"/>
      <c r="PYQ55" s="15"/>
      <c r="PYR55" s="15"/>
      <c r="PYS55" s="15"/>
      <c r="PYT55" s="15"/>
      <c r="PYU55" s="15"/>
      <c r="PYV55" s="15"/>
      <c r="PYW55" s="15"/>
      <c r="PYX55" s="15"/>
      <c r="PYY55" s="15"/>
      <c r="PYZ55" s="15"/>
      <c r="PZA55" s="15"/>
      <c r="PZB55" s="15"/>
      <c r="PZC55" s="15"/>
      <c r="PZD55" s="15"/>
      <c r="PZE55" s="15"/>
      <c r="PZF55" s="15"/>
      <c r="PZG55" s="15"/>
      <c r="PZH55" s="15"/>
      <c r="PZI55" s="15"/>
      <c r="PZJ55" s="15"/>
      <c r="PZK55" s="15"/>
      <c r="PZL55" s="15"/>
      <c r="PZM55" s="15"/>
      <c r="PZN55" s="15"/>
      <c r="PZO55" s="15"/>
      <c r="PZP55" s="15"/>
      <c r="PZQ55" s="15"/>
      <c r="PZR55" s="15"/>
      <c r="PZS55" s="15"/>
      <c r="PZT55" s="15"/>
      <c r="PZU55" s="15"/>
      <c r="PZV55" s="15"/>
      <c r="PZW55" s="15"/>
      <c r="PZX55" s="15"/>
      <c r="PZY55" s="15"/>
      <c r="PZZ55" s="15"/>
      <c r="QAA55" s="15"/>
      <c r="QAB55" s="15"/>
      <c r="QAC55" s="15"/>
      <c r="QAD55" s="15"/>
      <c r="QAE55" s="15"/>
      <c r="QAF55" s="15"/>
      <c r="QAG55" s="15"/>
      <c r="QAH55" s="15"/>
      <c r="QAI55" s="15"/>
      <c r="QAJ55" s="15"/>
      <c r="QAK55" s="15"/>
      <c r="QAL55" s="15"/>
      <c r="QAM55" s="15"/>
      <c r="QAN55" s="15"/>
      <c r="QAO55" s="15"/>
      <c r="QAP55" s="15"/>
      <c r="QAQ55" s="15"/>
      <c r="QAR55" s="15"/>
      <c r="QAS55" s="15"/>
      <c r="QAT55" s="15"/>
      <c r="QAU55" s="15"/>
      <c r="QAV55" s="15"/>
      <c r="QAW55" s="15"/>
      <c r="QAX55" s="15"/>
      <c r="QAY55" s="15"/>
      <c r="QAZ55" s="15"/>
      <c r="QBA55" s="15"/>
      <c r="QBB55" s="15"/>
      <c r="QBC55" s="15"/>
      <c r="QBD55" s="15"/>
      <c r="QBE55" s="15"/>
      <c r="QBF55" s="15"/>
      <c r="QBG55" s="15"/>
      <c r="QBH55" s="15"/>
      <c r="QBI55" s="15"/>
      <c r="QBJ55" s="15"/>
      <c r="QBK55" s="15"/>
      <c r="QBL55" s="15"/>
      <c r="QBM55" s="15"/>
      <c r="QBN55" s="15"/>
      <c r="QBO55" s="15"/>
      <c r="QBP55" s="15"/>
      <c r="QBQ55" s="15"/>
      <c r="QBR55" s="15"/>
      <c r="QBS55" s="15"/>
      <c r="QBT55" s="15"/>
      <c r="QBU55" s="15"/>
      <c r="QBV55" s="15"/>
      <c r="QBW55" s="15"/>
      <c r="QBX55" s="15"/>
      <c r="QBY55" s="15"/>
      <c r="QBZ55" s="15"/>
      <c r="QCA55" s="15"/>
      <c r="QCB55" s="15"/>
      <c r="QCC55" s="15"/>
      <c r="QCD55" s="15"/>
      <c r="QCE55" s="15"/>
      <c r="QCF55" s="15"/>
      <c r="QCG55" s="15"/>
      <c r="QCH55" s="15"/>
      <c r="QCI55" s="15"/>
      <c r="QCJ55" s="15"/>
      <c r="QCK55" s="15"/>
      <c r="QCL55" s="15"/>
      <c r="QCM55" s="15"/>
      <c r="QCN55" s="15"/>
      <c r="QCO55" s="15"/>
      <c r="QCP55" s="15"/>
      <c r="QCQ55" s="15"/>
      <c r="QCR55" s="15"/>
      <c r="QCS55" s="15"/>
      <c r="QCT55" s="15"/>
      <c r="QCU55" s="15"/>
      <c r="QCV55" s="15"/>
      <c r="QCW55" s="15"/>
      <c r="QCX55" s="15"/>
      <c r="QCY55" s="15"/>
      <c r="QCZ55" s="15"/>
      <c r="QDA55" s="15"/>
      <c r="QDB55" s="15"/>
      <c r="QDC55" s="15"/>
      <c r="QDD55" s="15"/>
      <c r="QDE55" s="15"/>
      <c r="QDF55" s="15"/>
      <c r="QDG55" s="15"/>
      <c r="QDH55" s="15"/>
      <c r="QDI55" s="15"/>
      <c r="QDJ55" s="15"/>
      <c r="QDK55" s="15"/>
      <c r="QDL55" s="15"/>
      <c r="QDM55" s="15"/>
      <c r="QDN55" s="15"/>
      <c r="QDO55" s="15"/>
      <c r="QDP55" s="15"/>
      <c r="QDQ55" s="15"/>
      <c r="QDR55" s="15"/>
      <c r="QDS55" s="15"/>
      <c r="QDT55" s="15"/>
      <c r="QDU55" s="15"/>
      <c r="QDV55" s="15"/>
      <c r="QDW55" s="15"/>
      <c r="QDX55" s="15"/>
      <c r="QDY55" s="15"/>
      <c r="QDZ55" s="15"/>
      <c r="QEA55" s="15"/>
      <c r="QEB55" s="15"/>
      <c r="QEC55" s="15"/>
      <c r="QED55" s="15"/>
      <c r="QEE55" s="15"/>
      <c r="QEF55" s="15"/>
      <c r="QEG55" s="15"/>
      <c r="QEH55" s="15"/>
      <c r="QEI55" s="15"/>
      <c r="QEJ55" s="15"/>
      <c r="QEK55" s="15"/>
      <c r="QEL55" s="15"/>
      <c r="QEM55" s="15"/>
      <c r="QEN55" s="15"/>
      <c r="QEO55" s="15"/>
      <c r="QEP55" s="15"/>
      <c r="QEQ55" s="15"/>
      <c r="QER55" s="15"/>
      <c r="QES55" s="15"/>
      <c r="QET55" s="15"/>
      <c r="QEU55" s="15"/>
      <c r="QEV55" s="15"/>
      <c r="QEW55" s="15"/>
      <c r="QEX55" s="15"/>
      <c r="QEY55" s="15"/>
      <c r="QEZ55" s="15"/>
      <c r="QFA55" s="15"/>
      <c r="QFB55" s="15"/>
      <c r="QFC55" s="15"/>
      <c r="QFD55" s="15"/>
      <c r="QFE55" s="15"/>
      <c r="QFF55" s="15"/>
      <c r="QFG55" s="15"/>
      <c r="QFH55" s="15"/>
      <c r="QFI55" s="15"/>
      <c r="QFJ55" s="15"/>
      <c r="QFK55" s="15"/>
      <c r="QFL55" s="15"/>
      <c r="QFM55" s="15"/>
      <c r="QFN55" s="15"/>
      <c r="QFO55" s="15"/>
      <c r="QFP55" s="15"/>
      <c r="QFQ55" s="15"/>
      <c r="QFR55" s="15"/>
      <c r="QFS55" s="15"/>
      <c r="QFT55" s="15"/>
      <c r="QFU55" s="15"/>
      <c r="QFV55" s="15"/>
      <c r="QFW55" s="15"/>
      <c r="QFX55" s="15"/>
      <c r="QFY55" s="15"/>
      <c r="QFZ55" s="15"/>
      <c r="QGA55" s="15"/>
      <c r="QGB55" s="15"/>
      <c r="QGC55" s="15"/>
      <c r="QGD55" s="15"/>
      <c r="QGE55" s="15"/>
      <c r="QGF55" s="15"/>
      <c r="QGG55" s="15"/>
      <c r="QGH55" s="15"/>
      <c r="QGI55" s="15"/>
      <c r="QGJ55" s="15"/>
      <c r="QGK55" s="15"/>
      <c r="QGL55" s="15"/>
      <c r="QGM55" s="15"/>
      <c r="QGN55" s="15"/>
      <c r="QGO55" s="15"/>
      <c r="QGP55" s="15"/>
      <c r="QGQ55" s="15"/>
      <c r="QGR55" s="15"/>
      <c r="QGS55" s="15"/>
      <c r="QGT55" s="15"/>
      <c r="QGU55" s="15"/>
      <c r="QGV55" s="15"/>
      <c r="QGW55" s="15"/>
      <c r="QGX55" s="15"/>
      <c r="QGY55" s="15"/>
      <c r="QGZ55" s="15"/>
      <c r="QHA55" s="15"/>
      <c r="QHB55" s="15"/>
      <c r="QHC55" s="15"/>
      <c r="QHD55" s="15"/>
      <c r="QHE55" s="15"/>
      <c r="QHF55" s="15"/>
      <c r="QHG55" s="15"/>
      <c r="QHH55" s="15"/>
      <c r="QHI55" s="15"/>
      <c r="QHJ55" s="15"/>
      <c r="QHK55" s="15"/>
      <c r="QHL55" s="15"/>
      <c r="QHM55" s="15"/>
      <c r="QHN55" s="15"/>
      <c r="QHO55" s="15"/>
      <c r="QHP55" s="15"/>
      <c r="QHQ55" s="15"/>
      <c r="QHR55" s="15"/>
      <c r="QHS55" s="15"/>
      <c r="QHT55" s="15"/>
      <c r="QHU55" s="15"/>
      <c r="QHV55" s="15"/>
      <c r="QHW55" s="15"/>
      <c r="QHX55" s="15"/>
      <c r="QHY55" s="15"/>
      <c r="QHZ55" s="15"/>
      <c r="QIA55" s="15"/>
      <c r="QIB55" s="15"/>
      <c r="QIC55" s="15"/>
      <c r="QID55" s="15"/>
      <c r="QIE55" s="15"/>
      <c r="QIF55" s="15"/>
      <c r="QIG55" s="15"/>
      <c r="QIH55" s="15"/>
      <c r="QII55" s="15"/>
      <c r="QIJ55" s="15"/>
      <c r="QIK55" s="15"/>
      <c r="QIL55" s="15"/>
      <c r="QIM55" s="15"/>
      <c r="QIN55" s="15"/>
      <c r="QIO55" s="15"/>
      <c r="QIP55" s="15"/>
      <c r="QIQ55" s="15"/>
      <c r="QIR55" s="15"/>
      <c r="QIS55" s="15"/>
      <c r="QIT55" s="15"/>
      <c r="QIU55" s="15"/>
      <c r="QIV55" s="15"/>
      <c r="QIW55" s="15"/>
      <c r="QIX55" s="15"/>
      <c r="QIY55" s="15"/>
      <c r="QIZ55" s="15"/>
      <c r="QJA55" s="15"/>
      <c r="QJB55" s="15"/>
      <c r="QJC55" s="15"/>
      <c r="QJD55" s="15"/>
      <c r="QJE55" s="15"/>
      <c r="QJF55" s="15"/>
      <c r="QJG55" s="15"/>
      <c r="QJH55" s="15"/>
      <c r="QJI55" s="15"/>
      <c r="QJJ55" s="15"/>
      <c r="QJK55" s="15"/>
      <c r="QJL55" s="15"/>
      <c r="QJM55" s="15"/>
      <c r="QJN55" s="15"/>
      <c r="QJO55" s="15"/>
      <c r="QJP55" s="15"/>
      <c r="QJQ55" s="15"/>
      <c r="QJR55" s="15"/>
      <c r="QJS55" s="15"/>
      <c r="QJT55" s="15"/>
      <c r="QJU55" s="15"/>
      <c r="QJV55" s="15"/>
      <c r="QJW55" s="15"/>
      <c r="QJX55" s="15"/>
      <c r="QJY55" s="15"/>
      <c r="QJZ55" s="15"/>
      <c r="QKA55" s="15"/>
      <c r="QKB55" s="15"/>
      <c r="QKC55" s="15"/>
      <c r="QKD55" s="15"/>
      <c r="QKE55" s="15"/>
      <c r="QKF55" s="15"/>
      <c r="QKG55" s="15"/>
      <c r="QKH55" s="15"/>
      <c r="QKI55" s="15"/>
      <c r="QKJ55" s="15"/>
      <c r="QKK55" s="15"/>
      <c r="QKL55" s="15"/>
      <c r="QKM55" s="15"/>
      <c r="QKN55" s="15"/>
      <c r="QKO55" s="15"/>
      <c r="QKP55" s="15"/>
      <c r="QKQ55" s="15"/>
      <c r="QKR55" s="15"/>
      <c r="QKS55" s="15"/>
      <c r="QKT55" s="15"/>
      <c r="QKU55" s="15"/>
      <c r="QKV55" s="15"/>
      <c r="QKW55" s="15"/>
      <c r="QKX55" s="15"/>
      <c r="QKY55" s="15"/>
      <c r="QKZ55" s="15"/>
      <c r="QLA55" s="15"/>
      <c r="QLB55" s="15"/>
      <c r="QLC55" s="15"/>
      <c r="QLD55" s="15"/>
      <c r="QLE55" s="15"/>
      <c r="QLF55" s="15"/>
      <c r="QLG55" s="15"/>
      <c r="QLH55" s="15"/>
      <c r="QLI55" s="15"/>
      <c r="QLJ55" s="15"/>
      <c r="QLK55" s="15"/>
      <c r="QLL55" s="15"/>
      <c r="QLM55" s="15"/>
      <c r="QLN55" s="15"/>
      <c r="QLO55" s="15"/>
      <c r="QLP55" s="15"/>
      <c r="QLQ55" s="15"/>
      <c r="QLR55" s="15"/>
      <c r="QLS55" s="15"/>
      <c r="QLT55" s="15"/>
      <c r="QLU55" s="15"/>
      <c r="QLV55" s="15"/>
      <c r="QLW55" s="15"/>
      <c r="QLX55" s="15"/>
      <c r="QLY55" s="15"/>
      <c r="QLZ55" s="15"/>
      <c r="QMA55" s="15"/>
      <c r="QMB55" s="15"/>
      <c r="QMC55" s="15"/>
      <c r="QMD55" s="15"/>
      <c r="QME55" s="15"/>
      <c r="QMF55" s="15"/>
      <c r="QMG55" s="15"/>
      <c r="QMH55" s="15"/>
      <c r="QMI55" s="15"/>
      <c r="QMJ55" s="15"/>
      <c r="QMK55" s="15"/>
      <c r="QML55" s="15"/>
      <c r="QMM55" s="15"/>
      <c r="QMN55" s="15"/>
      <c r="QMO55" s="15"/>
      <c r="QMP55" s="15"/>
      <c r="QMQ55" s="15"/>
      <c r="QMR55" s="15"/>
      <c r="QMS55" s="15"/>
      <c r="QMT55" s="15"/>
      <c r="QMU55" s="15"/>
      <c r="QMV55" s="15"/>
      <c r="QMW55" s="15"/>
      <c r="QMX55" s="15"/>
      <c r="QMY55" s="15"/>
      <c r="QMZ55" s="15"/>
      <c r="QNA55" s="15"/>
      <c r="QNB55" s="15"/>
      <c r="QNC55" s="15"/>
      <c r="QND55" s="15"/>
      <c r="QNE55" s="15"/>
      <c r="QNF55" s="15"/>
      <c r="QNG55" s="15"/>
      <c r="QNH55" s="15"/>
      <c r="QNI55" s="15"/>
      <c r="QNJ55" s="15"/>
      <c r="QNK55" s="15"/>
      <c r="QNL55" s="15"/>
      <c r="QNM55" s="15"/>
      <c r="QNN55" s="15"/>
      <c r="QNO55" s="15"/>
      <c r="QNP55" s="15"/>
      <c r="QNQ55" s="15"/>
      <c r="QNR55" s="15"/>
      <c r="QNS55" s="15"/>
      <c r="QNT55" s="15"/>
      <c r="QNU55" s="15"/>
      <c r="QNV55" s="15"/>
      <c r="QNW55" s="15"/>
      <c r="QNX55" s="15"/>
      <c r="QNY55" s="15"/>
      <c r="QNZ55" s="15"/>
      <c r="QOA55" s="15"/>
      <c r="QOB55" s="15"/>
      <c r="QOC55" s="15"/>
      <c r="QOD55" s="15"/>
      <c r="QOE55" s="15"/>
      <c r="QOF55" s="15"/>
      <c r="QOG55" s="15"/>
      <c r="QOH55" s="15"/>
      <c r="QOI55" s="15"/>
      <c r="QOJ55" s="15"/>
      <c r="QOK55" s="15"/>
      <c r="QOL55" s="15"/>
      <c r="QOM55" s="15"/>
      <c r="QON55" s="15"/>
      <c r="QOO55" s="15"/>
      <c r="QOP55" s="15"/>
      <c r="QOQ55" s="15"/>
      <c r="QOR55" s="15"/>
      <c r="QOS55" s="15"/>
      <c r="QOT55" s="15"/>
      <c r="QOU55" s="15"/>
      <c r="QOV55" s="15"/>
      <c r="QOW55" s="15"/>
      <c r="QOX55" s="15"/>
      <c r="QOY55" s="15"/>
      <c r="QOZ55" s="15"/>
      <c r="QPA55" s="15"/>
      <c r="QPB55" s="15"/>
      <c r="QPC55" s="15"/>
      <c r="QPD55" s="15"/>
      <c r="QPE55" s="15"/>
      <c r="QPF55" s="15"/>
      <c r="QPG55" s="15"/>
      <c r="QPH55" s="15"/>
      <c r="QPI55" s="15"/>
      <c r="QPJ55" s="15"/>
      <c r="QPK55" s="15"/>
      <c r="QPL55" s="15"/>
      <c r="QPM55" s="15"/>
      <c r="QPN55" s="15"/>
      <c r="QPO55" s="15"/>
      <c r="QPP55" s="15"/>
      <c r="QPQ55" s="15"/>
      <c r="QPR55" s="15"/>
      <c r="QPS55" s="15"/>
      <c r="QPT55" s="15"/>
      <c r="QPU55" s="15"/>
      <c r="QPV55" s="15"/>
      <c r="QPW55" s="15"/>
      <c r="QPX55" s="15"/>
      <c r="QPY55" s="15"/>
      <c r="QPZ55" s="15"/>
      <c r="QQA55" s="15"/>
      <c r="QQB55" s="15"/>
      <c r="QQC55" s="15"/>
      <c r="QQD55" s="15"/>
      <c r="QQE55" s="15"/>
      <c r="QQF55" s="15"/>
      <c r="QQG55" s="15"/>
      <c r="QQH55" s="15"/>
      <c r="QQI55" s="15"/>
      <c r="QQJ55" s="15"/>
      <c r="QQK55" s="15"/>
      <c r="QQL55" s="15"/>
      <c r="QQM55" s="15"/>
      <c r="QQN55" s="15"/>
      <c r="QQO55" s="15"/>
      <c r="QQP55" s="15"/>
      <c r="QQQ55" s="15"/>
      <c r="QQR55" s="15"/>
      <c r="QQS55" s="15"/>
      <c r="QQT55" s="15"/>
      <c r="QQU55" s="15"/>
      <c r="QQV55" s="15"/>
      <c r="QQW55" s="15"/>
      <c r="QQX55" s="15"/>
      <c r="QQY55" s="15"/>
      <c r="QQZ55" s="15"/>
      <c r="QRA55" s="15"/>
      <c r="QRB55" s="15"/>
      <c r="QRC55" s="15"/>
      <c r="QRD55" s="15"/>
      <c r="QRE55" s="15"/>
      <c r="QRF55" s="15"/>
      <c r="QRG55" s="15"/>
      <c r="QRH55" s="15"/>
      <c r="QRI55" s="15"/>
      <c r="QRJ55" s="15"/>
      <c r="QRK55" s="15"/>
      <c r="QRL55" s="15"/>
      <c r="QRM55" s="15"/>
      <c r="QRN55" s="15"/>
      <c r="QRO55" s="15"/>
      <c r="QRP55" s="15"/>
      <c r="QRQ55" s="15"/>
      <c r="QRR55" s="15"/>
      <c r="QRS55" s="15"/>
      <c r="QRT55" s="15"/>
      <c r="QRU55" s="15"/>
      <c r="QRV55" s="15"/>
      <c r="QRW55" s="15"/>
      <c r="QRX55" s="15"/>
      <c r="QRY55" s="15"/>
      <c r="QRZ55" s="15"/>
      <c r="QSA55" s="15"/>
      <c r="QSB55" s="15"/>
      <c r="QSC55" s="15"/>
      <c r="QSD55" s="15"/>
      <c r="QSE55" s="15"/>
      <c r="QSF55" s="15"/>
      <c r="QSG55" s="15"/>
      <c r="QSH55" s="15"/>
      <c r="QSI55" s="15"/>
      <c r="QSJ55" s="15"/>
      <c r="QSK55" s="15"/>
      <c r="QSL55" s="15"/>
      <c r="QSM55" s="15"/>
      <c r="QSN55" s="15"/>
      <c r="QSO55" s="15"/>
      <c r="QSP55" s="15"/>
      <c r="QSQ55" s="15"/>
      <c r="QSR55" s="15"/>
      <c r="QSS55" s="15"/>
      <c r="QST55" s="15"/>
      <c r="QSU55" s="15"/>
      <c r="QSV55" s="15"/>
      <c r="QSW55" s="15"/>
      <c r="QSX55" s="15"/>
      <c r="QSY55" s="15"/>
      <c r="QSZ55" s="15"/>
      <c r="QTA55" s="15"/>
      <c r="QTB55" s="15"/>
      <c r="QTC55" s="15"/>
      <c r="QTD55" s="15"/>
      <c r="QTE55" s="15"/>
      <c r="QTF55" s="15"/>
      <c r="QTG55" s="15"/>
      <c r="QTH55" s="15"/>
      <c r="QTI55" s="15"/>
      <c r="QTJ55" s="15"/>
      <c r="QTK55" s="15"/>
      <c r="QTL55" s="15"/>
      <c r="QTM55" s="15"/>
      <c r="QTN55" s="15"/>
      <c r="QTO55" s="15"/>
      <c r="QTP55" s="15"/>
      <c r="QTQ55" s="15"/>
      <c r="QTR55" s="15"/>
      <c r="QTS55" s="15"/>
      <c r="QTT55" s="15"/>
      <c r="QTU55" s="15"/>
      <c r="QTV55" s="15"/>
      <c r="QTW55" s="15"/>
      <c r="QTX55" s="15"/>
      <c r="QTY55" s="15"/>
      <c r="QTZ55" s="15"/>
      <c r="QUA55" s="15"/>
      <c r="QUB55" s="15"/>
      <c r="QUC55" s="15"/>
      <c r="QUD55" s="15"/>
      <c r="QUE55" s="15"/>
      <c r="QUF55" s="15"/>
      <c r="QUG55" s="15"/>
      <c r="QUH55" s="15"/>
      <c r="QUI55" s="15"/>
      <c r="QUJ55" s="15"/>
      <c r="QUK55" s="15"/>
      <c r="QUL55" s="15"/>
      <c r="QUM55" s="15"/>
      <c r="QUN55" s="15"/>
      <c r="QUO55" s="15"/>
      <c r="QUP55" s="15"/>
      <c r="QUQ55" s="15"/>
      <c r="QUR55" s="15"/>
      <c r="QUS55" s="15"/>
      <c r="QUT55" s="15"/>
      <c r="QUU55" s="15"/>
      <c r="QUV55" s="15"/>
      <c r="QUW55" s="15"/>
      <c r="QUX55" s="15"/>
      <c r="QUY55" s="15"/>
      <c r="QUZ55" s="15"/>
      <c r="QVA55" s="15"/>
      <c r="QVB55" s="15"/>
      <c r="QVC55" s="15"/>
      <c r="QVD55" s="15"/>
      <c r="QVE55" s="15"/>
      <c r="QVF55" s="15"/>
      <c r="QVG55" s="15"/>
      <c r="QVH55" s="15"/>
      <c r="QVI55" s="15"/>
      <c r="QVJ55" s="15"/>
      <c r="QVK55" s="15"/>
      <c r="QVL55" s="15"/>
      <c r="QVM55" s="15"/>
      <c r="QVN55" s="15"/>
      <c r="QVO55" s="15"/>
      <c r="QVP55" s="15"/>
      <c r="QVQ55" s="15"/>
      <c r="QVR55" s="15"/>
      <c r="QVS55" s="15"/>
      <c r="QVT55" s="15"/>
      <c r="QVU55" s="15"/>
      <c r="QVV55" s="15"/>
      <c r="QVW55" s="15"/>
      <c r="QVX55" s="15"/>
      <c r="QVY55" s="15"/>
      <c r="QVZ55" s="15"/>
      <c r="QWA55" s="15"/>
      <c r="QWB55" s="15"/>
      <c r="QWC55" s="15"/>
      <c r="QWD55" s="15"/>
      <c r="QWE55" s="15"/>
      <c r="QWF55" s="15"/>
      <c r="QWG55" s="15"/>
      <c r="QWH55" s="15"/>
      <c r="QWI55" s="15"/>
      <c r="QWJ55" s="15"/>
      <c r="QWK55" s="15"/>
      <c r="QWL55" s="15"/>
      <c r="QWM55" s="15"/>
      <c r="QWN55" s="15"/>
      <c r="QWO55" s="15"/>
      <c r="QWP55" s="15"/>
      <c r="QWQ55" s="15"/>
      <c r="QWR55" s="15"/>
      <c r="QWS55" s="15"/>
      <c r="QWT55" s="15"/>
      <c r="QWU55" s="15"/>
      <c r="QWV55" s="15"/>
      <c r="QWW55" s="15"/>
      <c r="QWX55" s="15"/>
      <c r="QWY55" s="15"/>
      <c r="QWZ55" s="15"/>
      <c r="QXA55" s="15"/>
      <c r="QXB55" s="15"/>
      <c r="QXC55" s="15"/>
      <c r="QXD55" s="15"/>
      <c r="QXE55" s="15"/>
      <c r="QXF55" s="15"/>
      <c r="QXG55" s="15"/>
      <c r="QXH55" s="15"/>
      <c r="QXI55" s="15"/>
      <c r="QXJ55" s="15"/>
      <c r="QXK55" s="15"/>
      <c r="QXL55" s="15"/>
      <c r="QXM55" s="15"/>
      <c r="QXN55" s="15"/>
      <c r="QXO55" s="15"/>
      <c r="QXP55" s="15"/>
      <c r="QXQ55" s="15"/>
      <c r="QXR55" s="15"/>
      <c r="QXS55" s="15"/>
      <c r="QXT55" s="15"/>
      <c r="QXU55" s="15"/>
      <c r="QXV55" s="15"/>
      <c r="QXW55" s="15"/>
      <c r="QXX55" s="15"/>
      <c r="QXY55" s="15"/>
      <c r="QXZ55" s="15"/>
      <c r="QYA55" s="15"/>
      <c r="QYB55" s="15"/>
      <c r="QYC55" s="15"/>
      <c r="QYD55" s="15"/>
      <c r="QYE55" s="15"/>
      <c r="QYF55" s="15"/>
      <c r="QYG55" s="15"/>
      <c r="QYH55" s="15"/>
      <c r="QYI55" s="15"/>
      <c r="QYJ55" s="15"/>
      <c r="QYK55" s="15"/>
      <c r="QYL55" s="15"/>
      <c r="QYM55" s="15"/>
      <c r="QYN55" s="15"/>
      <c r="QYO55" s="15"/>
      <c r="QYP55" s="15"/>
      <c r="QYQ55" s="15"/>
      <c r="QYR55" s="15"/>
      <c r="QYS55" s="15"/>
      <c r="QYT55" s="15"/>
      <c r="QYU55" s="15"/>
      <c r="QYV55" s="15"/>
      <c r="QYW55" s="15"/>
      <c r="QYX55" s="15"/>
      <c r="QYY55" s="15"/>
      <c r="QYZ55" s="15"/>
      <c r="QZA55" s="15"/>
      <c r="QZB55" s="15"/>
      <c r="QZC55" s="15"/>
      <c r="QZD55" s="15"/>
      <c r="QZE55" s="15"/>
      <c r="QZF55" s="15"/>
      <c r="QZG55" s="15"/>
      <c r="QZH55" s="15"/>
      <c r="QZI55" s="15"/>
      <c r="QZJ55" s="15"/>
      <c r="QZK55" s="15"/>
      <c r="QZL55" s="15"/>
      <c r="QZM55" s="15"/>
      <c r="QZN55" s="15"/>
      <c r="QZO55" s="15"/>
      <c r="QZP55" s="15"/>
      <c r="QZQ55" s="15"/>
      <c r="QZR55" s="15"/>
      <c r="QZS55" s="15"/>
      <c r="QZT55" s="15"/>
      <c r="QZU55" s="15"/>
      <c r="QZV55" s="15"/>
      <c r="QZW55" s="15"/>
      <c r="QZX55" s="15"/>
      <c r="QZY55" s="15"/>
      <c r="QZZ55" s="15"/>
      <c r="RAA55" s="15"/>
      <c r="RAB55" s="15"/>
      <c r="RAC55" s="15"/>
      <c r="RAD55" s="15"/>
      <c r="RAE55" s="15"/>
      <c r="RAF55" s="15"/>
      <c r="RAG55" s="15"/>
      <c r="RAH55" s="15"/>
      <c r="RAI55" s="15"/>
      <c r="RAJ55" s="15"/>
      <c r="RAK55" s="15"/>
      <c r="RAL55" s="15"/>
      <c r="RAM55" s="15"/>
      <c r="RAN55" s="15"/>
      <c r="RAO55" s="15"/>
      <c r="RAP55" s="15"/>
      <c r="RAQ55" s="15"/>
      <c r="RAR55" s="15"/>
      <c r="RAS55" s="15"/>
      <c r="RAT55" s="15"/>
      <c r="RAU55" s="15"/>
      <c r="RAV55" s="15"/>
      <c r="RAW55" s="15"/>
      <c r="RAX55" s="15"/>
      <c r="RAY55" s="15"/>
      <c r="RAZ55" s="15"/>
      <c r="RBA55" s="15"/>
      <c r="RBB55" s="15"/>
      <c r="RBC55" s="15"/>
      <c r="RBD55" s="15"/>
      <c r="RBE55" s="15"/>
      <c r="RBF55" s="15"/>
      <c r="RBG55" s="15"/>
      <c r="RBH55" s="15"/>
      <c r="RBI55" s="15"/>
      <c r="RBJ55" s="15"/>
      <c r="RBK55" s="15"/>
      <c r="RBL55" s="15"/>
      <c r="RBM55" s="15"/>
      <c r="RBN55" s="15"/>
      <c r="RBO55" s="15"/>
      <c r="RBP55" s="15"/>
      <c r="RBQ55" s="15"/>
      <c r="RBR55" s="15"/>
      <c r="RBS55" s="15"/>
      <c r="RBT55" s="15"/>
      <c r="RBU55" s="15"/>
      <c r="RBV55" s="15"/>
      <c r="RBW55" s="15"/>
      <c r="RBX55" s="15"/>
      <c r="RBY55" s="15"/>
      <c r="RBZ55" s="15"/>
      <c r="RCA55" s="15"/>
      <c r="RCB55" s="15"/>
      <c r="RCC55" s="15"/>
      <c r="RCD55" s="15"/>
      <c r="RCE55" s="15"/>
      <c r="RCF55" s="15"/>
      <c r="RCG55" s="15"/>
      <c r="RCH55" s="15"/>
      <c r="RCI55" s="15"/>
      <c r="RCJ55" s="15"/>
      <c r="RCK55" s="15"/>
      <c r="RCL55" s="15"/>
      <c r="RCM55" s="15"/>
      <c r="RCN55" s="15"/>
      <c r="RCO55" s="15"/>
      <c r="RCP55" s="15"/>
      <c r="RCQ55" s="15"/>
      <c r="RCR55" s="15"/>
      <c r="RCS55" s="15"/>
      <c r="RCT55" s="15"/>
      <c r="RCU55" s="15"/>
      <c r="RCV55" s="15"/>
      <c r="RCW55" s="15"/>
      <c r="RCX55" s="15"/>
      <c r="RCY55" s="15"/>
      <c r="RCZ55" s="15"/>
      <c r="RDA55" s="15"/>
      <c r="RDB55" s="15"/>
      <c r="RDC55" s="15"/>
      <c r="RDD55" s="15"/>
      <c r="RDE55" s="15"/>
      <c r="RDF55" s="15"/>
      <c r="RDG55" s="15"/>
      <c r="RDH55" s="15"/>
      <c r="RDI55" s="15"/>
      <c r="RDJ55" s="15"/>
      <c r="RDK55" s="15"/>
      <c r="RDL55" s="15"/>
      <c r="RDM55" s="15"/>
      <c r="RDN55" s="15"/>
      <c r="RDO55" s="15"/>
      <c r="RDP55" s="15"/>
      <c r="RDQ55" s="15"/>
      <c r="RDR55" s="15"/>
      <c r="RDS55" s="15"/>
      <c r="RDT55" s="15"/>
      <c r="RDU55" s="15"/>
      <c r="RDV55" s="15"/>
      <c r="RDW55" s="15"/>
      <c r="RDX55" s="15"/>
      <c r="RDY55" s="15"/>
      <c r="RDZ55" s="15"/>
      <c r="REA55" s="15"/>
      <c r="REB55" s="15"/>
      <c r="REC55" s="15"/>
      <c r="RED55" s="15"/>
      <c r="REE55" s="15"/>
      <c r="REF55" s="15"/>
      <c r="REG55" s="15"/>
      <c r="REH55" s="15"/>
      <c r="REI55" s="15"/>
      <c r="REJ55" s="15"/>
      <c r="REK55" s="15"/>
      <c r="REL55" s="15"/>
      <c r="REM55" s="15"/>
      <c r="REN55" s="15"/>
      <c r="REO55" s="15"/>
      <c r="REP55" s="15"/>
      <c r="REQ55" s="15"/>
      <c r="RER55" s="15"/>
      <c r="RES55" s="15"/>
      <c r="RET55" s="15"/>
      <c r="REU55" s="15"/>
      <c r="REV55" s="15"/>
      <c r="REW55" s="15"/>
      <c r="REX55" s="15"/>
      <c r="REY55" s="15"/>
      <c r="REZ55" s="15"/>
      <c r="RFA55" s="15"/>
      <c r="RFB55" s="15"/>
      <c r="RFC55" s="15"/>
      <c r="RFD55" s="15"/>
      <c r="RFE55" s="15"/>
      <c r="RFF55" s="15"/>
      <c r="RFG55" s="15"/>
      <c r="RFH55" s="15"/>
      <c r="RFI55" s="15"/>
      <c r="RFJ55" s="15"/>
      <c r="RFK55" s="15"/>
      <c r="RFL55" s="15"/>
      <c r="RFM55" s="15"/>
      <c r="RFN55" s="15"/>
      <c r="RFO55" s="15"/>
      <c r="RFP55" s="15"/>
      <c r="RFQ55" s="15"/>
      <c r="RFR55" s="15"/>
      <c r="RFS55" s="15"/>
      <c r="RFT55" s="15"/>
      <c r="RFU55" s="15"/>
      <c r="RFV55" s="15"/>
      <c r="RFW55" s="15"/>
      <c r="RFX55" s="15"/>
      <c r="RFY55" s="15"/>
      <c r="RFZ55" s="15"/>
      <c r="RGA55" s="15"/>
      <c r="RGB55" s="15"/>
      <c r="RGC55" s="15"/>
      <c r="RGD55" s="15"/>
      <c r="RGE55" s="15"/>
      <c r="RGF55" s="15"/>
      <c r="RGG55" s="15"/>
      <c r="RGH55" s="15"/>
      <c r="RGI55" s="15"/>
      <c r="RGJ55" s="15"/>
      <c r="RGK55" s="15"/>
      <c r="RGL55" s="15"/>
      <c r="RGM55" s="15"/>
      <c r="RGN55" s="15"/>
      <c r="RGO55" s="15"/>
      <c r="RGP55" s="15"/>
      <c r="RGQ55" s="15"/>
      <c r="RGR55" s="15"/>
      <c r="RGS55" s="15"/>
      <c r="RGT55" s="15"/>
      <c r="RGU55" s="15"/>
      <c r="RGV55" s="15"/>
      <c r="RGW55" s="15"/>
      <c r="RGX55" s="15"/>
      <c r="RGY55" s="15"/>
      <c r="RGZ55" s="15"/>
      <c r="RHA55" s="15"/>
      <c r="RHB55" s="15"/>
      <c r="RHC55" s="15"/>
      <c r="RHD55" s="15"/>
      <c r="RHE55" s="15"/>
      <c r="RHF55" s="15"/>
      <c r="RHG55" s="15"/>
      <c r="RHH55" s="15"/>
      <c r="RHI55" s="15"/>
      <c r="RHJ55" s="15"/>
      <c r="RHK55" s="15"/>
      <c r="RHL55" s="15"/>
      <c r="RHM55" s="15"/>
      <c r="RHN55" s="15"/>
      <c r="RHO55" s="15"/>
      <c r="RHP55" s="15"/>
      <c r="RHQ55" s="15"/>
      <c r="RHR55" s="15"/>
      <c r="RHS55" s="15"/>
      <c r="RHT55" s="15"/>
      <c r="RHU55" s="15"/>
      <c r="RHV55" s="15"/>
      <c r="RHW55" s="15"/>
      <c r="RHX55" s="15"/>
      <c r="RHY55" s="15"/>
      <c r="RHZ55" s="15"/>
      <c r="RIA55" s="15"/>
      <c r="RIB55" s="15"/>
      <c r="RIC55" s="15"/>
      <c r="RID55" s="15"/>
      <c r="RIE55" s="15"/>
      <c r="RIF55" s="15"/>
      <c r="RIG55" s="15"/>
      <c r="RIH55" s="15"/>
      <c r="RII55" s="15"/>
      <c r="RIJ55" s="15"/>
      <c r="RIK55" s="15"/>
      <c r="RIL55" s="15"/>
      <c r="RIM55" s="15"/>
      <c r="RIN55" s="15"/>
      <c r="RIO55" s="15"/>
      <c r="RIP55" s="15"/>
      <c r="RIQ55" s="15"/>
      <c r="RIR55" s="15"/>
      <c r="RIS55" s="15"/>
      <c r="RIT55" s="15"/>
      <c r="RIU55" s="15"/>
      <c r="RIV55" s="15"/>
      <c r="RIW55" s="15"/>
      <c r="RIX55" s="15"/>
      <c r="RIY55" s="15"/>
      <c r="RIZ55" s="15"/>
      <c r="RJA55" s="15"/>
      <c r="RJB55" s="15"/>
      <c r="RJC55" s="15"/>
      <c r="RJD55" s="15"/>
      <c r="RJE55" s="15"/>
      <c r="RJF55" s="15"/>
      <c r="RJG55" s="15"/>
      <c r="RJH55" s="15"/>
      <c r="RJI55" s="15"/>
      <c r="RJJ55" s="15"/>
      <c r="RJK55" s="15"/>
      <c r="RJL55" s="15"/>
      <c r="RJM55" s="15"/>
      <c r="RJN55" s="15"/>
      <c r="RJO55" s="15"/>
      <c r="RJP55" s="15"/>
      <c r="RJQ55" s="15"/>
      <c r="RJR55" s="15"/>
      <c r="RJS55" s="15"/>
      <c r="RJT55" s="15"/>
      <c r="RJU55" s="15"/>
      <c r="RJV55" s="15"/>
      <c r="RJW55" s="15"/>
      <c r="RJX55" s="15"/>
      <c r="RJY55" s="15"/>
      <c r="RJZ55" s="15"/>
      <c r="RKA55" s="15"/>
      <c r="RKB55" s="15"/>
      <c r="RKC55" s="15"/>
      <c r="RKD55" s="15"/>
      <c r="RKE55" s="15"/>
      <c r="RKF55" s="15"/>
      <c r="RKG55" s="15"/>
      <c r="RKH55" s="15"/>
      <c r="RKI55" s="15"/>
      <c r="RKJ55" s="15"/>
      <c r="RKK55" s="15"/>
      <c r="RKL55" s="15"/>
      <c r="RKM55" s="15"/>
      <c r="RKN55" s="15"/>
      <c r="RKO55" s="15"/>
      <c r="RKP55" s="15"/>
      <c r="RKQ55" s="15"/>
      <c r="RKR55" s="15"/>
      <c r="RKS55" s="15"/>
      <c r="RKT55" s="15"/>
      <c r="RKU55" s="15"/>
      <c r="RKV55" s="15"/>
      <c r="RKW55" s="15"/>
      <c r="RKX55" s="15"/>
      <c r="RKY55" s="15"/>
      <c r="RKZ55" s="15"/>
      <c r="RLA55" s="15"/>
      <c r="RLB55" s="15"/>
      <c r="RLC55" s="15"/>
      <c r="RLD55" s="15"/>
      <c r="RLE55" s="15"/>
      <c r="RLF55" s="15"/>
      <c r="RLG55" s="15"/>
      <c r="RLH55" s="15"/>
      <c r="RLI55" s="15"/>
      <c r="RLJ55" s="15"/>
      <c r="RLK55" s="15"/>
      <c r="RLL55" s="15"/>
      <c r="RLM55" s="15"/>
      <c r="RLN55" s="15"/>
      <c r="RLO55" s="15"/>
      <c r="RLP55" s="15"/>
      <c r="RLQ55" s="15"/>
      <c r="RLR55" s="15"/>
      <c r="RLS55" s="15"/>
      <c r="RLT55" s="15"/>
      <c r="RLU55" s="15"/>
      <c r="RLV55" s="15"/>
      <c r="RLW55" s="15"/>
      <c r="RLX55" s="15"/>
      <c r="RLY55" s="15"/>
      <c r="RLZ55" s="15"/>
      <c r="RMA55" s="15"/>
      <c r="RMB55" s="15"/>
      <c r="RMC55" s="15"/>
      <c r="RMD55" s="15"/>
      <c r="RME55" s="15"/>
      <c r="RMF55" s="15"/>
      <c r="RMG55" s="15"/>
      <c r="RMH55" s="15"/>
      <c r="RMI55" s="15"/>
      <c r="RMJ55" s="15"/>
      <c r="RMK55" s="15"/>
      <c r="RML55" s="15"/>
      <c r="RMM55" s="15"/>
      <c r="RMN55" s="15"/>
      <c r="RMO55" s="15"/>
      <c r="RMP55" s="15"/>
      <c r="RMQ55" s="15"/>
      <c r="RMR55" s="15"/>
      <c r="RMS55" s="15"/>
      <c r="RMT55" s="15"/>
      <c r="RMU55" s="15"/>
      <c r="RMV55" s="15"/>
      <c r="RMW55" s="15"/>
      <c r="RMX55" s="15"/>
      <c r="RMY55" s="15"/>
      <c r="RMZ55" s="15"/>
      <c r="RNA55" s="15"/>
      <c r="RNB55" s="15"/>
      <c r="RNC55" s="15"/>
      <c r="RND55" s="15"/>
      <c r="RNE55" s="15"/>
      <c r="RNF55" s="15"/>
      <c r="RNG55" s="15"/>
      <c r="RNH55" s="15"/>
      <c r="RNI55" s="15"/>
      <c r="RNJ55" s="15"/>
      <c r="RNK55" s="15"/>
      <c r="RNL55" s="15"/>
      <c r="RNM55" s="15"/>
      <c r="RNN55" s="15"/>
      <c r="RNO55" s="15"/>
      <c r="RNP55" s="15"/>
      <c r="RNQ55" s="15"/>
      <c r="RNR55" s="15"/>
      <c r="RNS55" s="15"/>
      <c r="RNT55" s="15"/>
      <c r="RNU55" s="15"/>
      <c r="RNV55" s="15"/>
      <c r="RNW55" s="15"/>
      <c r="RNX55" s="15"/>
      <c r="RNY55" s="15"/>
      <c r="RNZ55" s="15"/>
      <c r="ROA55" s="15"/>
      <c r="ROB55" s="15"/>
      <c r="ROC55" s="15"/>
      <c r="ROD55" s="15"/>
      <c r="ROE55" s="15"/>
      <c r="ROF55" s="15"/>
      <c r="ROG55" s="15"/>
      <c r="ROH55" s="15"/>
      <c r="ROI55" s="15"/>
      <c r="ROJ55" s="15"/>
      <c r="ROK55" s="15"/>
      <c r="ROL55" s="15"/>
      <c r="ROM55" s="15"/>
      <c r="RON55" s="15"/>
      <c r="ROO55" s="15"/>
      <c r="ROP55" s="15"/>
      <c r="ROQ55" s="15"/>
      <c r="ROR55" s="15"/>
      <c r="ROS55" s="15"/>
      <c r="ROT55" s="15"/>
      <c r="ROU55" s="15"/>
      <c r="ROV55" s="15"/>
      <c r="ROW55" s="15"/>
      <c r="ROX55" s="15"/>
      <c r="ROY55" s="15"/>
      <c r="ROZ55" s="15"/>
      <c r="RPA55" s="15"/>
      <c r="RPB55" s="15"/>
      <c r="RPC55" s="15"/>
      <c r="RPD55" s="15"/>
      <c r="RPE55" s="15"/>
      <c r="RPF55" s="15"/>
      <c r="RPG55" s="15"/>
      <c r="RPH55" s="15"/>
      <c r="RPI55" s="15"/>
      <c r="RPJ55" s="15"/>
      <c r="RPK55" s="15"/>
      <c r="RPL55" s="15"/>
      <c r="RPM55" s="15"/>
      <c r="RPN55" s="15"/>
      <c r="RPO55" s="15"/>
      <c r="RPP55" s="15"/>
      <c r="RPQ55" s="15"/>
      <c r="RPR55" s="15"/>
      <c r="RPS55" s="15"/>
      <c r="RPT55" s="15"/>
      <c r="RPU55" s="15"/>
      <c r="RPV55" s="15"/>
      <c r="RPW55" s="15"/>
      <c r="RPX55" s="15"/>
      <c r="RPY55" s="15"/>
      <c r="RPZ55" s="15"/>
      <c r="RQA55" s="15"/>
      <c r="RQB55" s="15"/>
      <c r="RQC55" s="15"/>
      <c r="RQD55" s="15"/>
      <c r="RQE55" s="15"/>
      <c r="RQF55" s="15"/>
      <c r="RQG55" s="15"/>
      <c r="RQH55" s="15"/>
      <c r="RQI55" s="15"/>
      <c r="RQJ55" s="15"/>
      <c r="RQK55" s="15"/>
      <c r="RQL55" s="15"/>
      <c r="RQM55" s="15"/>
      <c r="RQN55" s="15"/>
      <c r="RQO55" s="15"/>
      <c r="RQP55" s="15"/>
      <c r="RQQ55" s="15"/>
      <c r="RQR55" s="15"/>
      <c r="RQS55" s="15"/>
      <c r="RQT55" s="15"/>
      <c r="RQU55" s="15"/>
      <c r="RQV55" s="15"/>
      <c r="RQW55" s="15"/>
      <c r="RQX55" s="15"/>
      <c r="RQY55" s="15"/>
      <c r="RQZ55" s="15"/>
      <c r="RRA55" s="15"/>
      <c r="RRB55" s="15"/>
      <c r="RRC55" s="15"/>
      <c r="RRD55" s="15"/>
      <c r="RRE55" s="15"/>
      <c r="RRF55" s="15"/>
      <c r="RRG55" s="15"/>
      <c r="RRH55" s="15"/>
      <c r="RRI55" s="15"/>
      <c r="RRJ55" s="15"/>
      <c r="RRK55" s="15"/>
      <c r="RRL55" s="15"/>
      <c r="RRM55" s="15"/>
      <c r="RRN55" s="15"/>
      <c r="RRO55" s="15"/>
      <c r="RRP55" s="15"/>
      <c r="RRQ55" s="15"/>
      <c r="RRR55" s="15"/>
      <c r="RRS55" s="15"/>
      <c r="RRT55" s="15"/>
      <c r="RRU55" s="15"/>
      <c r="RRV55" s="15"/>
      <c r="RRW55" s="15"/>
      <c r="RRX55" s="15"/>
      <c r="RRY55" s="15"/>
      <c r="RRZ55" s="15"/>
      <c r="RSA55" s="15"/>
      <c r="RSB55" s="15"/>
      <c r="RSC55" s="15"/>
      <c r="RSD55" s="15"/>
      <c r="RSE55" s="15"/>
      <c r="RSF55" s="15"/>
      <c r="RSG55" s="15"/>
      <c r="RSH55" s="15"/>
      <c r="RSI55" s="15"/>
      <c r="RSJ55" s="15"/>
      <c r="RSK55" s="15"/>
      <c r="RSL55" s="15"/>
      <c r="RSM55" s="15"/>
      <c r="RSN55" s="15"/>
      <c r="RSO55" s="15"/>
      <c r="RSP55" s="15"/>
      <c r="RSQ55" s="15"/>
      <c r="RSR55" s="15"/>
      <c r="RSS55" s="15"/>
      <c r="RST55" s="15"/>
      <c r="RSU55" s="15"/>
      <c r="RSV55" s="15"/>
      <c r="RSW55" s="15"/>
      <c r="RSX55" s="15"/>
      <c r="RSY55" s="15"/>
      <c r="RSZ55" s="15"/>
      <c r="RTA55" s="15"/>
      <c r="RTB55" s="15"/>
      <c r="RTC55" s="15"/>
      <c r="RTD55" s="15"/>
      <c r="RTE55" s="15"/>
      <c r="RTF55" s="15"/>
      <c r="RTG55" s="15"/>
      <c r="RTH55" s="15"/>
      <c r="RTI55" s="15"/>
      <c r="RTJ55" s="15"/>
      <c r="RTK55" s="15"/>
      <c r="RTL55" s="15"/>
      <c r="RTM55" s="15"/>
      <c r="RTN55" s="15"/>
      <c r="RTO55" s="15"/>
      <c r="RTP55" s="15"/>
      <c r="RTQ55" s="15"/>
      <c r="RTR55" s="15"/>
      <c r="RTS55" s="15"/>
      <c r="RTT55" s="15"/>
      <c r="RTU55" s="15"/>
      <c r="RTV55" s="15"/>
      <c r="RTW55" s="15"/>
      <c r="RTX55" s="15"/>
      <c r="RTY55" s="15"/>
      <c r="RTZ55" s="15"/>
      <c r="RUA55" s="15"/>
      <c r="RUB55" s="15"/>
      <c r="RUC55" s="15"/>
      <c r="RUD55" s="15"/>
      <c r="RUE55" s="15"/>
      <c r="RUF55" s="15"/>
      <c r="RUG55" s="15"/>
      <c r="RUH55" s="15"/>
      <c r="RUI55" s="15"/>
      <c r="RUJ55" s="15"/>
      <c r="RUK55" s="15"/>
      <c r="RUL55" s="15"/>
      <c r="RUM55" s="15"/>
      <c r="RUN55" s="15"/>
      <c r="RUO55" s="15"/>
      <c r="RUP55" s="15"/>
      <c r="RUQ55" s="15"/>
      <c r="RUR55" s="15"/>
      <c r="RUS55" s="15"/>
      <c r="RUT55" s="15"/>
      <c r="RUU55" s="15"/>
      <c r="RUV55" s="15"/>
      <c r="RUW55" s="15"/>
      <c r="RUX55" s="15"/>
      <c r="RUY55" s="15"/>
      <c r="RUZ55" s="15"/>
      <c r="RVA55" s="15"/>
      <c r="RVB55" s="15"/>
      <c r="RVC55" s="15"/>
      <c r="RVD55" s="15"/>
      <c r="RVE55" s="15"/>
      <c r="RVF55" s="15"/>
      <c r="RVG55" s="15"/>
      <c r="RVH55" s="15"/>
      <c r="RVI55" s="15"/>
      <c r="RVJ55" s="15"/>
      <c r="RVK55" s="15"/>
      <c r="RVL55" s="15"/>
      <c r="RVM55" s="15"/>
      <c r="RVN55" s="15"/>
      <c r="RVO55" s="15"/>
      <c r="RVP55" s="15"/>
      <c r="RVQ55" s="15"/>
      <c r="RVR55" s="15"/>
      <c r="RVS55" s="15"/>
      <c r="RVT55" s="15"/>
      <c r="RVU55" s="15"/>
      <c r="RVV55" s="15"/>
      <c r="RVW55" s="15"/>
      <c r="RVX55" s="15"/>
      <c r="RVY55" s="15"/>
      <c r="RVZ55" s="15"/>
      <c r="RWA55" s="15"/>
      <c r="RWB55" s="15"/>
      <c r="RWC55" s="15"/>
      <c r="RWD55" s="15"/>
      <c r="RWE55" s="15"/>
      <c r="RWF55" s="15"/>
      <c r="RWG55" s="15"/>
      <c r="RWH55" s="15"/>
      <c r="RWI55" s="15"/>
      <c r="RWJ55" s="15"/>
      <c r="RWK55" s="15"/>
      <c r="RWL55" s="15"/>
      <c r="RWM55" s="15"/>
      <c r="RWN55" s="15"/>
      <c r="RWO55" s="15"/>
      <c r="RWP55" s="15"/>
      <c r="RWQ55" s="15"/>
      <c r="RWR55" s="15"/>
      <c r="RWS55" s="15"/>
      <c r="RWT55" s="15"/>
      <c r="RWU55" s="15"/>
      <c r="RWV55" s="15"/>
      <c r="RWW55" s="15"/>
      <c r="RWX55" s="15"/>
      <c r="RWY55" s="15"/>
      <c r="RWZ55" s="15"/>
      <c r="RXA55" s="15"/>
      <c r="RXB55" s="15"/>
      <c r="RXC55" s="15"/>
      <c r="RXD55" s="15"/>
      <c r="RXE55" s="15"/>
      <c r="RXF55" s="15"/>
      <c r="RXG55" s="15"/>
      <c r="RXH55" s="15"/>
      <c r="RXI55" s="15"/>
      <c r="RXJ55" s="15"/>
      <c r="RXK55" s="15"/>
      <c r="RXL55" s="15"/>
      <c r="RXM55" s="15"/>
      <c r="RXN55" s="15"/>
      <c r="RXO55" s="15"/>
      <c r="RXP55" s="15"/>
      <c r="RXQ55" s="15"/>
      <c r="RXR55" s="15"/>
      <c r="RXS55" s="15"/>
      <c r="RXT55" s="15"/>
      <c r="RXU55" s="15"/>
      <c r="RXV55" s="15"/>
      <c r="RXW55" s="15"/>
      <c r="RXX55" s="15"/>
      <c r="RXY55" s="15"/>
      <c r="RXZ55" s="15"/>
      <c r="RYA55" s="15"/>
      <c r="RYB55" s="15"/>
      <c r="RYC55" s="15"/>
      <c r="RYD55" s="15"/>
      <c r="RYE55" s="15"/>
      <c r="RYF55" s="15"/>
      <c r="RYG55" s="15"/>
      <c r="RYH55" s="15"/>
      <c r="RYI55" s="15"/>
      <c r="RYJ55" s="15"/>
      <c r="RYK55" s="15"/>
      <c r="RYL55" s="15"/>
      <c r="RYM55" s="15"/>
      <c r="RYN55" s="15"/>
      <c r="RYO55" s="15"/>
      <c r="RYP55" s="15"/>
      <c r="RYQ55" s="15"/>
      <c r="RYR55" s="15"/>
      <c r="RYS55" s="15"/>
      <c r="RYT55" s="15"/>
      <c r="RYU55" s="15"/>
      <c r="RYV55" s="15"/>
      <c r="RYW55" s="15"/>
      <c r="RYX55" s="15"/>
      <c r="RYY55" s="15"/>
      <c r="RYZ55" s="15"/>
      <c r="RZA55" s="15"/>
      <c r="RZB55" s="15"/>
      <c r="RZC55" s="15"/>
      <c r="RZD55" s="15"/>
      <c r="RZE55" s="15"/>
      <c r="RZF55" s="15"/>
      <c r="RZG55" s="15"/>
      <c r="RZH55" s="15"/>
      <c r="RZI55" s="15"/>
      <c r="RZJ55" s="15"/>
      <c r="RZK55" s="15"/>
      <c r="RZL55" s="15"/>
      <c r="RZM55" s="15"/>
      <c r="RZN55" s="15"/>
      <c r="RZO55" s="15"/>
      <c r="RZP55" s="15"/>
      <c r="RZQ55" s="15"/>
      <c r="RZR55" s="15"/>
      <c r="RZS55" s="15"/>
      <c r="RZT55" s="15"/>
      <c r="RZU55" s="15"/>
      <c r="RZV55" s="15"/>
      <c r="RZW55" s="15"/>
      <c r="RZX55" s="15"/>
      <c r="RZY55" s="15"/>
      <c r="RZZ55" s="15"/>
      <c r="SAA55" s="15"/>
      <c r="SAB55" s="15"/>
      <c r="SAC55" s="15"/>
      <c r="SAD55" s="15"/>
      <c r="SAE55" s="15"/>
      <c r="SAF55" s="15"/>
      <c r="SAG55" s="15"/>
      <c r="SAH55" s="15"/>
      <c r="SAI55" s="15"/>
      <c r="SAJ55" s="15"/>
      <c r="SAK55" s="15"/>
      <c r="SAL55" s="15"/>
      <c r="SAM55" s="15"/>
      <c r="SAN55" s="15"/>
      <c r="SAO55" s="15"/>
      <c r="SAP55" s="15"/>
      <c r="SAQ55" s="15"/>
      <c r="SAR55" s="15"/>
      <c r="SAS55" s="15"/>
      <c r="SAT55" s="15"/>
      <c r="SAU55" s="15"/>
      <c r="SAV55" s="15"/>
      <c r="SAW55" s="15"/>
      <c r="SAX55" s="15"/>
      <c r="SAY55" s="15"/>
      <c r="SAZ55" s="15"/>
      <c r="SBA55" s="15"/>
      <c r="SBB55" s="15"/>
      <c r="SBC55" s="15"/>
      <c r="SBD55" s="15"/>
      <c r="SBE55" s="15"/>
      <c r="SBF55" s="15"/>
      <c r="SBG55" s="15"/>
      <c r="SBH55" s="15"/>
      <c r="SBI55" s="15"/>
      <c r="SBJ55" s="15"/>
      <c r="SBK55" s="15"/>
      <c r="SBL55" s="15"/>
      <c r="SBM55" s="15"/>
      <c r="SBN55" s="15"/>
      <c r="SBO55" s="15"/>
      <c r="SBP55" s="15"/>
      <c r="SBQ55" s="15"/>
      <c r="SBR55" s="15"/>
      <c r="SBS55" s="15"/>
      <c r="SBT55" s="15"/>
      <c r="SBU55" s="15"/>
      <c r="SBV55" s="15"/>
      <c r="SBW55" s="15"/>
      <c r="SBX55" s="15"/>
      <c r="SBY55" s="15"/>
      <c r="SBZ55" s="15"/>
      <c r="SCA55" s="15"/>
      <c r="SCB55" s="15"/>
      <c r="SCC55" s="15"/>
      <c r="SCD55" s="15"/>
      <c r="SCE55" s="15"/>
      <c r="SCF55" s="15"/>
      <c r="SCG55" s="15"/>
      <c r="SCH55" s="15"/>
      <c r="SCI55" s="15"/>
      <c r="SCJ55" s="15"/>
      <c r="SCK55" s="15"/>
      <c r="SCL55" s="15"/>
      <c r="SCM55" s="15"/>
      <c r="SCN55" s="15"/>
      <c r="SCO55" s="15"/>
      <c r="SCP55" s="15"/>
      <c r="SCQ55" s="15"/>
      <c r="SCR55" s="15"/>
      <c r="SCS55" s="15"/>
      <c r="SCT55" s="15"/>
      <c r="SCU55" s="15"/>
      <c r="SCV55" s="15"/>
      <c r="SCW55" s="15"/>
      <c r="SCX55" s="15"/>
      <c r="SCY55" s="15"/>
      <c r="SCZ55" s="15"/>
      <c r="SDA55" s="15"/>
      <c r="SDB55" s="15"/>
      <c r="SDC55" s="15"/>
      <c r="SDD55" s="15"/>
      <c r="SDE55" s="15"/>
      <c r="SDF55" s="15"/>
      <c r="SDG55" s="15"/>
      <c r="SDH55" s="15"/>
      <c r="SDI55" s="15"/>
      <c r="SDJ55" s="15"/>
      <c r="SDK55" s="15"/>
      <c r="SDL55" s="15"/>
      <c r="SDM55" s="15"/>
      <c r="SDN55" s="15"/>
      <c r="SDO55" s="15"/>
      <c r="SDP55" s="15"/>
      <c r="SDQ55" s="15"/>
      <c r="SDR55" s="15"/>
      <c r="SDS55" s="15"/>
      <c r="SDT55" s="15"/>
      <c r="SDU55" s="15"/>
      <c r="SDV55" s="15"/>
      <c r="SDW55" s="15"/>
      <c r="SDX55" s="15"/>
      <c r="SDY55" s="15"/>
      <c r="SDZ55" s="15"/>
      <c r="SEA55" s="15"/>
      <c r="SEB55" s="15"/>
      <c r="SEC55" s="15"/>
      <c r="SED55" s="15"/>
      <c r="SEE55" s="15"/>
      <c r="SEF55" s="15"/>
      <c r="SEG55" s="15"/>
      <c r="SEH55" s="15"/>
      <c r="SEI55" s="15"/>
      <c r="SEJ55" s="15"/>
      <c r="SEK55" s="15"/>
      <c r="SEL55" s="15"/>
      <c r="SEM55" s="15"/>
      <c r="SEN55" s="15"/>
      <c r="SEO55" s="15"/>
      <c r="SEP55" s="15"/>
      <c r="SEQ55" s="15"/>
      <c r="SER55" s="15"/>
      <c r="SES55" s="15"/>
      <c r="SET55" s="15"/>
      <c r="SEU55" s="15"/>
      <c r="SEV55" s="15"/>
      <c r="SEW55" s="15"/>
      <c r="SEX55" s="15"/>
      <c r="SEY55" s="15"/>
      <c r="SEZ55" s="15"/>
      <c r="SFA55" s="15"/>
      <c r="SFB55" s="15"/>
      <c r="SFC55" s="15"/>
      <c r="SFD55" s="15"/>
      <c r="SFE55" s="15"/>
      <c r="SFF55" s="15"/>
      <c r="SFG55" s="15"/>
      <c r="SFH55" s="15"/>
      <c r="SFI55" s="15"/>
      <c r="SFJ55" s="15"/>
      <c r="SFK55" s="15"/>
      <c r="SFL55" s="15"/>
      <c r="SFM55" s="15"/>
      <c r="SFN55" s="15"/>
      <c r="SFO55" s="15"/>
      <c r="SFP55" s="15"/>
      <c r="SFQ55" s="15"/>
      <c r="SFR55" s="15"/>
      <c r="SFS55" s="15"/>
      <c r="SFT55" s="15"/>
      <c r="SFU55" s="15"/>
      <c r="SFV55" s="15"/>
      <c r="SFW55" s="15"/>
      <c r="SFX55" s="15"/>
      <c r="SFY55" s="15"/>
      <c r="SFZ55" s="15"/>
      <c r="SGA55" s="15"/>
      <c r="SGB55" s="15"/>
      <c r="SGC55" s="15"/>
      <c r="SGD55" s="15"/>
      <c r="SGE55" s="15"/>
      <c r="SGF55" s="15"/>
      <c r="SGG55" s="15"/>
      <c r="SGH55" s="15"/>
      <c r="SGI55" s="15"/>
      <c r="SGJ55" s="15"/>
      <c r="SGK55" s="15"/>
      <c r="SGL55" s="15"/>
      <c r="SGM55" s="15"/>
      <c r="SGN55" s="15"/>
      <c r="SGO55" s="15"/>
      <c r="SGP55" s="15"/>
      <c r="SGQ55" s="15"/>
      <c r="SGR55" s="15"/>
      <c r="SGS55" s="15"/>
      <c r="SGT55" s="15"/>
      <c r="SGU55" s="15"/>
      <c r="SGV55" s="15"/>
      <c r="SGW55" s="15"/>
      <c r="SGX55" s="15"/>
      <c r="SGY55" s="15"/>
      <c r="SGZ55" s="15"/>
      <c r="SHA55" s="15"/>
      <c r="SHB55" s="15"/>
      <c r="SHC55" s="15"/>
      <c r="SHD55" s="15"/>
      <c r="SHE55" s="15"/>
      <c r="SHF55" s="15"/>
      <c r="SHG55" s="15"/>
      <c r="SHH55" s="15"/>
      <c r="SHI55" s="15"/>
      <c r="SHJ55" s="15"/>
      <c r="SHK55" s="15"/>
      <c r="SHL55" s="15"/>
      <c r="SHM55" s="15"/>
      <c r="SHN55" s="15"/>
      <c r="SHO55" s="15"/>
      <c r="SHP55" s="15"/>
      <c r="SHQ55" s="15"/>
      <c r="SHR55" s="15"/>
      <c r="SHS55" s="15"/>
      <c r="SHT55" s="15"/>
      <c r="SHU55" s="15"/>
      <c r="SHV55" s="15"/>
      <c r="SHW55" s="15"/>
      <c r="SHX55" s="15"/>
      <c r="SHY55" s="15"/>
      <c r="SHZ55" s="15"/>
      <c r="SIA55" s="15"/>
      <c r="SIB55" s="15"/>
      <c r="SIC55" s="15"/>
      <c r="SID55" s="15"/>
      <c r="SIE55" s="15"/>
      <c r="SIF55" s="15"/>
      <c r="SIG55" s="15"/>
      <c r="SIH55" s="15"/>
      <c r="SII55" s="15"/>
      <c r="SIJ55" s="15"/>
      <c r="SIK55" s="15"/>
      <c r="SIL55" s="15"/>
      <c r="SIM55" s="15"/>
      <c r="SIN55" s="15"/>
      <c r="SIO55" s="15"/>
      <c r="SIP55" s="15"/>
      <c r="SIQ55" s="15"/>
      <c r="SIR55" s="15"/>
      <c r="SIS55" s="15"/>
      <c r="SIT55" s="15"/>
      <c r="SIU55" s="15"/>
      <c r="SIV55" s="15"/>
      <c r="SIW55" s="15"/>
      <c r="SIX55" s="15"/>
      <c r="SIY55" s="15"/>
      <c r="SIZ55" s="15"/>
      <c r="SJA55" s="15"/>
      <c r="SJB55" s="15"/>
      <c r="SJC55" s="15"/>
      <c r="SJD55" s="15"/>
      <c r="SJE55" s="15"/>
      <c r="SJF55" s="15"/>
      <c r="SJG55" s="15"/>
      <c r="SJH55" s="15"/>
      <c r="SJI55" s="15"/>
      <c r="SJJ55" s="15"/>
      <c r="SJK55" s="15"/>
      <c r="SJL55" s="15"/>
      <c r="SJM55" s="15"/>
      <c r="SJN55" s="15"/>
      <c r="SJO55" s="15"/>
      <c r="SJP55" s="15"/>
      <c r="SJQ55" s="15"/>
      <c r="SJR55" s="15"/>
      <c r="SJS55" s="15"/>
      <c r="SJT55" s="15"/>
      <c r="SJU55" s="15"/>
      <c r="SJV55" s="15"/>
      <c r="SJW55" s="15"/>
      <c r="SJX55" s="15"/>
      <c r="SJY55" s="15"/>
      <c r="SJZ55" s="15"/>
      <c r="SKA55" s="15"/>
      <c r="SKB55" s="15"/>
      <c r="SKC55" s="15"/>
      <c r="SKD55" s="15"/>
      <c r="SKE55" s="15"/>
      <c r="SKF55" s="15"/>
      <c r="SKG55" s="15"/>
      <c r="SKH55" s="15"/>
      <c r="SKI55" s="15"/>
      <c r="SKJ55" s="15"/>
      <c r="SKK55" s="15"/>
      <c r="SKL55" s="15"/>
      <c r="SKM55" s="15"/>
      <c r="SKN55" s="15"/>
      <c r="SKO55" s="15"/>
      <c r="SKP55" s="15"/>
      <c r="SKQ55" s="15"/>
      <c r="SKR55" s="15"/>
      <c r="SKS55" s="15"/>
      <c r="SKT55" s="15"/>
      <c r="SKU55" s="15"/>
      <c r="SKV55" s="15"/>
      <c r="SKW55" s="15"/>
      <c r="SKX55" s="15"/>
      <c r="SKY55" s="15"/>
      <c r="SKZ55" s="15"/>
      <c r="SLA55" s="15"/>
      <c r="SLB55" s="15"/>
      <c r="SLC55" s="15"/>
      <c r="SLD55" s="15"/>
      <c r="SLE55" s="15"/>
      <c r="SLF55" s="15"/>
      <c r="SLG55" s="15"/>
      <c r="SLH55" s="15"/>
      <c r="SLI55" s="15"/>
      <c r="SLJ55" s="15"/>
      <c r="SLK55" s="15"/>
      <c r="SLL55" s="15"/>
      <c r="SLM55" s="15"/>
      <c r="SLN55" s="15"/>
      <c r="SLO55" s="15"/>
      <c r="SLP55" s="15"/>
      <c r="SLQ55" s="15"/>
      <c r="SLR55" s="15"/>
      <c r="SLS55" s="15"/>
      <c r="SLT55" s="15"/>
      <c r="SLU55" s="15"/>
      <c r="SLV55" s="15"/>
      <c r="SLW55" s="15"/>
      <c r="SLX55" s="15"/>
      <c r="SLY55" s="15"/>
      <c r="SLZ55" s="15"/>
      <c r="SMA55" s="15"/>
      <c r="SMB55" s="15"/>
      <c r="SMC55" s="15"/>
      <c r="SMD55" s="15"/>
      <c r="SME55" s="15"/>
      <c r="SMF55" s="15"/>
      <c r="SMG55" s="15"/>
      <c r="SMH55" s="15"/>
      <c r="SMI55" s="15"/>
      <c r="SMJ55" s="15"/>
      <c r="SMK55" s="15"/>
      <c r="SML55" s="15"/>
      <c r="SMM55" s="15"/>
      <c r="SMN55" s="15"/>
      <c r="SMO55" s="15"/>
      <c r="SMP55" s="15"/>
      <c r="SMQ55" s="15"/>
      <c r="SMR55" s="15"/>
      <c r="SMS55" s="15"/>
      <c r="SMT55" s="15"/>
      <c r="SMU55" s="15"/>
      <c r="SMV55" s="15"/>
      <c r="SMW55" s="15"/>
      <c r="SMX55" s="15"/>
      <c r="SMY55" s="15"/>
      <c r="SMZ55" s="15"/>
      <c r="SNA55" s="15"/>
      <c r="SNB55" s="15"/>
      <c r="SNC55" s="15"/>
      <c r="SND55" s="15"/>
      <c r="SNE55" s="15"/>
      <c r="SNF55" s="15"/>
      <c r="SNG55" s="15"/>
      <c r="SNH55" s="15"/>
      <c r="SNI55" s="15"/>
      <c r="SNJ55" s="15"/>
      <c r="SNK55" s="15"/>
      <c r="SNL55" s="15"/>
      <c r="SNM55" s="15"/>
      <c r="SNN55" s="15"/>
      <c r="SNO55" s="15"/>
      <c r="SNP55" s="15"/>
      <c r="SNQ55" s="15"/>
      <c r="SNR55" s="15"/>
      <c r="SNS55" s="15"/>
      <c r="SNT55" s="15"/>
      <c r="SNU55" s="15"/>
      <c r="SNV55" s="15"/>
      <c r="SNW55" s="15"/>
      <c r="SNX55" s="15"/>
      <c r="SNY55" s="15"/>
      <c r="SNZ55" s="15"/>
      <c r="SOA55" s="15"/>
      <c r="SOB55" s="15"/>
      <c r="SOC55" s="15"/>
      <c r="SOD55" s="15"/>
      <c r="SOE55" s="15"/>
      <c r="SOF55" s="15"/>
      <c r="SOG55" s="15"/>
      <c r="SOH55" s="15"/>
      <c r="SOI55" s="15"/>
      <c r="SOJ55" s="15"/>
      <c r="SOK55" s="15"/>
      <c r="SOL55" s="15"/>
      <c r="SOM55" s="15"/>
      <c r="SON55" s="15"/>
      <c r="SOO55" s="15"/>
      <c r="SOP55" s="15"/>
      <c r="SOQ55" s="15"/>
      <c r="SOR55" s="15"/>
      <c r="SOS55" s="15"/>
      <c r="SOT55" s="15"/>
      <c r="SOU55" s="15"/>
      <c r="SOV55" s="15"/>
      <c r="SOW55" s="15"/>
      <c r="SOX55" s="15"/>
      <c r="SOY55" s="15"/>
      <c r="SOZ55" s="15"/>
      <c r="SPA55" s="15"/>
      <c r="SPB55" s="15"/>
      <c r="SPC55" s="15"/>
      <c r="SPD55" s="15"/>
      <c r="SPE55" s="15"/>
      <c r="SPF55" s="15"/>
      <c r="SPG55" s="15"/>
      <c r="SPH55" s="15"/>
      <c r="SPI55" s="15"/>
      <c r="SPJ55" s="15"/>
      <c r="SPK55" s="15"/>
      <c r="SPL55" s="15"/>
      <c r="SPM55" s="15"/>
      <c r="SPN55" s="15"/>
      <c r="SPO55" s="15"/>
      <c r="SPP55" s="15"/>
      <c r="SPQ55" s="15"/>
      <c r="SPR55" s="15"/>
      <c r="SPS55" s="15"/>
      <c r="SPT55" s="15"/>
      <c r="SPU55" s="15"/>
      <c r="SPV55" s="15"/>
      <c r="SPW55" s="15"/>
      <c r="SPX55" s="15"/>
      <c r="SPY55" s="15"/>
      <c r="SPZ55" s="15"/>
      <c r="SQA55" s="15"/>
      <c r="SQB55" s="15"/>
      <c r="SQC55" s="15"/>
      <c r="SQD55" s="15"/>
      <c r="SQE55" s="15"/>
      <c r="SQF55" s="15"/>
      <c r="SQG55" s="15"/>
      <c r="SQH55" s="15"/>
      <c r="SQI55" s="15"/>
      <c r="SQJ55" s="15"/>
      <c r="SQK55" s="15"/>
      <c r="SQL55" s="15"/>
      <c r="SQM55" s="15"/>
      <c r="SQN55" s="15"/>
      <c r="SQO55" s="15"/>
      <c r="SQP55" s="15"/>
      <c r="SQQ55" s="15"/>
      <c r="SQR55" s="15"/>
      <c r="SQS55" s="15"/>
      <c r="SQT55" s="15"/>
      <c r="SQU55" s="15"/>
      <c r="SQV55" s="15"/>
      <c r="SQW55" s="15"/>
      <c r="SQX55" s="15"/>
      <c r="SQY55" s="15"/>
      <c r="SQZ55" s="15"/>
      <c r="SRA55" s="15"/>
      <c r="SRB55" s="15"/>
      <c r="SRC55" s="15"/>
      <c r="SRD55" s="15"/>
      <c r="SRE55" s="15"/>
      <c r="SRF55" s="15"/>
      <c r="SRG55" s="15"/>
      <c r="SRH55" s="15"/>
      <c r="SRI55" s="15"/>
      <c r="SRJ55" s="15"/>
      <c r="SRK55" s="15"/>
      <c r="SRL55" s="15"/>
      <c r="SRM55" s="15"/>
      <c r="SRN55" s="15"/>
      <c r="SRO55" s="15"/>
      <c r="SRP55" s="15"/>
      <c r="SRQ55" s="15"/>
      <c r="SRR55" s="15"/>
      <c r="SRS55" s="15"/>
      <c r="SRT55" s="15"/>
      <c r="SRU55" s="15"/>
      <c r="SRV55" s="15"/>
      <c r="SRW55" s="15"/>
      <c r="SRX55" s="15"/>
      <c r="SRY55" s="15"/>
      <c r="SRZ55" s="15"/>
      <c r="SSA55" s="15"/>
      <c r="SSB55" s="15"/>
      <c r="SSC55" s="15"/>
      <c r="SSD55" s="15"/>
      <c r="SSE55" s="15"/>
      <c r="SSF55" s="15"/>
      <c r="SSG55" s="15"/>
      <c r="SSH55" s="15"/>
      <c r="SSI55" s="15"/>
      <c r="SSJ55" s="15"/>
      <c r="SSK55" s="15"/>
      <c r="SSL55" s="15"/>
      <c r="SSM55" s="15"/>
      <c r="SSN55" s="15"/>
      <c r="SSO55" s="15"/>
      <c r="SSP55" s="15"/>
      <c r="SSQ55" s="15"/>
      <c r="SSR55" s="15"/>
      <c r="SSS55" s="15"/>
      <c r="SST55" s="15"/>
      <c r="SSU55" s="15"/>
      <c r="SSV55" s="15"/>
      <c r="SSW55" s="15"/>
      <c r="SSX55" s="15"/>
      <c r="SSY55" s="15"/>
      <c r="SSZ55" s="15"/>
      <c r="STA55" s="15"/>
      <c r="STB55" s="15"/>
      <c r="STC55" s="15"/>
      <c r="STD55" s="15"/>
      <c r="STE55" s="15"/>
      <c r="STF55" s="15"/>
      <c r="STG55" s="15"/>
      <c r="STH55" s="15"/>
      <c r="STI55" s="15"/>
      <c r="STJ55" s="15"/>
      <c r="STK55" s="15"/>
      <c r="STL55" s="15"/>
      <c r="STM55" s="15"/>
      <c r="STN55" s="15"/>
      <c r="STO55" s="15"/>
      <c r="STP55" s="15"/>
      <c r="STQ55" s="15"/>
      <c r="STR55" s="15"/>
      <c r="STS55" s="15"/>
      <c r="STT55" s="15"/>
      <c r="STU55" s="15"/>
      <c r="STV55" s="15"/>
      <c r="STW55" s="15"/>
      <c r="STX55" s="15"/>
      <c r="STY55" s="15"/>
      <c r="STZ55" s="15"/>
      <c r="SUA55" s="15"/>
      <c r="SUB55" s="15"/>
      <c r="SUC55" s="15"/>
      <c r="SUD55" s="15"/>
      <c r="SUE55" s="15"/>
      <c r="SUF55" s="15"/>
      <c r="SUG55" s="15"/>
      <c r="SUH55" s="15"/>
      <c r="SUI55" s="15"/>
      <c r="SUJ55" s="15"/>
      <c r="SUK55" s="15"/>
      <c r="SUL55" s="15"/>
      <c r="SUM55" s="15"/>
      <c r="SUN55" s="15"/>
      <c r="SUO55" s="15"/>
      <c r="SUP55" s="15"/>
      <c r="SUQ55" s="15"/>
      <c r="SUR55" s="15"/>
      <c r="SUS55" s="15"/>
      <c r="SUT55" s="15"/>
      <c r="SUU55" s="15"/>
      <c r="SUV55" s="15"/>
      <c r="SUW55" s="15"/>
      <c r="SUX55" s="15"/>
      <c r="SUY55" s="15"/>
      <c r="SUZ55" s="15"/>
      <c r="SVA55" s="15"/>
      <c r="SVB55" s="15"/>
      <c r="SVC55" s="15"/>
      <c r="SVD55" s="15"/>
      <c r="SVE55" s="15"/>
      <c r="SVF55" s="15"/>
      <c r="SVG55" s="15"/>
      <c r="SVH55" s="15"/>
      <c r="SVI55" s="15"/>
      <c r="SVJ55" s="15"/>
      <c r="SVK55" s="15"/>
      <c r="SVL55" s="15"/>
      <c r="SVM55" s="15"/>
      <c r="SVN55" s="15"/>
      <c r="SVO55" s="15"/>
      <c r="SVP55" s="15"/>
      <c r="SVQ55" s="15"/>
      <c r="SVR55" s="15"/>
      <c r="SVS55" s="15"/>
      <c r="SVT55" s="15"/>
      <c r="SVU55" s="15"/>
      <c r="SVV55" s="15"/>
      <c r="SVW55" s="15"/>
      <c r="SVX55" s="15"/>
      <c r="SVY55" s="15"/>
      <c r="SVZ55" s="15"/>
      <c r="SWA55" s="15"/>
      <c r="SWB55" s="15"/>
      <c r="SWC55" s="15"/>
      <c r="SWD55" s="15"/>
      <c r="SWE55" s="15"/>
      <c r="SWF55" s="15"/>
      <c r="SWG55" s="15"/>
      <c r="SWH55" s="15"/>
      <c r="SWI55" s="15"/>
      <c r="SWJ55" s="15"/>
      <c r="SWK55" s="15"/>
      <c r="SWL55" s="15"/>
      <c r="SWM55" s="15"/>
      <c r="SWN55" s="15"/>
      <c r="SWO55" s="15"/>
      <c r="SWP55" s="15"/>
      <c r="SWQ55" s="15"/>
      <c r="SWR55" s="15"/>
      <c r="SWS55" s="15"/>
      <c r="SWT55" s="15"/>
      <c r="SWU55" s="15"/>
      <c r="SWV55" s="15"/>
      <c r="SWW55" s="15"/>
      <c r="SWX55" s="15"/>
      <c r="SWY55" s="15"/>
      <c r="SWZ55" s="15"/>
      <c r="SXA55" s="15"/>
      <c r="SXB55" s="15"/>
      <c r="SXC55" s="15"/>
      <c r="SXD55" s="15"/>
      <c r="SXE55" s="15"/>
      <c r="SXF55" s="15"/>
      <c r="SXG55" s="15"/>
      <c r="SXH55" s="15"/>
      <c r="SXI55" s="15"/>
      <c r="SXJ55" s="15"/>
      <c r="SXK55" s="15"/>
      <c r="SXL55" s="15"/>
      <c r="SXM55" s="15"/>
      <c r="SXN55" s="15"/>
      <c r="SXO55" s="15"/>
      <c r="SXP55" s="15"/>
      <c r="SXQ55" s="15"/>
      <c r="SXR55" s="15"/>
      <c r="SXS55" s="15"/>
      <c r="SXT55" s="15"/>
      <c r="SXU55" s="15"/>
      <c r="SXV55" s="15"/>
      <c r="SXW55" s="15"/>
      <c r="SXX55" s="15"/>
      <c r="SXY55" s="15"/>
      <c r="SXZ55" s="15"/>
      <c r="SYA55" s="15"/>
      <c r="SYB55" s="15"/>
      <c r="SYC55" s="15"/>
      <c r="SYD55" s="15"/>
      <c r="SYE55" s="15"/>
      <c r="SYF55" s="15"/>
      <c r="SYG55" s="15"/>
      <c r="SYH55" s="15"/>
      <c r="SYI55" s="15"/>
      <c r="SYJ55" s="15"/>
      <c r="SYK55" s="15"/>
      <c r="SYL55" s="15"/>
      <c r="SYM55" s="15"/>
      <c r="SYN55" s="15"/>
      <c r="SYO55" s="15"/>
      <c r="SYP55" s="15"/>
      <c r="SYQ55" s="15"/>
      <c r="SYR55" s="15"/>
      <c r="SYS55" s="15"/>
      <c r="SYT55" s="15"/>
      <c r="SYU55" s="15"/>
      <c r="SYV55" s="15"/>
      <c r="SYW55" s="15"/>
      <c r="SYX55" s="15"/>
      <c r="SYY55" s="15"/>
      <c r="SYZ55" s="15"/>
      <c r="SZA55" s="15"/>
      <c r="SZB55" s="15"/>
      <c r="SZC55" s="15"/>
      <c r="SZD55" s="15"/>
      <c r="SZE55" s="15"/>
      <c r="SZF55" s="15"/>
      <c r="SZG55" s="15"/>
      <c r="SZH55" s="15"/>
      <c r="SZI55" s="15"/>
      <c r="SZJ55" s="15"/>
      <c r="SZK55" s="15"/>
      <c r="SZL55" s="15"/>
      <c r="SZM55" s="15"/>
      <c r="SZN55" s="15"/>
      <c r="SZO55" s="15"/>
      <c r="SZP55" s="15"/>
      <c r="SZQ55" s="15"/>
      <c r="SZR55" s="15"/>
      <c r="SZS55" s="15"/>
      <c r="SZT55" s="15"/>
      <c r="SZU55" s="15"/>
      <c r="SZV55" s="15"/>
      <c r="SZW55" s="15"/>
      <c r="SZX55" s="15"/>
      <c r="SZY55" s="15"/>
      <c r="SZZ55" s="15"/>
      <c r="TAA55" s="15"/>
      <c r="TAB55" s="15"/>
      <c r="TAC55" s="15"/>
      <c r="TAD55" s="15"/>
      <c r="TAE55" s="15"/>
      <c r="TAF55" s="15"/>
      <c r="TAG55" s="15"/>
      <c r="TAH55" s="15"/>
      <c r="TAI55" s="15"/>
      <c r="TAJ55" s="15"/>
      <c r="TAK55" s="15"/>
      <c r="TAL55" s="15"/>
      <c r="TAM55" s="15"/>
      <c r="TAN55" s="15"/>
      <c r="TAO55" s="15"/>
      <c r="TAP55" s="15"/>
      <c r="TAQ55" s="15"/>
      <c r="TAR55" s="15"/>
      <c r="TAS55" s="15"/>
      <c r="TAT55" s="15"/>
      <c r="TAU55" s="15"/>
      <c r="TAV55" s="15"/>
      <c r="TAW55" s="15"/>
      <c r="TAX55" s="15"/>
      <c r="TAY55" s="15"/>
      <c r="TAZ55" s="15"/>
      <c r="TBA55" s="15"/>
      <c r="TBB55" s="15"/>
      <c r="TBC55" s="15"/>
      <c r="TBD55" s="15"/>
      <c r="TBE55" s="15"/>
      <c r="TBF55" s="15"/>
      <c r="TBG55" s="15"/>
      <c r="TBH55" s="15"/>
      <c r="TBI55" s="15"/>
      <c r="TBJ55" s="15"/>
      <c r="TBK55" s="15"/>
      <c r="TBL55" s="15"/>
      <c r="TBM55" s="15"/>
      <c r="TBN55" s="15"/>
      <c r="TBO55" s="15"/>
      <c r="TBP55" s="15"/>
      <c r="TBQ55" s="15"/>
      <c r="TBR55" s="15"/>
      <c r="TBS55" s="15"/>
      <c r="TBT55" s="15"/>
      <c r="TBU55" s="15"/>
      <c r="TBV55" s="15"/>
      <c r="TBW55" s="15"/>
      <c r="TBX55" s="15"/>
      <c r="TBY55" s="15"/>
      <c r="TBZ55" s="15"/>
      <c r="TCA55" s="15"/>
      <c r="TCB55" s="15"/>
      <c r="TCC55" s="15"/>
      <c r="TCD55" s="15"/>
      <c r="TCE55" s="15"/>
      <c r="TCF55" s="15"/>
      <c r="TCG55" s="15"/>
      <c r="TCH55" s="15"/>
      <c r="TCI55" s="15"/>
      <c r="TCJ55" s="15"/>
      <c r="TCK55" s="15"/>
      <c r="TCL55" s="15"/>
      <c r="TCM55" s="15"/>
      <c r="TCN55" s="15"/>
      <c r="TCO55" s="15"/>
      <c r="TCP55" s="15"/>
      <c r="TCQ55" s="15"/>
      <c r="TCR55" s="15"/>
      <c r="TCS55" s="15"/>
      <c r="TCT55" s="15"/>
      <c r="TCU55" s="15"/>
      <c r="TCV55" s="15"/>
      <c r="TCW55" s="15"/>
      <c r="TCX55" s="15"/>
      <c r="TCY55" s="15"/>
      <c r="TCZ55" s="15"/>
      <c r="TDA55" s="15"/>
      <c r="TDB55" s="15"/>
      <c r="TDC55" s="15"/>
      <c r="TDD55" s="15"/>
      <c r="TDE55" s="15"/>
      <c r="TDF55" s="15"/>
      <c r="TDG55" s="15"/>
      <c r="TDH55" s="15"/>
      <c r="TDI55" s="15"/>
      <c r="TDJ55" s="15"/>
      <c r="TDK55" s="15"/>
      <c r="TDL55" s="15"/>
      <c r="TDM55" s="15"/>
      <c r="TDN55" s="15"/>
      <c r="TDO55" s="15"/>
      <c r="TDP55" s="15"/>
      <c r="TDQ55" s="15"/>
      <c r="TDR55" s="15"/>
      <c r="TDS55" s="15"/>
      <c r="TDT55" s="15"/>
      <c r="TDU55" s="15"/>
      <c r="TDV55" s="15"/>
      <c r="TDW55" s="15"/>
      <c r="TDX55" s="15"/>
      <c r="TDY55" s="15"/>
      <c r="TDZ55" s="15"/>
      <c r="TEA55" s="15"/>
      <c r="TEB55" s="15"/>
      <c r="TEC55" s="15"/>
      <c r="TED55" s="15"/>
      <c r="TEE55" s="15"/>
      <c r="TEF55" s="15"/>
      <c r="TEG55" s="15"/>
      <c r="TEH55" s="15"/>
      <c r="TEI55" s="15"/>
      <c r="TEJ55" s="15"/>
      <c r="TEK55" s="15"/>
      <c r="TEL55" s="15"/>
      <c r="TEM55" s="15"/>
      <c r="TEN55" s="15"/>
      <c r="TEO55" s="15"/>
      <c r="TEP55" s="15"/>
      <c r="TEQ55" s="15"/>
      <c r="TER55" s="15"/>
      <c r="TES55" s="15"/>
      <c r="TET55" s="15"/>
      <c r="TEU55" s="15"/>
      <c r="TEV55" s="15"/>
      <c r="TEW55" s="15"/>
      <c r="TEX55" s="15"/>
      <c r="TEY55" s="15"/>
      <c r="TEZ55" s="15"/>
      <c r="TFA55" s="15"/>
      <c r="TFB55" s="15"/>
      <c r="TFC55" s="15"/>
      <c r="TFD55" s="15"/>
      <c r="TFE55" s="15"/>
      <c r="TFF55" s="15"/>
      <c r="TFG55" s="15"/>
      <c r="TFH55" s="15"/>
      <c r="TFI55" s="15"/>
      <c r="TFJ55" s="15"/>
      <c r="TFK55" s="15"/>
      <c r="TFL55" s="15"/>
      <c r="TFM55" s="15"/>
      <c r="TFN55" s="15"/>
      <c r="TFO55" s="15"/>
      <c r="TFP55" s="15"/>
      <c r="TFQ55" s="15"/>
      <c r="TFR55" s="15"/>
      <c r="TFS55" s="15"/>
      <c r="TFT55" s="15"/>
      <c r="TFU55" s="15"/>
      <c r="TFV55" s="15"/>
      <c r="TFW55" s="15"/>
      <c r="TFX55" s="15"/>
      <c r="TFY55" s="15"/>
      <c r="TFZ55" s="15"/>
      <c r="TGA55" s="15"/>
      <c r="TGB55" s="15"/>
      <c r="TGC55" s="15"/>
      <c r="TGD55" s="15"/>
      <c r="TGE55" s="15"/>
      <c r="TGF55" s="15"/>
      <c r="TGG55" s="15"/>
      <c r="TGH55" s="15"/>
      <c r="TGI55" s="15"/>
      <c r="TGJ55" s="15"/>
      <c r="TGK55" s="15"/>
      <c r="TGL55" s="15"/>
      <c r="TGM55" s="15"/>
      <c r="TGN55" s="15"/>
      <c r="TGO55" s="15"/>
      <c r="TGP55" s="15"/>
      <c r="TGQ55" s="15"/>
      <c r="TGR55" s="15"/>
      <c r="TGS55" s="15"/>
      <c r="TGT55" s="15"/>
      <c r="TGU55" s="15"/>
      <c r="TGV55" s="15"/>
      <c r="TGW55" s="15"/>
      <c r="TGX55" s="15"/>
      <c r="TGY55" s="15"/>
      <c r="TGZ55" s="15"/>
      <c r="THA55" s="15"/>
      <c r="THB55" s="15"/>
      <c r="THC55" s="15"/>
      <c r="THD55" s="15"/>
      <c r="THE55" s="15"/>
      <c r="THF55" s="15"/>
      <c r="THG55" s="15"/>
      <c r="THH55" s="15"/>
      <c r="THI55" s="15"/>
      <c r="THJ55" s="15"/>
      <c r="THK55" s="15"/>
      <c r="THL55" s="15"/>
      <c r="THM55" s="15"/>
      <c r="THN55" s="15"/>
      <c r="THO55" s="15"/>
      <c r="THP55" s="15"/>
      <c r="THQ55" s="15"/>
      <c r="THR55" s="15"/>
      <c r="THS55" s="15"/>
      <c r="THT55" s="15"/>
      <c r="THU55" s="15"/>
      <c r="THV55" s="15"/>
      <c r="THW55" s="15"/>
      <c r="THX55" s="15"/>
      <c r="THY55" s="15"/>
      <c r="THZ55" s="15"/>
      <c r="TIA55" s="15"/>
      <c r="TIB55" s="15"/>
      <c r="TIC55" s="15"/>
      <c r="TID55" s="15"/>
      <c r="TIE55" s="15"/>
      <c r="TIF55" s="15"/>
      <c r="TIG55" s="15"/>
      <c r="TIH55" s="15"/>
      <c r="TII55" s="15"/>
      <c r="TIJ55" s="15"/>
      <c r="TIK55" s="15"/>
      <c r="TIL55" s="15"/>
      <c r="TIM55" s="15"/>
      <c r="TIN55" s="15"/>
      <c r="TIO55" s="15"/>
      <c r="TIP55" s="15"/>
      <c r="TIQ55" s="15"/>
      <c r="TIR55" s="15"/>
      <c r="TIS55" s="15"/>
      <c r="TIT55" s="15"/>
      <c r="TIU55" s="15"/>
      <c r="TIV55" s="15"/>
      <c r="TIW55" s="15"/>
      <c r="TIX55" s="15"/>
      <c r="TIY55" s="15"/>
      <c r="TIZ55" s="15"/>
      <c r="TJA55" s="15"/>
      <c r="TJB55" s="15"/>
      <c r="TJC55" s="15"/>
      <c r="TJD55" s="15"/>
      <c r="TJE55" s="15"/>
      <c r="TJF55" s="15"/>
      <c r="TJG55" s="15"/>
      <c r="TJH55" s="15"/>
      <c r="TJI55" s="15"/>
      <c r="TJJ55" s="15"/>
      <c r="TJK55" s="15"/>
      <c r="TJL55" s="15"/>
      <c r="TJM55" s="15"/>
      <c r="TJN55" s="15"/>
      <c r="TJO55" s="15"/>
      <c r="TJP55" s="15"/>
      <c r="TJQ55" s="15"/>
      <c r="TJR55" s="15"/>
      <c r="TJS55" s="15"/>
      <c r="TJT55" s="15"/>
      <c r="TJU55" s="15"/>
      <c r="TJV55" s="15"/>
      <c r="TJW55" s="15"/>
      <c r="TJX55" s="15"/>
      <c r="TJY55" s="15"/>
      <c r="TJZ55" s="15"/>
      <c r="TKA55" s="15"/>
      <c r="TKB55" s="15"/>
      <c r="TKC55" s="15"/>
      <c r="TKD55" s="15"/>
      <c r="TKE55" s="15"/>
      <c r="TKF55" s="15"/>
      <c r="TKG55" s="15"/>
      <c r="TKH55" s="15"/>
      <c r="TKI55" s="15"/>
      <c r="TKJ55" s="15"/>
      <c r="TKK55" s="15"/>
      <c r="TKL55" s="15"/>
      <c r="TKM55" s="15"/>
      <c r="TKN55" s="15"/>
      <c r="TKO55" s="15"/>
      <c r="TKP55" s="15"/>
      <c r="TKQ55" s="15"/>
      <c r="TKR55" s="15"/>
      <c r="TKS55" s="15"/>
      <c r="TKT55" s="15"/>
      <c r="TKU55" s="15"/>
      <c r="TKV55" s="15"/>
      <c r="TKW55" s="15"/>
      <c r="TKX55" s="15"/>
      <c r="TKY55" s="15"/>
      <c r="TKZ55" s="15"/>
      <c r="TLA55" s="15"/>
      <c r="TLB55" s="15"/>
      <c r="TLC55" s="15"/>
      <c r="TLD55" s="15"/>
      <c r="TLE55" s="15"/>
      <c r="TLF55" s="15"/>
      <c r="TLG55" s="15"/>
      <c r="TLH55" s="15"/>
      <c r="TLI55" s="15"/>
      <c r="TLJ55" s="15"/>
      <c r="TLK55" s="15"/>
      <c r="TLL55" s="15"/>
      <c r="TLM55" s="15"/>
      <c r="TLN55" s="15"/>
      <c r="TLO55" s="15"/>
      <c r="TLP55" s="15"/>
      <c r="TLQ55" s="15"/>
      <c r="TLR55" s="15"/>
      <c r="TLS55" s="15"/>
      <c r="TLT55" s="15"/>
      <c r="TLU55" s="15"/>
      <c r="TLV55" s="15"/>
      <c r="TLW55" s="15"/>
      <c r="TLX55" s="15"/>
      <c r="TLY55" s="15"/>
      <c r="TLZ55" s="15"/>
      <c r="TMA55" s="15"/>
      <c r="TMB55" s="15"/>
      <c r="TMC55" s="15"/>
      <c r="TMD55" s="15"/>
      <c r="TME55" s="15"/>
      <c r="TMF55" s="15"/>
      <c r="TMG55" s="15"/>
      <c r="TMH55" s="15"/>
      <c r="TMI55" s="15"/>
      <c r="TMJ55" s="15"/>
      <c r="TMK55" s="15"/>
      <c r="TML55" s="15"/>
      <c r="TMM55" s="15"/>
      <c r="TMN55" s="15"/>
      <c r="TMO55" s="15"/>
      <c r="TMP55" s="15"/>
      <c r="TMQ55" s="15"/>
      <c r="TMR55" s="15"/>
      <c r="TMS55" s="15"/>
      <c r="TMT55" s="15"/>
      <c r="TMU55" s="15"/>
      <c r="TMV55" s="15"/>
      <c r="TMW55" s="15"/>
      <c r="TMX55" s="15"/>
      <c r="TMY55" s="15"/>
      <c r="TMZ55" s="15"/>
      <c r="TNA55" s="15"/>
      <c r="TNB55" s="15"/>
      <c r="TNC55" s="15"/>
      <c r="TND55" s="15"/>
      <c r="TNE55" s="15"/>
      <c r="TNF55" s="15"/>
      <c r="TNG55" s="15"/>
      <c r="TNH55" s="15"/>
      <c r="TNI55" s="15"/>
      <c r="TNJ55" s="15"/>
      <c r="TNK55" s="15"/>
      <c r="TNL55" s="15"/>
      <c r="TNM55" s="15"/>
      <c r="TNN55" s="15"/>
      <c r="TNO55" s="15"/>
      <c r="TNP55" s="15"/>
      <c r="TNQ55" s="15"/>
      <c r="TNR55" s="15"/>
      <c r="TNS55" s="15"/>
      <c r="TNT55" s="15"/>
      <c r="TNU55" s="15"/>
      <c r="TNV55" s="15"/>
      <c r="TNW55" s="15"/>
      <c r="TNX55" s="15"/>
      <c r="TNY55" s="15"/>
      <c r="TNZ55" s="15"/>
      <c r="TOA55" s="15"/>
      <c r="TOB55" s="15"/>
      <c r="TOC55" s="15"/>
      <c r="TOD55" s="15"/>
      <c r="TOE55" s="15"/>
      <c r="TOF55" s="15"/>
      <c r="TOG55" s="15"/>
      <c r="TOH55" s="15"/>
      <c r="TOI55" s="15"/>
      <c r="TOJ55" s="15"/>
      <c r="TOK55" s="15"/>
      <c r="TOL55" s="15"/>
      <c r="TOM55" s="15"/>
      <c r="TON55" s="15"/>
      <c r="TOO55" s="15"/>
      <c r="TOP55" s="15"/>
      <c r="TOQ55" s="15"/>
      <c r="TOR55" s="15"/>
      <c r="TOS55" s="15"/>
      <c r="TOT55" s="15"/>
      <c r="TOU55" s="15"/>
      <c r="TOV55" s="15"/>
      <c r="TOW55" s="15"/>
      <c r="TOX55" s="15"/>
      <c r="TOY55" s="15"/>
      <c r="TOZ55" s="15"/>
      <c r="TPA55" s="15"/>
      <c r="TPB55" s="15"/>
      <c r="TPC55" s="15"/>
      <c r="TPD55" s="15"/>
      <c r="TPE55" s="15"/>
      <c r="TPF55" s="15"/>
      <c r="TPG55" s="15"/>
      <c r="TPH55" s="15"/>
      <c r="TPI55" s="15"/>
      <c r="TPJ55" s="15"/>
      <c r="TPK55" s="15"/>
      <c r="TPL55" s="15"/>
      <c r="TPM55" s="15"/>
      <c r="TPN55" s="15"/>
      <c r="TPO55" s="15"/>
      <c r="TPP55" s="15"/>
      <c r="TPQ55" s="15"/>
      <c r="TPR55" s="15"/>
      <c r="TPS55" s="15"/>
      <c r="TPT55" s="15"/>
      <c r="TPU55" s="15"/>
      <c r="TPV55" s="15"/>
      <c r="TPW55" s="15"/>
      <c r="TPX55" s="15"/>
      <c r="TPY55" s="15"/>
      <c r="TPZ55" s="15"/>
      <c r="TQA55" s="15"/>
      <c r="TQB55" s="15"/>
      <c r="TQC55" s="15"/>
      <c r="TQD55" s="15"/>
      <c r="TQE55" s="15"/>
      <c r="TQF55" s="15"/>
      <c r="TQG55" s="15"/>
      <c r="TQH55" s="15"/>
      <c r="TQI55" s="15"/>
      <c r="TQJ55" s="15"/>
      <c r="TQK55" s="15"/>
      <c r="TQL55" s="15"/>
      <c r="TQM55" s="15"/>
      <c r="TQN55" s="15"/>
      <c r="TQO55" s="15"/>
      <c r="TQP55" s="15"/>
      <c r="TQQ55" s="15"/>
      <c r="TQR55" s="15"/>
      <c r="TQS55" s="15"/>
      <c r="TQT55" s="15"/>
      <c r="TQU55" s="15"/>
      <c r="TQV55" s="15"/>
      <c r="TQW55" s="15"/>
      <c r="TQX55" s="15"/>
      <c r="TQY55" s="15"/>
      <c r="TQZ55" s="15"/>
      <c r="TRA55" s="15"/>
      <c r="TRB55" s="15"/>
      <c r="TRC55" s="15"/>
      <c r="TRD55" s="15"/>
      <c r="TRE55" s="15"/>
      <c r="TRF55" s="15"/>
      <c r="TRG55" s="15"/>
      <c r="TRH55" s="15"/>
      <c r="TRI55" s="15"/>
      <c r="TRJ55" s="15"/>
      <c r="TRK55" s="15"/>
      <c r="TRL55" s="15"/>
      <c r="TRM55" s="15"/>
      <c r="TRN55" s="15"/>
      <c r="TRO55" s="15"/>
      <c r="TRP55" s="15"/>
      <c r="TRQ55" s="15"/>
      <c r="TRR55" s="15"/>
      <c r="TRS55" s="15"/>
      <c r="TRT55" s="15"/>
      <c r="TRU55" s="15"/>
      <c r="TRV55" s="15"/>
      <c r="TRW55" s="15"/>
      <c r="TRX55" s="15"/>
      <c r="TRY55" s="15"/>
      <c r="TRZ55" s="15"/>
      <c r="TSA55" s="15"/>
      <c r="TSB55" s="15"/>
      <c r="TSC55" s="15"/>
      <c r="TSD55" s="15"/>
      <c r="TSE55" s="15"/>
      <c r="TSF55" s="15"/>
      <c r="TSG55" s="15"/>
      <c r="TSH55" s="15"/>
      <c r="TSI55" s="15"/>
      <c r="TSJ55" s="15"/>
      <c r="TSK55" s="15"/>
      <c r="TSL55" s="15"/>
      <c r="TSM55" s="15"/>
      <c r="TSN55" s="15"/>
      <c r="TSO55" s="15"/>
      <c r="TSP55" s="15"/>
      <c r="TSQ55" s="15"/>
      <c r="TSR55" s="15"/>
      <c r="TSS55" s="15"/>
      <c r="TST55" s="15"/>
      <c r="TSU55" s="15"/>
      <c r="TSV55" s="15"/>
      <c r="TSW55" s="15"/>
      <c r="TSX55" s="15"/>
      <c r="TSY55" s="15"/>
      <c r="TSZ55" s="15"/>
      <c r="TTA55" s="15"/>
      <c r="TTB55" s="15"/>
      <c r="TTC55" s="15"/>
      <c r="TTD55" s="15"/>
      <c r="TTE55" s="15"/>
      <c r="TTF55" s="15"/>
      <c r="TTG55" s="15"/>
      <c r="TTH55" s="15"/>
      <c r="TTI55" s="15"/>
      <c r="TTJ55" s="15"/>
      <c r="TTK55" s="15"/>
      <c r="TTL55" s="15"/>
      <c r="TTM55" s="15"/>
      <c r="TTN55" s="15"/>
      <c r="TTO55" s="15"/>
      <c r="TTP55" s="15"/>
      <c r="TTQ55" s="15"/>
      <c r="TTR55" s="15"/>
      <c r="TTS55" s="15"/>
      <c r="TTT55" s="15"/>
      <c r="TTU55" s="15"/>
      <c r="TTV55" s="15"/>
      <c r="TTW55" s="15"/>
      <c r="TTX55" s="15"/>
      <c r="TTY55" s="15"/>
      <c r="TTZ55" s="15"/>
      <c r="TUA55" s="15"/>
      <c r="TUB55" s="15"/>
      <c r="TUC55" s="15"/>
      <c r="TUD55" s="15"/>
      <c r="TUE55" s="15"/>
      <c r="TUF55" s="15"/>
      <c r="TUG55" s="15"/>
      <c r="TUH55" s="15"/>
      <c r="TUI55" s="15"/>
      <c r="TUJ55" s="15"/>
      <c r="TUK55" s="15"/>
      <c r="TUL55" s="15"/>
      <c r="TUM55" s="15"/>
      <c r="TUN55" s="15"/>
      <c r="TUO55" s="15"/>
      <c r="TUP55" s="15"/>
      <c r="TUQ55" s="15"/>
      <c r="TUR55" s="15"/>
      <c r="TUS55" s="15"/>
      <c r="TUT55" s="15"/>
      <c r="TUU55" s="15"/>
      <c r="TUV55" s="15"/>
      <c r="TUW55" s="15"/>
      <c r="TUX55" s="15"/>
      <c r="TUY55" s="15"/>
      <c r="TUZ55" s="15"/>
      <c r="TVA55" s="15"/>
      <c r="TVB55" s="15"/>
      <c r="TVC55" s="15"/>
      <c r="TVD55" s="15"/>
      <c r="TVE55" s="15"/>
      <c r="TVF55" s="15"/>
      <c r="TVG55" s="15"/>
      <c r="TVH55" s="15"/>
      <c r="TVI55" s="15"/>
      <c r="TVJ55" s="15"/>
      <c r="TVK55" s="15"/>
      <c r="TVL55" s="15"/>
      <c r="TVM55" s="15"/>
      <c r="TVN55" s="15"/>
      <c r="TVO55" s="15"/>
      <c r="TVP55" s="15"/>
      <c r="TVQ55" s="15"/>
      <c r="TVR55" s="15"/>
      <c r="TVS55" s="15"/>
      <c r="TVT55" s="15"/>
      <c r="TVU55" s="15"/>
      <c r="TVV55" s="15"/>
      <c r="TVW55" s="15"/>
      <c r="TVX55" s="15"/>
      <c r="TVY55" s="15"/>
      <c r="TVZ55" s="15"/>
      <c r="TWA55" s="15"/>
      <c r="TWB55" s="15"/>
      <c r="TWC55" s="15"/>
      <c r="TWD55" s="15"/>
      <c r="TWE55" s="15"/>
      <c r="TWF55" s="15"/>
      <c r="TWG55" s="15"/>
      <c r="TWH55" s="15"/>
      <c r="TWI55" s="15"/>
      <c r="TWJ55" s="15"/>
      <c r="TWK55" s="15"/>
      <c r="TWL55" s="15"/>
      <c r="TWM55" s="15"/>
      <c r="TWN55" s="15"/>
      <c r="TWO55" s="15"/>
      <c r="TWP55" s="15"/>
      <c r="TWQ55" s="15"/>
      <c r="TWR55" s="15"/>
      <c r="TWS55" s="15"/>
      <c r="TWT55" s="15"/>
      <c r="TWU55" s="15"/>
      <c r="TWV55" s="15"/>
      <c r="TWW55" s="15"/>
      <c r="TWX55" s="15"/>
      <c r="TWY55" s="15"/>
      <c r="TWZ55" s="15"/>
      <c r="TXA55" s="15"/>
      <c r="TXB55" s="15"/>
      <c r="TXC55" s="15"/>
      <c r="TXD55" s="15"/>
      <c r="TXE55" s="15"/>
      <c r="TXF55" s="15"/>
      <c r="TXG55" s="15"/>
      <c r="TXH55" s="15"/>
      <c r="TXI55" s="15"/>
      <c r="TXJ55" s="15"/>
      <c r="TXK55" s="15"/>
      <c r="TXL55" s="15"/>
      <c r="TXM55" s="15"/>
      <c r="TXN55" s="15"/>
      <c r="TXO55" s="15"/>
      <c r="TXP55" s="15"/>
      <c r="TXQ55" s="15"/>
      <c r="TXR55" s="15"/>
      <c r="TXS55" s="15"/>
      <c r="TXT55" s="15"/>
      <c r="TXU55" s="15"/>
      <c r="TXV55" s="15"/>
      <c r="TXW55" s="15"/>
      <c r="TXX55" s="15"/>
      <c r="TXY55" s="15"/>
      <c r="TXZ55" s="15"/>
      <c r="TYA55" s="15"/>
      <c r="TYB55" s="15"/>
      <c r="TYC55" s="15"/>
      <c r="TYD55" s="15"/>
      <c r="TYE55" s="15"/>
      <c r="TYF55" s="15"/>
      <c r="TYG55" s="15"/>
      <c r="TYH55" s="15"/>
      <c r="TYI55" s="15"/>
      <c r="TYJ55" s="15"/>
      <c r="TYK55" s="15"/>
      <c r="TYL55" s="15"/>
      <c r="TYM55" s="15"/>
      <c r="TYN55" s="15"/>
      <c r="TYO55" s="15"/>
      <c r="TYP55" s="15"/>
      <c r="TYQ55" s="15"/>
      <c r="TYR55" s="15"/>
      <c r="TYS55" s="15"/>
      <c r="TYT55" s="15"/>
      <c r="TYU55" s="15"/>
      <c r="TYV55" s="15"/>
      <c r="TYW55" s="15"/>
      <c r="TYX55" s="15"/>
      <c r="TYY55" s="15"/>
      <c r="TYZ55" s="15"/>
      <c r="TZA55" s="15"/>
      <c r="TZB55" s="15"/>
      <c r="TZC55" s="15"/>
      <c r="TZD55" s="15"/>
      <c r="TZE55" s="15"/>
      <c r="TZF55" s="15"/>
      <c r="TZG55" s="15"/>
      <c r="TZH55" s="15"/>
      <c r="TZI55" s="15"/>
      <c r="TZJ55" s="15"/>
      <c r="TZK55" s="15"/>
      <c r="TZL55" s="15"/>
      <c r="TZM55" s="15"/>
      <c r="TZN55" s="15"/>
      <c r="TZO55" s="15"/>
      <c r="TZP55" s="15"/>
      <c r="TZQ55" s="15"/>
      <c r="TZR55" s="15"/>
      <c r="TZS55" s="15"/>
      <c r="TZT55" s="15"/>
      <c r="TZU55" s="15"/>
      <c r="TZV55" s="15"/>
      <c r="TZW55" s="15"/>
      <c r="TZX55" s="15"/>
      <c r="TZY55" s="15"/>
      <c r="TZZ55" s="15"/>
      <c r="UAA55" s="15"/>
      <c r="UAB55" s="15"/>
      <c r="UAC55" s="15"/>
      <c r="UAD55" s="15"/>
      <c r="UAE55" s="15"/>
      <c r="UAF55" s="15"/>
      <c r="UAG55" s="15"/>
      <c r="UAH55" s="15"/>
      <c r="UAI55" s="15"/>
      <c r="UAJ55" s="15"/>
      <c r="UAK55" s="15"/>
      <c r="UAL55" s="15"/>
      <c r="UAM55" s="15"/>
      <c r="UAN55" s="15"/>
      <c r="UAO55" s="15"/>
      <c r="UAP55" s="15"/>
      <c r="UAQ55" s="15"/>
      <c r="UAR55" s="15"/>
      <c r="UAS55" s="15"/>
      <c r="UAT55" s="15"/>
      <c r="UAU55" s="15"/>
      <c r="UAV55" s="15"/>
      <c r="UAW55" s="15"/>
      <c r="UAX55" s="15"/>
      <c r="UAY55" s="15"/>
      <c r="UAZ55" s="15"/>
      <c r="UBA55" s="15"/>
      <c r="UBB55" s="15"/>
      <c r="UBC55" s="15"/>
      <c r="UBD55" s="15"/>
      <c r="UBE55" s="15"/>
      <c r="UBF55" s="15"/>
      <c r="UBG55" s="15"/>
      <c r="UBH55" s="15"/>
      <c r="UBI55" s="15"/>
      <c r="UBJ55" s="15"/>
      <c r="UBK55" s="15"/>
      <c r="UBL55" s="15"/>
      <c r="UBM55" s="15"/>
      <c r="UBN55" s="15"/>
      <c r="UBO55" s="15"/>
      <c r="UBP55" s="15"/>
      <c r="UBQ55" s="15"/>
      <c r="UBR55" s="15"/>
      <c r="UBS55" s="15"/>
      <c r="UBT55" s="15"/>
      <c r="UBU55" s="15"/>
      <c r="UBV55" s="15"/>
      <c r="UBW55" s="15"/>
      <c r="UBX55" s="15"/>
      <c r="UBY55" s="15"/>
      <c r="UBZ55" s="15"/>
      <c r="UCA55" s="15"/>
      <c r="UCB55" s="15"/>
      <c r="UCC55" s="15"/>
      <c r="UCD55" s="15"/>
      <c r="UCE55" s="15"/>
      <c r="UCF55" s="15"/>
      <c r="UCG55" s="15"/>
      <c r="UCH55" s="15"/>
      <c r="UCI55" s="15"/>
      <c r="UCJ55" s="15"/>
      <c r="UCK55" s="15"/>
      <c r="UCL55" s="15"/>
      <c r="UCM55" s="15"/>
      <c r="UCN55" s="15"/>
      <c r="UCO55" s="15"/>
      <c r="UCP55" s="15"/>
      <c r="UCQ55" s="15"/>
      <c r="UCR55" s="15"/>
      <c r="UCS55" s="15"/>
      <c r="UCT55" s="15"/>
      <c r="UCU55" s="15"/>
      <c r="UCV55" s="15"/>
      <c r="UCW55" s="15"/>
      <c r="UCX55" s="15"/>
      <c r="UCY55" s="15"/>
      <c r="UCZ55" s="15"/>
      <c r="UDA55" s="15"/>
      <c r="UDB55" s="15"/>
      <c r="UDC55" s="15"/>
      <c r="UDD55" s="15"/>
      <c r="UDE55" s="15"/>
      <c r="UDF55" s="15"/>
      <c r="UDG55" s="15"/>
      <c r="UDH55" s="15"/>
      <c r="UDI55" s="15"/>
      <c r="UDJ55" s="15"/>
      <c r="UDK55" s="15"/>
      <c r="UDL55" s="15"/>
      <c r="UDM55" s="15"/>
      <c r="UDN55" s="15"/>
      <c r="UDO55" s="15"/>
      <c r="UDP55" s="15"/>
      <c r="UDQ55" s="15"/>
      <c r="UDR55" s="15"/>
      <c r="UDS55" s="15"/>
      <c r="UDT55" s="15"/>
      <c r="UDU55" s="15"/>
      <c r="UDV55" s="15"/>
      <c r="UDW55" s="15"/>
      <c r="UDX55" s="15"/>
      <c r="UDY55" s="15"/>
      <c r="UDZ55" s="15"/>
      <c r="UEA55" s="15"/>
      <c r="UEB55" s="15"/>
      <c r="UEC55" s="15"/>
      <c r="UED55" s="15"/>
      <c r="UEE55" s="15"/>
      <c r="UEF55" s="15"/>
      <c r="UEG55" s="15"/>
      <c r="UEH55" s="15"/>
      <c r="UEI55" s="15"/>
      <c r="UEJ55" s="15"/>
      <c r="UEK55" s="15"/>
      <c r="UEL55" s="15"/>
      <c r="UEM55" s="15"/>
      <c r="UEN55" s="15"/>
      <c r="UEO55" s="15"/>
      <c r="UEP55" s="15"/>
      <c r="UEQ55" s="15"/>
      <c r="UER55" s="15"/>
      <c r="UES55" s="15"/>
      <c r="UET55" s="15"/>
      <c r="UEU55" s="15"/>
      <c r="UEV55" s="15"/>
      <c r="UEW55" s="15"/>
      <c r="UEX55" s="15"/>
      <c r="UEY55" s="15"/>
      <c r="UEZ55" s="15"/>
      <c r="UFA55" s="15"/>
      <c r="UFB55" s="15"/>
      <c r="UFC55" s="15"/>
      <c r="UFD55" s="15"/>
      <c r="UFE55" s="15"/>
      <c r="UFF55" s="15"/>
      <c r="UFG55" s="15"/>
      <c r="UFH55" s="15"/>
      <c r="UFI55" s="15"/>
      <c r="UFJ55" s="15"/>
      <c r="UFK55" s="15"/>
      <c r="UFL55" s="15"/>
      <c r="UFM55" s="15"/>
      <c r="UFN55" s="15"/>
      <c r="UFO55" s="15"/>
      <c r="UFP55" s="15"/>
      <c r="UFQ55" s="15"/>
      <c r="UFR55" s="15"/>
      <c r="UFS55" s="15"/>
      <c r="UFT55" s="15"/>
      <c r="UFU55" s="15"/>
      <c r="UFV55" s="15"/>
      <c r="UFW55" s="15"/>
      <c r="UFX55" s="15"/>
      <c r="UFY55" s="15"/>
      <c r="UFZ55" s="15"/>
      <c r="UGA55" s="15"/>
      <c r="UGB55" s="15"/>
      <c r="UGC55" s="15"/>
      <c r="UGD55" s="15"/>
      <c r="UGE55" s="15"/>
      <c r="UGF55" s="15"/>
      <c r="UGG55" s="15"/>
      <c r="UGH55" s="15"/>
      <c r="UGI55" s="15"/>
      <c r="UGJ55" s="15"/>
      <c r="UGK55" s="15"/>
      <c r="UGL55" s="15"/>
      <c r="UGM55" s="15"/>
      <c r="UGN55" s="15"/>
      <c r="UGO55" s="15"/>
      <c r="UGP55" s="15"/>
      <c r="UGQ55" s="15"/>
      <c r="UGR55" s="15"/>
      <c r="UGS55" s="15"/>
      <c r="UGT55" s="15"/>
      <c r="UGU55" s="15"/>
      <c r="UGV55" s="15"/>
      <c r="UGW55" s="15"/>
      <c r="UGX55" s="15"/>
      <c r="UGY55" s="15"/>
      <c r="UGZ55" s="15"/>
      <c r="UHA55" s="15"/>
      <c r="UHB55" s="15"/>
      <c r="UHC55" s="15"/>
      <c r="UHD55" s="15"/>
      <c r="UHE55" s="15"/>
      <c r="UHF55" s="15"/>
      <c r="UHG55" s="15"/>
      <c r="UHH55" s="15"/>
      <c r="UHI55" s="15"/>
      <c r="UHJ55" s="15"/>
      <c r="UHK55" s="15"/>
      <c r="UHL55" s="15"/>
      <c r="UHM55" s="15"/>
      <c r="UHN55" s="15"/>
      <c r="UHO55" s="15"/>
      <c r="UHP55" s="15"/>
      <c r="UHQ55" s="15"/>
      <c r="UHR55" s="15"/>
      <c r="UHS55" s="15"/>
      <c r="UHT55" s="15"/>
      <c r="UHU55" s="15"/>
      <c r="UHV55" s="15"/>
      <c r="UHW55" s="15"/>
      <c r="UHX55" s="15"/>
      <c r="UHY55" s="15"/>
      <c r="UHZ55" s="15"/>
      <c r="UIA55" s="15"/>
      <c r="UIB55" s="15"/>
      <c r="UIC55" s="15"/>
      <c r="UID55" s="15"/>
      <c r="UIE55" s="15"/>
      <c r="UIF55" s="15"/>
      <c r="UIG55" s="15"/>
      <c r="UIH55" s="15"/>
      <c r="UII55" s="15"/>
      <c r="UIJ55" s="15"/>
      <c r="UIK55" s="15"/>
      <c r="UIL55" s="15"/>
      <c r="UIM55" s="15"/>
      <c r="UIN55" s="15"/>
      <c r="UIO55" s="15"/>
      <c r="UIP55" s="15"/>
      <c r="UIQ55" s="15"/>
      <c r="UIR55" s="15"/>
      <c r="UIS55" s="15"/>
      <c r="UIT55" s="15"/>
      <c r="UIU55" s="15"/>
      <c r="UIV55" s="15"/>
      <c r="UIW55" s="15"/>
      <c r="UIX55" s="15"/>
      <c r="UIY55" s="15"/>
      <c r="UIZ55" s="15"/>
      <c r="UJA55" s="15"/>
      <c r="UJB55" s="15"/>
      <c r="UJC55" s="15"/>
      <c r="UJD55" s="15"/>
      <c r="UJE55" s="15"/>
      <c r="UJF55" s="15"/>
      <c r="UJG55" s="15"/>
      <c r="UJH55" s="15"/>
      <c r="UJI55" s="15"/>
      <c r="UJJ55" s="15"/>
      <c r="UJK55" s="15"/>
      <c r="UJL55" s="15"/>
      <c r="UJM55" s="15"/>
      <c r="UJN55" s="15"/>
      <c r="UJO55" s="15"/>
      <c r="UJP55" s="15"/>
      <c r="UJQ55" s="15"/>
      <c r="UJR55" s="15"/>
      <c r="UJS55" s="15"/>
      <c r="UJT55" s="15"/>
      <c r="UJU55" s="15"/>
      <c r="UJV55" s="15"/>
      <c r="UJW55" s="15"/>
      <c r="UJX55" s="15"/>
      <c r="UJY55" s="15"/>
      <c r="UJZ55" s="15"/>
      <c r="UKA55" s="15"/>
      <c r="UKB55" s="15"/>
      <c r="UKC55" s="15"/>
      <c r="UKD55" s="15"/>
      <c r="UKE55" s="15"/>
      <c r="UKF55" s="15"/>
      <c r="UKG55" s="15"/>
      <c r="UKH55" s="15"/>
      <c r="UKI55" s="15"/>
      <c r="UKJ55" s="15"/>
      <c r="UKK55" s="15"/>
      <c r="UKL55" s="15"/>
      <c r="UKM55" s="15"/>
      <c r="UKN55" s="15"/>
      <c r="UKO55" s="15"/>
      <c r="UKP55" s="15"/>
      <c r="UKQ55" s="15"/>
      <c r="UKR55" s="15"/>
      <c r="UKS55" s="15"/>
      <c r="UKT55" s="15"/>
      <c r="UKU55" s="15"/>
      <c r="UKV55" s="15"/>
      <c r="UKW55" s="15"/>
      <c r="UKX55" s="15"/>
      <c r="UKY55" s="15"/>
      <c r="UKZ55" s="15"/>
      <c r="ULA55" s="15"/>
      <c r="ULB55" s="15"/>
      <c r="ULC55" s="15"/>
      <c r="ULD55" s="15"/>
      <c r="ULE55" s="15"/>
      <c r="ULF55" s="15"/>
      <c r="ULG55" s="15"/>
      <c r="ULH55" s="15"/>
      <c r="ULI55" s="15"/>
      <c r="ULJ55" s="15"/>
      <c r="ULK55" s="15"/>
      <c r="ULL55" s="15"/>
      <c r="ULM55" s="15"/>
      <c r="ULN55" s="15"/>
      <c r="ULO55" s="15"/>
      <c r="ULP55" s="15"/>
      <c r="ULQ55" s="15"/>
      <c r="ULR55" s="15"/>
      <c r="ULS55" s="15"/>
      <c r="ULT55" s="15"/>
      <c r="ULU55" s="15"/>
      <c r="ULV55" s="15"/>
      <c r="ULW55" s="15"/>
      <c r="ULX55" s="15"/>
      <c r="ULY55" s="15"/>
      <c r="ULZ55" s="15"/>
      <c r="UMA55" s="15"/>
      <c r="UMB55" s="15"/>
      <c r="UMC55" s="15"/>
      <c r="UMD55" s="15"/>
      <c r="UME55" s="15"/>
      <c r="UMF55" s="15"/>
      <c r="UMG55" s="15"/>
      <c r="UMH55" s="15"/>
      <c r="UMI55" s="15"/>
      <c r="UMJ55" s="15"/>
      <c r="UMK55" s="15"/>
      <c r="UML55" s="15"/>
      <c r="UMM55" s="15"/>
      <c r="UMN55" s="15"/>
      <c r="UMO55" s="15"/>
      <c r="UMP55" s="15"/>
      <c r="UMQ55" s="15"/>
      <c r="UMR55" s="15"/>
      <c r="UMS55" s="15"/>
      <c r="UMT55" s="15"/>
      <c r="UMU55" s="15"/>
      <c r="UMV55" s="15"/>
      <c r="UMW55" s="15"/>
      <c r="UMX55" s="15"/>
      <c r="UMY55" s="15"/>
      <c r="UMZ55" s="15"/>
      <c r="UNA55" s="15"/>
      <c r="UNB55" s="15"/>
      <c r="UNC55" s="15"/>
      <c r="UND55" s="15"/>
      <c r="UNE55" s="15"/>
      <c r="UNF55" s="15"/>
      <c r="UNG55" s="15"/>
      <c r="UNH55" s="15"/>
      <c r="UNI55" s="15"/>
      <c r="UNJ55" s="15"/>
      <c r="UNK55" s="15"/>
      <c r="UNL55" s="15"/>
      <c r="UNM55" s="15"/>
      <c r="UNN55" s="15"/>
      <c r="UNO55" s="15"/>
      <c r="UNP55" s="15"/>
      <c r="UNQ55" s="15"/>
      <c r="UNR55" s="15"/>
      <c r="UNS55" s="15"/>
      <c r="UNT55" s="15"/>
      <c r="UNU55" s="15"/>
      <c r="UNV55" s="15"/>
      <c r="UNW55" s="15"/>
      <c r="UNX55" s="15"/>
      <c r="UNY55" s="15"/>
      <c r="UNZ55" s="15"/>
      <c r="UOA55" s="15"/>
      <c r="UOB55" s="15"/>
      <c r="UOC55" s="15"/>
      <c r="UOD55" s="15"/>
      <c r="UOE55" s="15"/>
      <c r="UOF55" s="15"/>
      <c r="UOG55" s="15"/>
      <c r="UOH55" s="15"/>
      <c r="UOI55" s="15"/>
      <c r="UOJ55" s="15"/>
      <c r="UOK55" s="15"/>
      <c r="UOL55" s="15"/>
      <c r="UOM55" s="15"/>
      <c r="UON55" s="15"/>
      <c r="UOO55" s="15"/>
      <c r="UOP55" s="15"/>
      <c r="UOQ55" s="15"/>
      <c r="UOR55" s="15"/>
      <c r="UOS55" s="15"/>
      <c r="UOT55" s="15"/>
      <c r="UOU55" s="15"/>
      <c r="UOV55" s="15"/>
      <c r="UOW55" s="15"/>
      <c r="UOX55" s="15"/>
      <c r="UOY55" s="15"/>
      <c r="UOZ55" s="15"/>
      <c r="UPA55" s="15"/>
      <c r="UPB55" s="15"/>
      <c r="UPC55" s="15"/>
      <c r="UPD55" s="15"/>
      <c r="UPE55" s="15"/>
      <c r="UPF55" s="15"/>
      <c r="UPG55" s="15"/>
      <c r="UPH55" s="15"/>
      <c r="UPI55" s="15"/>
      <c r="UPJ55" s="15"/>
      <c r="UPK55" s="15"/>
      <c r="UPL55" s="15"/>
      <c r="UPM55" s="15"/>
      <c r="UPN55" s="15"/>
      <c r="UPO55" s="15"/>
      <c r="UPP55" s="15"/>
      <c r="UPQ55" s="15"/>
      <c r="UPR55" s="15"/>
      <c r="UPS55" s="15"/>
      <c r="UPT55" s="15"/>
      <c r="UPU55" s="15"/>
      <c r="UPV55" s="15"/>
      <c r="UPW55" s="15"/>
      <c r="UPX55" s="15"/>
      <c r="UPY55" s="15"/>
      <c r="UPZ55" s="15"/>
      <c r="UQA55" s="15"/>
      <c r="UQB55" s="15"/>
      <c r="UQC55" s="15"/>
      <c r="UQD55" s="15"/>
      <c r="UQE55" s="15"/>
      <c r="UQF55" s="15"/>
      <c r="UQG55" s="15"/>
      <c r="UQH55" s="15"/>
      <c r="UQI55" s="15"/>
      <c r="UQJ55" s="15"/>
      <c r="UQK55" s="15"/>
      <c r="UQL55" s="15"/>
      <c r="UQM55" s="15"/>
      <c r="UQN55" s="15"/>
      <c r="UQO55" s="15"/>
      <c r="UQP55" s="15"/>
      <c r="UQQ55" s="15"/>
      <c r="UQR55" s="15"/>
      <c r="UQS55" s="15"/>
      <c r="UQT55" s="15"/>
      <c r="UQU55" s="15"/>
      <c r="UQV55" s="15"/>
      <c r="UQW55" s="15"/>
      <c r="UQX55" s="15"/>
      <c r="UQY55" s="15"/>
      <c r="UQZ55" s="15"/>
      <c r="URA55" s="15"/>
      <c r="URB55" s="15"/>
      <c r="URC55" s="15"/>
      <c r="URD55" s="15"/>
      <c r="URE55" s="15"/>
      <c r="URF55" s="15"/>
      <c r="URG55" s="15"/>
      <c r="URH55" s="15"/>
      <c r="URI55" s="15"/>
      <c r="URJ55" s="15"/>
      <c r="URK55" s="15"/>
      <c r="URL55" s="15"/>
      <c r="URM55" s="15"/>
      <c r="URN55" s="15"/>
      <c r="URO55" s="15"/>
      <c r="URP55" s="15"/>
      <c r="URQ55" s="15"/>
      <c r="URR55" s="15"/>
      <c r="URS55" s="15"/>
      <c r="URT55" s="15"/>
      <c r="URU55" s="15"/>
      <c r="URV55" s="15"/>
      <c r="URW55" s="15"/>
      <c r="URX55" s="15"/>
      <c r="URY55" s="15"/>
      <c r="URZ55" s="15"/>
      <c r="USA55" s="15"/>
      <c r="USB55" s="15"/>
      <c r="USC55" s="15"/>
      <c r="USD55" s="15"/>
      <c r="USE55" s="15"/>
      <c r="USF55" s="15"/>
      <c r="USG55" s="15"/>
      <c r="USH55" s="15"/>
      <c r="USI55" s="15"/>
      <c r="USJ55" s="15"/>
      <c r="USK55" s="15"/>
      <c r="USL55" s="15"/>
      <c r="USM55" s="15"/>
      <c r="USN55" s="15"/>
      <c r="USO55" s="15"/>
      <c r="USP55" s="15"/>
      <c r="USQ55" s="15"/>
      <c r="USR55" s="15"/>
      <c r="USS55" s="15"/>
      <c r="UST55" s="15"/>
      <c r="USU55" s="15"/>
      <c r="USV55" s="15"/>
      <c r="USW55" s="15"/>
      <c r="USX55" s="15"/>
      <c r="USY55" s="15"/>
      <c r="USZ55" s="15"/>
      <c r="UTA55" s="15"/>
      <c r="UTB55" s="15"/>
      <c r="UTC55" s="15"/>
      <c r="UTD55" s="15"/>
      <c r="UTE55" s="15"/>
      <c r="UTF55" s="15"/>
      <c r="UTG55" s="15"/>
      <c r="UTH55" s="15"/>
      <c r="UTI55" s="15"/>
      <c r="UTJ55" s="15"/>
      <c r="UTK55" s="15"/>
      <c r="UTL55" s="15"/>
      <c r="UTM55" s="15"/>
      <c r="UTN55" s="15"/>
      <c r="UTO55" s="15"/>
      <c r="UTP55" s="15"/>
      <c r="UTQ55" s="15"/>
      <c r="UTR55" s="15"/>
      <c r="UTS55" s="15"/>
      <c r="UTT55" s="15"/>
      <c r="UTU55" s="15"/>
      <c r="UTV55" s="15"/>
      <c r="UTW55" s="15"/>
      <c r="UTX55" s="15"/>
      <c r="UTY55" s="15"/>
      <c r="UTZ55" s="15"/>
      <c r="UUA55" s="15"/>
      <c r="UUB55" s="15"/>
      <c r="UUC55" s="15"/>
      <c r="UUD55" s="15"/>
      <c r="UUE55" s="15"/>
      <c r="UUF55" s="15"/>
      <c r="UUG55" s="15"/>
      <c r="UUH55" s="15"/>
      <c r="UUI55" s="15"/>
      <c r="UUJ55" s="15"/>
      <c r="UUK55" s="15"/>
      <c r="UUL55" s="15"/>
      <c r="UUM55" s="15"/>
      <c r="UUN55" s="15"/>
      <c r="UUO55" s="15"/>
      <c r="UUP55" s="15"/>
      <c r="UUQ55" s="15"/>
      <c r="UUR55" s="15"/>
      <c r="UUS55" s="15"/>
      <c r="UUT55" s="15"/>
      <c r="UUU55" s="15"/>
      <c r="UUV55" s="15"/>
      <c r="UUW55" s="15"/>
      <c r="UUX55" s="15"/>
      <c r="UUY55" s="15"/>
      <c r="UUZ55" s="15"/>
      <c r="UVA55" s="15"/>
      <c r="UVB55" s="15"/>
      <c r="UVC55" s="15"/>
      <c r="UVD55" s="15"/>
      <c r="UVE55" s="15"/>
      <c r="UVF55" s="15"/>
      <c r="UVG55" s="15"/>
      <c r="UVH55" s="15"/>
      <c r="UVI55" s="15"/>
      <c r="UVJ55" s="15"/>
      <c r="UVK55" s="15"/>
      <c r="UVL55" s="15"/>
      <c r="UVM55" s="15"/>
      <c r="UVN55" s="15"/>
      <c r="UVO55" s="15"/>
      <c r="UVP55" s="15"/>
      <c r="UVQ55" s="15"/>
      <c r="UVR55" s="15"/>
      <c r="UVS55" s="15"/>
      <c r="UVT55" s="15"/>
      <c r="UVU55" s="15"/>
      <c r="UVV55" s="15"/>
      <c r="UVW55" s="15"/>
      <c r="UVX55" s="15"/>
      <c r="UVY55" s="15"/>
      <c r="UVZ55" s="15"/>
      <c r="UWA55" s="15"/>
      <c r="UWB55" s="15"/>
      <c r="UWC55" s="15"/>
      <c r="UWD55" s="15"/>
      <c r="UWE55" s="15"/>
      <c r="UWF55" s="15"/>
      <c r="UWG55" s="15"/>
      <c r="UWH55" s="15"/>
      <c r="UWI55" s="15"/>
      <c r="UWJ55" s="15"/>
      <c r="UWK55" s="15"/>
      <c r="UWL55" s="15"/>
      <c r="UWM55" s="15"/>
      <c r="UWN55" s="15"/>
      <c r="UWO55" s="15"/>
      <c r="UWP55" s="15"/>
      <c r="UWQ55" s="15"/>
      <c r="UWR55" s="15"/>
      <c r="UWS55" s="15"/>
      <c r="UWT55" s="15"/>
      <c r="UWU55" s="15"/>
      <c r="UWV55" s="15"/>
      <c r="UWW55" s="15"/>
      <c r="UWX55" s="15"/>
      <c r="UWY55" s="15"/>
      <c r="UWZ55" s="15"/>
      <c r="UXA55" s="15"/>
      <c r="UXB55" s="15"/>
      <c r="UXC55" s="15"/>
      <c r="UXD55" s="15"/>
      <c r="UXE55" s="15"/>
      <c r="UXF55" s="15"/>
      <c r="UXG55" s="15"/>
      <c r="UXH55" s="15"/>
      <c r="UXI55" s="15"/>
      <c r="UXJ55" s="15"/>
      <c r="UXK55" s="15"/>
      <c r="UXL55" s="15"/>
      <c r="UXM55" s="15"/>
      <c r="UXN55" s="15"/>
      <c r="UXO55" s="15"/>
      <c r="UXP55" s="15"/>
      <c r="UXQ55" s="15"/>
      <c r="UXR55" s="15"/>
      <c r="UXS55" s="15"/>
      <c r="UXT55" s="15"/>
      <c r="UXU55" s="15"/>
      <c r="UXV55" s="15"/>
      <c r="UXW55" s="15"/>
      <c r="UXX55" s="15"/>
      <c r="UXY55" s="15"/>
      <c r="UXZ55" s="15"/>
      <c r="UYA55" s="15"/>
      <c r="UYB55" s="15"/>
      <c r="UYC55" s="15"/>
      <c r="UYD55" s="15"/>
      <c r="UYE55" s="15"/>
      <c r="UYF55" s="15"/>
      <c r="UYG55" s="15"/>
      <c r="UYH55" s="15"/>
      <c r="UYI55" s="15"/>
      <c r="UYJ55" s="15"/>
      <c r="UYK55" s="15"/>
      <c r="UYL55" s="15"/>
      <c r="UYM55" s="15"/>
      <c r="UYN55" s="15"/>
      <c r="UYO55" s="15"/>
      <c r="UYP55" s="15"/>
      <c r="UYQ55" s="15"/>
      <c r="UYR55" s="15"/>
      <c r="UYS55" s="15"/>
      <c r="UYT55" s="15"/>
      <c r="UYU55" s="15"/>
      <c r="UYV55" s="15"/>
      <c r="UYW55" s="15"/>
      <c r="UYX55" s="15"/>
      <c r="UYY55" s="15"/>
      <c r="UYZ55" s="15"/>
      <c r="UZA55" s="15"/>
      <c r="UZB55" s="15"/>
      <c r="UZC55" s="15"/>
      <c r="UZD55" s="15"/>
      <c r="UZE55" s="15"/>
      <c r="UZF55" s="15"/>
      <c r="UZG55" s="15"/>
      <c r="UZH55" s="15"/>
      <c r="UZI55" s="15"/>
      <c r="UZJ55" s="15"/>
      <c r="UZK55" s="15"/>
      <c r="UZL55" s="15"/>
      <c r="UZM55" s="15"/>
      <c r="UZN55" s="15"/>
      <c r="UZO55" s="15"/>
      <c r="UZP55" s="15"/>
      <c r="UZQ55" s="15"/>
      <c r="UZR55" s="15"/>
      <c r="UZS55" s="15"/>
      <c r="UZT55" s="15"/>
      <c r="UZU55" s="15"/>
      <c r="UZV55" s="15"/>
      <c r="UZW55" s="15"/>
      <c r="UZX55" s="15"/>
      <c r="UZY55" s="15"/>
      <c r="UZZ55" s="15"/>
      <c r="VAA55" s="15"/>
      <c r="VAB55" s="15"/>
      <c r="VAC55" s="15"/>
      <c r="VAD55" s="15"/>
      <c r="VAE55" s="15"/>
      <c r="VAF55" s="15"/>
      <c r="VAG55" s="15"/>
      <c r="VAH55" s="15"/>
      <c r="VAI55" s="15"/>
      <c r="VAJ55" s="15"/>
      <c r="VAK55" s="15"/>
      <c r="VAL55" s="15"/>
      <c r="VAM55" s="15"/>
      <c r="VAN55" s="15"/>
      <c r="VAO55" s="15"/>
      <c r="VAP55" s="15"/>
      <c r="VAQ55" s="15"/>
      <c r="VAR55" s="15"/>
      <c r="VAS55" s="15"/>
      <c r="VAT55" s="15"/>
      <c r="VAU55" s="15"/>
      <c r="VAV55" s="15"/>
      <c r="VAW55" s="15"/>
      <c r="VAX55" s="15"/>
      <c r="VAY55" s="15"/>
      <c r="VAZ55" s="15"/>
      <c r="VBA55" s="15"/>
      <c r="VBB55" s="15"/>
      <c r="VBC55" s="15"/>
      <c r="VBD55" s="15"/>
      <c r="VBE55" s="15"/>
      <c r="VBF55" s="15"/>
      <c r="VBG55" s="15"/>
      <c r="VBH55" s="15"/>
      <c r="VBI55" s="15"/>
      <c r="VBJ55" s="15"/>
      <c r="VBK55" s="15"/>
      <c r="VBL55" s="15"/>
      <c r="VBM55" s="15"/>
      <c r="VBN55" s="15"/>
      <c r="VBO55" s="15"/>
      <c r="VBP55" s="15"/>
      <c r="VBQ55" s="15"/>
      <c r="VBR55" s="15"/>
      <c r="VBS55" s="15"/>
      <c r="VBT55" s="15"/>
      <c r="VBU55" s="15"/>
      <c r="VBV55" s="15"/>
      <c r="VBW55" s="15"/>
      <c r="VBX55" s="15"/>
      <c r="VBY55" s="15"/>
      <c r="VBZ55" s="15"/>
      <c r="VCA55" s="15"/>
      <c r="VCB55" s="15"/>
      <c r="VCC55" s="15"/>
      <c r="VCD55" s="15"/>
      <c r="VCE55" s="15"/>
      <c r="VCF55" s="15"/>
      <c r="VCG55" s="15"/>
      <c r="VCH55" s="15"/>
      <c r="VCI55" s="15"/>
      <c r="VCJ55" s="15"/>
      <c r="VCK55" s="15"/>
      <c r="VCL55" s="15"/>
      <c r="VCM55" s="15"/>
      <c r="VCN55" s="15"/>
      <c r="VCO55" s="15"/>
      <c r="VCP55" s="15"/>
      <c r="VCQ55" s="15"/>
      <c r="VCR55" s="15"/>
      <c r="VCS55" s="15"/>
      <c r="VCT55" s="15"/>
      <c r="VCU55" s="15"/>
      <c r="VCV55" s="15"/>
      <c r="VCW55" s="15"/>
      <c r="VCX55" s="15"/>
      <c r="VCY55" s="15"/>
      <c r="VCZ55" s="15"/>
      <c r="VDA55" s="15"/>
      <c r="VDB55" s="15"/>
      <c r="VDC55" s="15"/>
      <c r="VDD55" s="15"/>
      <c r="VDE55" s="15"/>
      <c r="VDF55" s="15"/>
      <c r="VDG55" s="15"/>
      <c r="VDH55" s="15"/>
      <c r="VDI55" s="15"/>
      <c r="VDJ55" s="15"/>
      <c r="VDK55" s="15"/>
      <c r="VDL55" s="15"/>
      <c r="VDM55" s="15"/>
      <c r="VDN55" s="15"/>
      <c r="VDO55" s="15"/>
      <c r="VDP55" s="15"/>
      <c r="VDQ55" s="15"/>
      <c r="VDR55" s="15"/>
      <c r="VDS55" s="15"/>
      <c r="VDT55" s="15"/>
      <c r="VDU55" s="15"/>
      <c r="VDV55" s="15"/>
      <c r="VDW55" s="15"/>
      <c r="VDX55" s="15"/>
      <c r="VDY55" s="15"/>
      <c r="VDZ55" s="15"/>
      <c r="VEA55" s="15"/>
      <c r="VEB55" s="15"/>
      <c r="VEC55" s="15"/>
      <c r="VED55" s="15"/>
      <c r="VEE55" s="15"/>
      <c r="VEF55" s="15"/>
      <c r="VEG55" s="15"/>
      <c r="VEH55" s="15"/>
      <c r="VEI55" s="15"/>
      <c r="VEJ55" s="15"/>
      <c r="VEK55" s="15"/>
      <c r="VEL55" s="15"/>
      <c r="VEM55" s="15"/>
      <c r="VEN55" s="15"/>
      <c r="VEO55" s="15"/>
      <c r="VEP55" s="15"/>
      <c r="VEQ55" s="15"/>
      <c r="VER55" s="15"/>
      <c r="VES55" s="15"/>
      <c r="VET55" s="15"/>
      <c r="VEU55" s="15"/>
      <c r="VEV55" s="15"/>
      <c r="VEW55" s="15"/>
      <c r="VEX55" s="15"/>
      <c r="VEY55" s="15"/>
      <c r="VEZ55" s="15"/>
      <c r="VFA55" s="15"/>
      <c r="VFB55" s="15"/>
      <c r="VFC55" s="15"/>
      <c r="VFD55" s="15"/>
      <c r="VFE55" s="15"/>
      <c r="VFF55" s="15"/>
      <c r="VFG55" s="15"/>
      <c r="VFH55" s="15"/>
      <c r="VFI55" s="15"/>
      <c r="VFJ55" s="15"/>
      <c r="VFK55" s="15"/>
      <c r="VFL55" s="15"/>
      <c r="VFM55" s="15"/>
      <c r="VFN55" s="15"/>
      <c r="VFO55" s="15"/>
      <c r="VFP55" s="15"/>
      <c r="VFQ55" s="15"/>
      <c r="VFR55" s="15"/>
      <c r="VFS55" s="15"/>
      <c r="VFT55" s="15"/>
      <c r="VFU55" s="15"/>
      <c r="VFV55" s="15"/>
      <c r="VFW55" s="15"/>
      <c r="VFX55" s="15"/>
      <c r="VFY55" s="15"/>
      <c r="VFZ55" s="15"/>
      <c r="VGA55" s="15"/>
      <c r="VGB55" s="15"/>
      <c r="VGC55" s="15"/>
      <c r="VGD55" s="15"/>
      <c r="VGE55" s="15"/>
      <c r="VGF55" s="15"/>
      <c r="VGG55" s="15"/>
      <c r="VGH55" s="15"/>
      <c r="VGI55" s="15"/>
      <c r="VGJ55" s="15"/>
      <c r="VGK55" s="15"/>
      <c r="VGL55" s="15"/>
      <c r="VGM55" s="15"/>
      <c r="VGN55" s="15"/>
      <c r="VGO55" s="15"/>
      <c r="VGP55" s="15"/>
      <c r="VGQ55" s="15"/>
      <c r="VGR55" s="15"/>
      <c r="VGS55" s="15"/>
      <c r="VGT55" s="15"/>
      <c r="VGU55" s="15"/>
      <c r="VGV55" s="15"/>
      <c r="VGW55" s="15"/>
      <c r="VGX55" s="15"/>
      <c r="VGY55" s="15"/>
      <c r="VGZ55" s="15"/>
      <c r="VHA55" s="15"/>
      <c r="VHB55" s="15"/>
      <c r="VHC55" s="15"/>
      <c r="VHD55" s="15"/>
      <c r="VHE55" s="15"/>
      <c r="VHF55" s="15"/>
      <c r="VHG55" s="15"/>
      <c r="VHH55" s="15"/>
      <c r="VHI55" s="15"/>
      <c r="VHJ55" s="15"/>
      <c r="VHK55" s="15"/>
      <c r="VHL55" s="15"/>
      <c r="VHM55" s="15"/>
      <c r="VHN55" s="15"/>
      <c r="VHO55" s="15"/>
      <c r="VHP55" s="15"/>
      <c r="VHQ55" s="15"/>
      <c r="VHR55" s="15"/>
      <c r="VHS55" s="15"/>
      <c r="VHT55" s="15"/>
      <c r="VHU55" s="15"/>
      <c r="VHV55" s="15"/>
      <c r="VHW55" s="15"/>
      <c r="VHX55" s="15"/>
      <c r="VHY55" s="15"/>
      <c r="VHZ55" s="15"/>
      <c r="VIA55" s="15"/>
      <c r="VIB55" s="15"/>
      <c r="VIC55" s="15"/>
      <c r="VID55" s="15"/>
      <c r="VIE55" s="15"/>
      <c r="VIF55" s="15"/>
      <c r="VIG55" s="15"/>
      <c r="VIH55" s="15"/>
      <c r="VII55" s="15"/>
      <c r="VIJ55" s="15"/>
      <c r="VIK55" s="15"/>
      <c r="VIL55" s="15"/>
      <c r="VIM55" s="15"/>
      <c r="VIN55" s="15"/>
      <c r="VIO55" s="15"/>
      <c r="VIP55" s="15"/>
      <c r="VIQ55" s="15"/>
      <c r="VIR55" s="15"/>
      <c r="VIS55" s="15"/>
      <c r="VIT55" s="15"/>
      <c r="VIU55" s="15"/>
      <c r="VIV55" s="15"/>
      <c r="VIW55" s="15"/>
      <c r="VIX55" s="15"/>
      <c r="VIY55" s="15"/>
      <c r="VIZ55" s="15"/>
      <c r="VJA55" s="15"/>
      <c r="VJB55" s="15"/>
      <c r="VJC55" s="15"/>
      <c r="VJD55" s="15"/>
      <c r="VJE55" s="15"/>
      <c r="VJF55" s="15"/>
      <c r="VJG55" s="15"/>
      <c r="VJH55" s="15"/>
      <c r="VJI55" s="15"/>
      <c r="VJJ55" s="15"/>
      <c r="VJK55" s="15"/>
      <c r="VJL55" s="15"/>
      <c r="VJM55" s="15"/>
      <c r="VJN55" s="15"/>
      <c r="VJO55" s="15"/>
      <c r="VJP55" s="15"/>
      <c r="VJQ55" s="15"/>
      <c r="VJR55" s="15"/>
      <c r="VJS55" s="15"/>
      <c r="VJT55" s="15"/>
      <c r="VJU55" s="15"/>
      <c r="VJV55" s="15"/>
      <c r="VJW55" s="15"/>
      <c r="VJX55" s="15"/>
      <c r="VJY55" s="15"/>
      <c r="VJZ55" s="15"/>
      <c r="VKA55" s="15"/>
      <c r="VKB55" s="15"/>
      <c r="VKC55" s="15"/>
      <c r="VKD55" s="15"/>
      <c r="VKE55" s="15"/>
      <c r="VKF55" s="15"/>
      <c r="VKG55" s="15"/>
      <c r="VKH55" s="15"/>
      <c r="VKI55" s="15"/>
      <c r="VKJ55" s="15"/>
      <c r="VKK55" s="15"/>
      <c r="VKL55" s="15"/>
      <c r="VKM55" s="15"/>
      <c r="VKN55" s="15"/>
      <c r="VKO55" s="15"/>
      <c r="VKP55" s="15"/>
      <c r="VKQ55" s="15"/>
      <c r="VKR55" s="15"/>
      <c r="VKS55" s="15"/>
      <c r="VKT55" s="15"/>
      <c r="VKU55" s="15"/>
      <c r="VKV55" s="15"/>
      <c r="VKW55" s="15"/>
      <c r="VKX55" s="15"/>
      <c r="VKY55" s="15"/>
      <c r="VKZ55" s="15"/>
      <c r="VLA55" s="15"/>
      <c r="VLB55" s="15"/>
      <c r="VLC55" s="15"/>
      <c r="VLD55" s="15"/>
      <c r="VLE55" s="15"/>
      <c r="VLF55" s="15"/>
      <c r="VLG55" s="15"/>
      <c r="VLH55" s="15"/>
      <c r="VLI55" s="15"/>
      <c r="VLJ55" s="15"/>
      <c r="VLK55" s="15"/>
      <c r="VLL55" s="15"/>
      <c r="VLM55" s="15"/>
      <c r="VLN55" s="15"/>
      <c r="VLO55" s="15"/>
      <c r="VLP55" s="15"/>
      <c r="VLQ55" s="15"/>
      <c r="VLR55" s="15"/>
      <c r="VLS55" s="15"/>
      <c r="VLT55" s="15"/>
      <c r="VLU55" s="15"/>
      <c r="VLV55" s="15"/>
      <c r="VLW55" s="15"/>
      <c r="VLX55" s="15"/>
      <c r="VLY55" s="15"/>
      <c r="VLZ55" s="15"/>
      <c r="VMA55" s="15"/>
      <c r="VMB55" s="15"/>
      <c r="VMC55" s="15"/>
      <c r="VMD55" s="15"/>
      <c r="VME55" s="15"/>
      <c r="VMF55" s="15"/>
      <c r="VMG55" s="15"/>
      <c r="VMH55" s="15"/>
      <c r="VMI55" s="15"/>
      <c r="VMJ55" s="15"/>
      <c r="VMK55" s="15"/>
      <c r="VML55" s="15"/>
      <c r="VMM55" s="15"/>
      <c r="VMN55" s="15"/>
      <c r="VMO55" s="15"/>
      <c r="VMP55" s="15"/>
      <c r="VMQ55" s="15"/>
      <c r="VMR55" s="15"/>
      <c r="VMS55" s="15"/>
      <c r="VMT55" s="15"/>
      <c r="VMU55" s="15"/>
      <c r="VMV55" s="15"/>
      <c r="VMW55" s="15"/>
      <c r="VMX55" s="15"/>
      <c r="VMY55" s="15"/>
      <c r="VMZ55" s="15"/>
      <c r="VNA55" s="15"/>
      <c r="VNB55" s="15"/>
      <c r="VNC55" s="15"/>
      <c r="VND55" s="15"/>
      <c r="VNE55" s="15"/>
      <c r="VNF55" s="15"/>
      <c r="VNG55" s="15"/>
      <c r="VNH55" s="15"/>
      <c r="VNI55" s="15"/>
      <c r="VNJ55" s="15"/>
      <c r="VNK55" s="15"/>
      <c r="VNL55" s="15"/>
      <c r="VNM55" s="15"/>
      <c r="VNN55" s="15"/>
      <c r="VNO55" s="15"/>
      <c r="VNP55" s="15"/>
      <c r="VNQ55" s="15"/>
      <c r="VNR55" s="15"/>
      <c r="VNS55" s="15"/>
      <c r="VNT55" s="15"/>
      <c r="VNU55" s="15"/>
      <c r="VNV55" s="15"/>
      <c r="VNW55" s="15"/>
      <c r="VNX55" s="15"/>
      <c r="VNY55" s="15"/>
      <c r="VNZ55" s="15"/>
      <c r="VOA55" s="15"/>
      <c r="VOB55" s="15"/>
      <c r="VOC55" s="15"/>
      <c r="VOD55" s="15"/>
      <c r="VOE55" s="15"/>
      <c r="VOF55" s="15"/>
      <c r="VOG55" s="15"/>
      <c r="VOH55" s="15"/>
      <c r="VOI55" s="15"/>
      <c r="VOJ55" s="15"/>
      <c r="VOK55" s="15"/>
      <c r="VOL55" s="15"/>
      <c r="VOM55" s="15"/>
      <c r="VON55" s="15"/>
      <c r="VOO55" s="15"/>
      <c r="VOP55" s="15"/>
      <c r="VOQ55" s="15"/>
      <c r="VOR55" s="15"/>
      <c r="VOS55" s="15"/>
      <c r="VOT55" s="15"/>
      <c r="VOU55" s="15"/>
      <c r="VOV55" s="15"/>
      <c r="VOW55" s="15"/>
      <c r="VOX55" s="15"/>
      <c r="VOY55" s="15"/>
      <c r="VOZ55" s="15"/>
      <c r="VPA55" s="15"/>
      <c r="VPB55" s="15"/>
      <c r="VPC55" s="15"/>
      <c r="VPD55" s="15"/>
      <c r="VPE55" s="15"/>
      <c r="VPF55" s="15"/>
      <c r="VPG55" s="15"/>
      <c r="VPH55" s="15"/>
      <c r="VPI55" s="15"/>
      <c r="VPJ55" s="15"/>
      <c r="VPK55" s="15"/>
      <c r="VPL55" s="15"/>
      <c r="VPM55" s="15"/>
      <c r="VPN55" s="15"/>
      <c r="VPO55" s="15"/>
      <c r="VPP55" s="15"/>
      <c r="VPQ55" s="15"/>
      <c r="VPR55" s="15"/>
      <c r="VPS55" s="15"/>
      <c r="VPT55" s="15"/>
      <c r="VPU55" s="15"/>
      <c r="VPV55" s="15"/>
      <c r="VPW55" s="15"/>
      <c r="VPX55" s="15"/>
      <c r="VPY55" s="15"/>
      <c r="VPZ55" s="15"/>
      <c r="VQA55" s="15"/>
      <c r="VQB55" s="15"/>
      <c r="VQC55" s="15"/>
      <c r="VQD55" s="15"/>
      <c r="VQE55" s="15"/>
      <c r="VQF55" s="15"/>
      <c r="VQG55" s="15"/>
      <c r="VQH55" s="15"/>
      <c r="VQI55" s="15"/>
      <c r="VQJ55" s="15"/>
      <c r="VQK55" s="15"/>
      <c r="VQL55" s="15"/>
      <c r="VQM55" s="15"/>
      <c r="VQN55" s="15"/>
      <c r="VQO55" s="15"/>
      <c r="VQP55" s="15"/>
      <c r="VQQ55" s="15"/>
      <c r="VQR55" s="15"/>
      <c r="VQS55" s="15"/>
      <c r="VQT55" s="15"/>
      <c r="VQU55" s="15"/>
      <c r="VQV55" s="15"/>
      <c r="VQW55" s="15"/>
      <c r="VQX55" s="15"/>
      <c r="VQY55" s="15"/>
      <c r="VQZ55" s="15"/>
      <c r="VRA55" s="15"/>
      <c r="VRB55" s="15"/>
      <c r="VRC55" s="15"/>
      <c r="VRD55" s="15"/>
      <c r="VRE55" s="15"/>
      <c r="VRF55" s="15"/>
      <c r="VRG55" s="15"/>
      <c r="VRH55" s="15"/>
      <c r="VRI55" s="15"/>
      <c r="VRJ55" s="15"/>
      <c r="VRK55" s="15"/>
      <c r="VRL55" s="15"/>
      <c r="VRM55" s="15"/>
      <c r="VRN55" s="15"/>
      <c r="VRO55" s="15"/>
      <c r="VRP55" s="15"/>
      <c r="VRQ55" s="15"/>
      <c r="VRR55" s="15"/>
      <c r="VRS55" s="15"/>
      <c r="VRT55" s="15"/>
      <c r="VRU55" s="15"/>
      <c r="VRV55" s="15"/>
      <c r="VRW55" s="15"/>
      <c r="VRX55" s="15"/>
      <c r="VRY55" s="15"/>
      <c r="VRZ55" s="15"/>
      <c r="VSA55" s="15"/>
      <c r="VSB55" s="15"/>
      <c r="VSC55" s="15"/>
      <c r="VSD55" s="15"/>
      <c r="VSE55" s="15"/>
      <c r="VSF55" s="15"/>
      <c r="VSG55" s="15"/>
      <c r="VSH55" s="15"/>
      <c r="VSI55" s="15"/>
      <c r="VSJ55" s="15"/>
      <c r="VSK55" s="15"/>
      <c r="VSL55" s="15"/>
      <c r="VSM55" s="15"/>
      <c r="VSN55" s="15"/>
      <c r="VSO55" s="15"/>
      <c r="VSP55" s="15"/>
      <c r="VSQ55" s="15"/>
      <c r="VSR55" s="15"/>
      <c r="VSS55" s="15"/>
      <c r="VST55" s="15"/>
      <c r="VSU55" s="15"/>
      <c r="VSV55" s="15"/>
      <c r="VSW55" s="15"/>
      <c r="VSX55" s="15"/>
      <c r="VSY55" s="15"/>
      <c r="VSZ55" s="15"/>
      <c r="VTA55" s="15"/>
      <c r="VTB55" s="15"/>
      <c r="VTC55" s="15"/>
      <c r="VTD55" s="15"/>
      <c r="VTE55" s="15"/>
      <c r="VTF55" s="15"/>
      <c r="VTG55" s="15"/>
      <c r="VTH55" s="15"/>
      <c r="VTI55" s="15"/>
      <c r="VTJ55" s="15"/>
      <c r="VTK55" s="15"/>
      <c r="VTL55" s="15"/>
      <c r="VTM55" s="15"/>
      <c r="VTN55" s="15"/>
      <c r="VTO55" s="15"/>
      <c r="VTP55" s="15"/>
      <c r="VTQ55" s="15"/>
      <c r="VTR55" s="15"/>
      <c r="VTS55" s="15"/>
      <c r="VTT55" s="15"/>
      <c r="VTU55" s="15"/>
      <c r="VTV55" s="15"/>
      <c r="VTW55" s="15"/>
      <c r="VTX55" s="15"/>
      <c r="VTY55" s="15"/>
      <c r="VTZ55" s="15"/>
      <c r="VUA55" s="15"/>
      <c r="VUB55" s="15"/>
      <c r="VUC55" s="15"/>
      <c r="VUD55" s="15"/>
      <c r="VUE55" s="15"/>
      <c r="VUF55" s="15"/>
      <c r="VUG55" s="15"/>
      <c r="VUH55" s="15"/>
      <c r="VUI55" s="15"/>
      <c r="VUJ55" s="15"/>
      <c r="VUK55" s="15"/>
      <c r="VUL55" s="15"/>
      <c r="VUM55" s="15"/>
      <c r="VUN55" s="15"/>
      <c r="VUO55" s="15"/>
      <c r="VUP55" s="15"/>
      <c r="VUQ55" s="15"/>
      <c r="VUR55" s="15"/>
      <c r="VUS55" s="15"/>
      <c r="VUT55" s="15"/>
      <c r="VUU55" s="15"/>
      <c r="VUV55" s="15"/>
      <c r="VUW55" s="15"/>
      <c r="VUX55" s="15"/>
      <c r="VUY55" s="15"/>
      <c r="VUZ55" s="15"/>
      <c r="VVA55" s="15"/>
      <c r="VVB55" s="15"/>
      <c r="VVC55" s="15"/>
      <c r="VVD55" s="15"/>
      <c r="VVE55" s="15"/>
      <c r="VVF55" s="15"/>
      <c r="VVG55" s="15"/>
      <c r="VVH55" s="15"/>
      <c r="VVI55" s="15"/>
      <c r="VVJ55" s="15"/>
      <c r="VVK55" s="15"/>
      <c r="VVL55" s="15"/>
      <c r="VVM55" s="15"/>
      <c r="VVN55" s="15"/>
      <c r="VVO55" s="15"/>
      <c r="VVP55" s="15"/>
      <c r="VVQ55" s="15"/>
      <c r="VVR55" s="15"/>
      <c r="VVS55" s="15"/>
      <c r="VVT55" s="15"/>
      <c r="VVU55" s="15"/>
      <c r="VVV55" s="15"/>
      <c r="VVW55" s="15"/>
      <c r="VVX55" s="15"/>
      <c r="VVY55" s="15"/>
      <c r="VVZ55" s="15"/>
      <c r="VWA55" s="15"/>
      <c r="VWB55" s="15"/>
      <c r="VWC55" s="15"/>
      <c r="VWD55" s="15"/>
      <c r="VWE55" s="15"/>
      <c r="VWF55" s="15"/>
      <c r="VWG55" s="15"/>
      <c r="VWH55" s="15"/>
      <c r="VWI55" s="15"/>
      <c r="VWJ55" s="15"/>
      <c r="VWK55" s="15"/>
      <c r="VWL55" s="15"/>
      <c r="VWM55" s="15"/>
      <c r="VWN55" s="15"/>
      <c r="VWO55" s="15"/>
      <c r="VWP55" s="15"/>
      <c r="VWQ55" s="15"/>
      <c r="VWR55" s="15"/>
      <c r="VWS55" s="15"/>
      <c r="VWT55" s="15"/>
      <c r="VWU55" s="15"/>
      <c r="VWV55" s="15"/>
      <c r="VWW55" s="15"/>
      <c r="VWX55" s="15"/>
      <c r="VWY55" s="15"/>
      <c r="VWZ55" s="15"/>
      <c r="VXA55" s="15"/>
      <c r="VXB55" s="15"/>
      <c r="VXC55" s="15"/>
      <c r="VXD55" s="15"/>
      <c r="VXE55" s="15"/>
      <c r="VXF55" s="15"/>
      <c r="VXG55" s="15"/>
      <c r="VXH55" s="15"/>
      <c r="VXI55" s="15"/>
      <c r="VXJ55" s="15"/>
      <c r="VXK55" s="15"/>
      <c r="VXL55" s="15"/>
      <c r="VXM55" s="15"/>
      <c r="VXN55" s="15"/>
      <c r="VXO55" s="15"/>
      <c r="VXP55" s="15"/>
      <c r="VXQ55" s="15"/>
      <c r="VXR55" s="15"/>
      <c r="VXS55" s="15"/>
      <c r="VXT55" s="15"/>
      <c r="VXU55" s="15"/>
      <c r="VXV55" s="15"/>
      <c r="VXW55" s="15"/>
      <c r="VXX55" s="15"/>
      <c r="VXY55" s="15"/>
      <c r="VXZ55" s="15"/>
      <c r="VYA55" s="15"/>
      <c r="VYB55" s="15"/>
      <c r="VYC55" s="15"/>
      <c r="VYD55" s="15"/>
      <c r="VYE55" s="15"/>
      <c r="VYF55" s="15"/>
      <c r="VYG55" s="15"/>
      <c r="VYH55" s="15"/>
      <c r="VYI55" s="15"/>
      <c r="VYJ55" s="15"/>
      <c r="VYK55" s="15"/>
      <c r="VYL55" s="15"/>
      <c r="VYM55" s="15"/>
      <c r="VYN55" s="15"/>
      <c r="VYO55" s="15"/>
      <c r="VYP55" s="15"/>
      <c r="VYQ55" s="15"/>
      <c r="VYR55" s="15"/>
      <c r="VYS55" s="15"/>
      <c r="VYT55" s="15"/>
      <c r="VYU55" s="15"/>
      <c r="VYV55" s="15"/>
      <c r="VYW55" s="15"/>
      <c r="VYX55" s="15"/>
      <c r="VYY55" s="15"/>
      <c r="VYZ55" s="15"/>
      <c r="VZA55" s="15"/>
      <c r="VZB55" s="15"/>
      <c r="VZC55" s="15"/>
      <c r="VZD55" s="15"/>
      <c r="VZE55" s="15"/>
      <c r="VZF55" s="15"/>
      <c r="VZG55" s="15"/>
      <c r="VZH55" s="15"/>
      <c r="VZI55" s="15"/>
      <c r="VZJ55" s="15"/>
      <c r="VZK55" s="15"/>
      <c r="VZL55" s="15"/>
      <c r="VZM55" s="15"/>
      <c r="VZN55" s="15"/>
      <c r="VZO55" s="15"/>
      <c r="VZP55" s="15"/>
      <c r="VZQ55" s="15"/>
      <c r="VZR55" s="15"/>
      <c r="VZS55" s="15"/>
      <c r="VZT55" s="15"/>
      <c r="VZU55" s="15"/>
      <c r="VZV55" s="15"/>
      <c r="VZW55" s="15"/>
      <c r="VZX55" s="15"/>
      <c r="VZY55" s="15"/>
      <c r="VZZ55" s="15"/>
      <c r="WAA55" s="15"/>
      <c r="WAB55" s="15"/>
      <c r="WAC55" s="15"/>
      <c r="WAD55" s="15"/>
      <c r="WAE55" s="15"/>
      <c r="WAF55" s="15"/>
      <c r="WAG55" s="15"/>
      <c r="WAH55" s="15"/>
      <c r="WAI55" s="15"/>
      <c r="WAJ55" s="15"/>
      <c r="WAK55" s="15"/>
      <c r="WAL55" s="15"/>
      <c r="WAM55" s="15"/>
      <c r="WAN55" s="15"/>
      <c r="WAO55" s="15"/>
      <c r="WAP55" s="15"/>
      <c r="WAQ55" s="15"/>
      <c r="WAR55" s="15"/>
      <c r="WAS55" s="15"/>
      <c r="WAT55" s="15"/>
      <c r="WAU55" s="15"/>
      <c r="WAV55" s="15"/>
      <c r="WAW55" s="15"/>
      <c r="WAX55" s="15"/>
      <c r="WAY55" s="15"/>
      <c r="WAZ55" s="15"/>
      <c r="WBA55" s="15"/>
      <c r="WBB55" s="15"/>
      <c r="WBC55" s="15"/>
      <c r="WBD55" s="15"/>
      <c r="WBE55" s="15"/>
      <c r="WBF55" s="15"/>
      <c r="WBG55" s="15"/>
      <c r="WBH55" s="15"/>
      <c r="WBI55" s="15"/>
      <c r="WBJ55" s="15"/>
      <c r="WBK55" s="15"/>
      <c r="WBL55" s="15"/>
      <c r="WBM55" s="15"/>
      <c r="WBN55" s="15"/>
      <c r="WBO55" s="15"/>
      <c r="WBP55" s="15"/>
      <c r="WBQ55" s="15"/>
      <c r="WBR55" s="15"/>
      <c r="WBS55" s="15"/>
      <c r="WBT55" s="15"/>
      <c r="WBU55" s="15"/>
      <c r="WBV55" s="15"/>
      <c r="WBW55" s="15"/>
      <c r="WBX55" s="15"/>
      <c r="WBY55" s="15"/>
      <c r="WBZ55" s="15"/>
      <c r="WCA55" s="15"/>
      <c r="WCB55" s="15"/>
      <c r="WCC55" s="15"/>
      <c r="WCD55" s="15"/>
      <c r="WCE55" s="15"/>
      <c r="WCF55" s="15"/>
      <c r="WCG55" s="15"/>
      <c r="WCH55" s="15"/>
      <c r="WCI55" s="15"/>
      <c r="WCJ55" s="15"/>
      <c r="WCK55" s="15"/>
      <c r="WCL55" s="15"/>
      <c r="WCM55" s="15"/>
      <c r="WCN55" s="15"/>
      <c r="WCO55" s="15"/>
      <c r="WCP55" s="15"/>
      <c r="WCQ55" s="15"/>
      <c r="WCR55" s="15"/>
      <c r="WCS55" s="15"/>
      <c r="WCT55" s="15"/>
      <c r="WCU55" s="15"/>
      <c r="WCV55" s="15"/>
      <c r="WCW55" s="15"/>
      <c r="WCX55" s="15"/>
      <c r="WCY55" s="15"/>
      <c r="WCZ55" s="15"/>
      <c r="WDA55" s="15"/>
      <c r="WDB55" s="15"/>
      <c r="WDC55" s="15"/>
      <c r="WDD55" s="15"/>
      <c r="WDE55" s="15"/>
      <c r="WDF55" s="15"/>
      <c r="WDG55" s="15"/>
      <c r="WDH55" s="15"/>
      <c r="WDI55" s="15"/>
      <c r="WDJ55" s="15"/>
      <c r="WDK55" s="15"/>
      <c r="WDL55" s="15"/>
      <c r="WDM55" s="15"/>
      <c r="WDN55" s="15"/>
      <c r="WDO55" s="15"/>
      <c r="WDP55" s="15"/>
      <c r="WDQ55" s="15"/>
      <c r="WDR55" s="15"/>
      <c r="WDS55" s="15"/>
      <c r="WDT55" s="15"/>
      <c r="WDU55" s="15"/>
      <c r="WDV55" s="15"/>
      <c r="WDW55" s="15"/>
      <c r="WDX55" s="15"/>
      <c r="WDY55" s="15"/>
      <c r="WDZ55" s="15"/>
      <c r="WEA55" s="15"/>
      <c r="WEB55" s="15"/>
      <c r="WEC55" s="15"/>
      <c r="WED55" s="15"/>
      <c r="WEE55" s="15"/>
      <c r="WEF55" s="15"/>
      <c r="WEG55" s="15"/>
      <c r="WEH55" s="15"/>
      <c r="WEI55" s="15"/>
      <c r="WEJ55" s="15"/>
      <c r="WEK55" s="15"/>
      <c r="WEL55" s="15"/>
      <c r="WEM55" s="15"/>
      <c r="WEN55" s="15"/>
      <c r="WEO55" s="15"/>
      <c r="WEP55" s="15"/>
      <c r="WEQ55" s="15"/>
      <c r="WER55" s="15"/>
      <c r="WES55" s="15"/>
      <c r="WET55" s="15"/>
      <c r="WEU55" s="15"/>
      <c r="WEV55" s="15"/>
      <c r="WEW55" s="15"/>
      <c r="WEX55" s="15"/>
      <c r="WEY55" s="15"/>
      <c r="WEZ55" s="15"/>
      <c r="WFA55" s="15"/>
      <c r="WFB55" s="15"/>
      <c r="WFC55" s="15"/>
      <c r="WFD55" s="15"/>
      <c r="WFE55" s="15"/>
      <c r="WFF55" s="15"/>
      <c r="WFG55" s="15"/>
      <c r="WFH55" s="15"/>
      <c r="WFI55" s="15"/>
      <c r="WFJ55" s="15"/>
      <c r="WFK55" s="15"/>
      <c r="WFL55" s="15"/>
      <c r="WFM55" s="15"/>
      <c r="WFN55" s="15"/>
      <c r="WFO55" s="15"/>
      <c r="WFP55" s="15"/>
      <c r="WFQ55" s="15"/>
      <c r="WFR55" s="15"/>
      <c r="WFS55" s="15"/>
      <c r="WFT55" s="15"/>
      <c r="WFU55" s="15"/>
      <c r="WFV55" s="15"/>
      <c r="WFW55" s="15"/>
      <c r="WFX55" s="15"/>
      <c r="WFY55" s="15"/>
      <c r="WFZ55" s="15"/>
      <c r="WGA55" s="15"/>
      <c r="WGB55" s="15"/>
      <c r="WGC55" s="15"/>
      <c r="WGD55" s="15"/>
      <c r="WGE55" s="15"/>
      <c r="WGF55" s="15"/>
      <c r="WGG55" s="15"/>
      <c r="WGH55" s="15"/>
      <c r="WGI55" s="15"/>
      <c r="WGJ55" s="15"/>
      <c r="WGK55" s="15"/>
      <c r="WGL55" s="15"/>
      <c r="WGM55" s="15"/>
      <c r="WGN55" s="15"/>
      <c r="WGO55" s="15"/>
      <c r="WGP55" s="15"/>
      <c r="WGQ55" s="15"/>
      <c r="WGR55" s="15"/>
      <c r="WGS55" s="15"/>
      <c r="WGT55" s="15"/>
      <c r="WGU55" s="15"/>
      <c r="WGV55" s="15"/>
      <c r="WGW55" s="15"/>
      <c r="WGX55" s="15"/>
      <c r="WGY55" s="15"/>
      <c r="WGZ55" s="15"/>
      <c r="WHA55" s="15"/>
      <c r="WHB55" s="15"/>
      <c r="WHC55" s="15"/>
      <c r="WHD55" s="15"/>
      <c r="WHE55" s="15"/>
      <c r="WHF55" s="15"/>
      <c r="WHG55" s="15"/>
      <c r="WHH55" s="15"/>
      <c r="WHI55" s="15"/>
      <c r="WHJ55" s="15"/>
      <c r="WHK55" s="15"/>
      <c r="WHL55" s="15"/>
      <c r="WHM55" s="15"/>
      <c r="WHN55" s="15"/>
      <c r="WHO55" s="15"/>
      <c r="WHP55" s="15"/>
      <c r="WHQ55" s="15"/>
      <c r="WHR55" s="15"/>
      <c r="WHS55" s="15"/>
      <c r="WHT55" s="15"/>
      <c r="WHU55" s="15"/>
      <c r="WHV55" s="15"/>
      <c r="WHW55" s="15"/>
      <c r="WHX55" s="15"/>
      <c r="WHY55" s="15"/>
      <c r="WHZ55" s="15"/>
      <c r="WIA55" s="15"/>
      <c r="WIB55" s="15"/>
      <c r="WIC55" s="15"/>
      <c r="WID55" s="15"/>
      <c r="WIE55" s="15"/>
      <c r="WIF55" s="15"/>
      <c r="WIG55" s="15"/>
      <c r="WIH55" s="15"/>
      <c r="WII55" s="15"/>
      <c r="WIJ55" s="15"/>
      <c r="WIK55" s="15"/>
      <c r="WIL55" s="15"/>
      <c r="WIM55" s="15"/>
      <c r="WIN55" s="15"/>
      <c r="WIO55" s="15"/>
      <c r="WIP55" s="15"/>
      <c r="WIQ55" s="15"/>
      <c r="WIR55" s="15"/>
      <c r="WIS55" s="15"/>
      <c r="WIT55" s="15"/>
      <c r="WIU55" s="15"/>
      <c r="WIV55" s="15"/>
      <c r="WIW55" s="15"/>
      <c r="WIX55" s="15"/>
      <c r="WIY55" s="15"/>
      <c r="WIZ55" s="15"/>
      <c r="WJA55" s="15"/>
      <c r="WJB55" s="15"/>
      <c r="WJC55" s="15"/>
      <c r="WJD55" s="15"/>
      <c r="WJE55" s="15"/>
      <c r="WJF55" s="15"/>
      <c r="WJG55" s="15"/>
      <c r="WJH55" s="15"/>
      <c r="WJI55" s="15"/>
      <c r="WJJ55" s="15"/>
      <c r="WJK55" s="15"/>
      <c r="WJL55" s="15"/>
      <c r="WJM55" s="15"/>
      <c r="WJN55" s="15"/>
      <c r="WJO55" s="15"/>
      <c r="WJP55" s="15"/>
      <c r="WJQ55" s="15"/>
      <c r="WJR55" s="15"/>
      <c r="WJS55" s="15"/>
      <c r="WJT55" s="15"/>
      <c r="WJU55" s="15"/>
      <c r="WJV55" s="15"/>
      <c r="WJW55" s="15"/>
      <c r="WJX55" s="15"/>
      <c r="WJY55" s="15"/>
      <c r="WJZ55" s="15"/>
      <c r="WKA55" s="15"/>
      <c r="WKB55" s="15"/>
      <c r="WKC55" s="15"/>
      <c r="WKD55" s="15"/>
      <c r="WKE55" s="15"/>
      <c r="WKF55" s="15"/>
      <c r="WKG55" s="15"/>
      <c r="WKH55" s="15"/>
      <c r="WKI55" s="15"/>
      <c r="WKJ55" s="15"/>
      <c r="WKK55" s="15"/>
      <c r="WKL55" s="15"/>
      <c r="WKM55" s="15"/>
      <c r="WKN55" s="15"/>
      <c r="WKO55" s="15"/>
      <c r="WKP55" s="15"/>
      <c r="WKQ55" s="15"/>
      <c r="WKR55" s="15"/>
      <c r="WKS55" s="15"/>
      <c r="WKT55" s="15"/>
      <c r="WKU55" s="15"/>
      <c r="WKV55" s="15"/>
      <c r="WKW55" s="15"/>
      <c r="WKX55" s="15"/>
      <c r="WKY55" s="15"/>
      <c r="WKZ55" s="15"/>
      <c r="WLA55" s="15"/>
      <c r="WLB55" s="15"/>
      <c r="WLC55" s="15"/>
      <c r="WLD55" s="15"/>
      <c r="WLE55" s="15"/>
      <c r="WLF55" s="15"/>
      <c r="WLG55" s="15"/>
      <c r="WLH55" s="15"/>
      <c r="WLI55" s="15"/>
      <c r="WLJ55" s="15"/>
      <c r="WLK55" s="15"/>
      <c r="WLL55" s="15"/>
      <c r="WLM55" s="15"/>
      <c r="WLN55" s="15"/>
      <c r="WLO55" s="15"/>
      <c r="WLP55" s="15"/>
      <c r="WLQ55" s="15"/>
      <c r="WLR55" s="15"/>
      <c r="WLS55" s="15"/>
      <c r="WLT55" s="15"/>
      <c r="WLU55" s="15"/>
      <c r="WLV55" s="15"/>
      <c r="WLW55" s="15"/>
      <c r="WLX55" s="15"/>
      <c r="WLY55" s="15"/>
      <c r="WLZ55" s="15"/>
      <c r="WMA55" s="15"/>
      <c r="WMB55" s="15"/>
      <c r="WMC55" s="15"/>
      <c r="WMD55" s="15"/>
      <c r="WME55" s="15"/>
      <c r="WMF55" s="15"/>
      <c r="WMG55" s="15"/>
      <c r="WMH55" s="15"/>
      <c r="WMI55" s="15"/>
      <c r="WMJ55" s="15"/>
      <c r="WMK55" s="15"/>
      <c r="WML55" s="15"/>
      <c r="WMM55" s="15"/>
      <c r="WMN55" s="15"/>
      <c r="WMO55" s="15"/>
      <c r="WMP55" s="15"/>
      <c r="WMQ55" s="15"/>
      <c r="WMR55" s="15"/>
      <c r="WMS55" s="15"/>
      <c r="WMT55" s="15"/>
      <c r="WMU55" s="15"/>
      <c r="WMV55" s="15"/>
      <c r="WMW55" s="15"/>
      <c r="WMX55" s="15"/>
      <c r="WMY55" s="15"/>
      <c r="WMZ55" s="15"/>
      <c r="WNA55" s="15"/>
      <c r="WNB55" s="15"/>
      <c r="WNC55" s="15"/>
      <c r="WND55" s="15"/>
      <c r="WNE55" s="15"/>
      <c r="WNF55" s="15"/>
      <c r="WNG55" s="15"/>
      <c r="WNH55" s="15"/>
      <c r="WNI55" s="15"/>
      <c r="WNJ55" s="15"/>
      <c r="WNK55" s="15"/>
      <c r="WNL55" s="15"/>
      <c r="WNM55" s="15"/>
      <c r="WNN55" s="15"/>
      <c r="WNO55" s="15"/>
      <c r="WNP55" s="15"/>
      <c r="WNQ55" s="15"/>
      <c r="WNR55" s="15"/>
      <c r="WNS55" s="15"/>
      <c r="WNT55" s="15"/>
      <c r="WNU55" s="15"/>
      <c r="WNV55" s="15"/>
      <c r="WNW55" s="15"/>
      <c r="WNX55" s="15"/>
      <c r="WNY55" s="15"/>
      <c r="WNZ55" s="15"/>
      <c r="WOA55" s="15"/>
      <c r="WOB55" s="15"/>
      <c r="WOC55" s="15"/>
      <c r="WOD55" s="15"/>
      <c r="WOE55" s="15"/>
      <c r="WOF55" s="15"/>
      <c r="WOG55" s="15"/>
      <c r="WOH55" s="15"/>
      <c r="WOI55" s="15"/>
      <c r="WOJ55" s="15"/>
      <c r="WOK55" s="15"/>
      <c r="WOL55" s="15"/>
      <c r="WOM55" s="15"/>
      <c r="WON55" s="15"/>
      <c r="WOO55" s="15"/>
      <c r="WOP55" s="15"/>
      <c r="WOQ55" s="15"/>
      <c r="WOR55" s="15"/>
      <c r="WOS55" s="15"/>
      <c r="WOT55" s="15"/>
      <c r="WOU55" s="15"/>
      <c r="WOV55" s="15"/>
      <c r="WOW55" s="15"/>
      <c r="WOX55" s="15"/>
      <c r="WOY55" s="15"/>
      <c r="WOZ55" s="15"/>
      <c r="WPA55" s="15"/>
      <c r="WPB55" s="15"/>
      <c r="WPC55" s="15"/>
      <c r="WPD55" s="15"/>
      <c r="WPE55" s="15"/>
      <c r="WPF55" s="15"/>
      <c r="WPG55" s="15"/>
      <c r="WPH55" s="15"/>
      <c r="WPI55" s="15"/>
      <c r="WPJ55" s="15"/>
      <c r="WPK55" s="15"/>
      <c r="WPL55" s="15"/>
      <c r="WPM55" s="15"/>
      <c r="WPN55" s="15"/>
      <c r="WPO55" s="15"/>
      <c r="WPP55" s="15"/>
      <c r="WPQ55" s="15"/>
      <c r="WPR55" s="15"/>
      <c r="WPS55" s="15"/>
      <c r="WPT55" s="15"/>
      <c r="WPU55" s="15"/>
      <c r="WPV55" s="15"/>
      <c r="WPW55" s="15"/>
      <c r="WPX55" s="15"/>
      <c r="WPY55" s="15"/>
      <c r="WPZ55" s="15"/>
      <c r="WQA55" s="15"/>
      <c r="WQB55" s="15"/>
      <c r="WQC55" s="15"/>
      <c r="WQD55" s="15"/>
      <c r="WQE55" s="15"/>
      <c r="WQF55" s="15"/>
      <c r="WQG55" s="15"/>
      <c r="WQH55" s="15"/>
      <c r="WQI55" s="15"/>
      <c r="WQJ55" s="15"/>
      <c r="WQK55" s="15"/>
      <c r="WQL55" s="15"/>
      <c r="WQM55" s="15"/>
      <c r="WQN55" s="15"/>
      <c r="WQO55" s="15"/>
      <c r="WQP55" s="15"/>
      <c r="WQQ55" s="15"/>
      <c r="WQR55" s="15"/>
      <c r="WQS55" s="15"/>
      <c r="WQT55" s="15"/>
      <c r="WQU55" s="15"/>
      <c r="WQV55" s="15"/>
      <c r="WQW55" s="15"/>
      <c r="WQX55" s="15"/>
      <c r="WQY55" s="15"/>
      <c r="WQZ55" s="15"/>
      <c r="WRA55" s="15"/>
      <c r="WRB55" s="15"/>
      <c r="WRC55" s="15"/>
      <c r="WRD55" s="15"/>
      <c r="WRE55" s="15"/>
      <c r="WRF55" s="15"/>
      <c r="WRG55" s="15"/>
      <c r="WRH55" s="15"/>
      <c r="WRI55" s="15"/>
      <c r="WRJ55" s="15"/>
      <c r="WRK55" s="15"/>
      <c r="WRL55" s="15"/>
      <c r="WRM55" s="15"/>
      <c r="WRN55" s="15"/>
      <c r="WRO55" s="15"/>
      <c r="WRP55" s="15"/>
      <c r="WRQ55" s="15"/>
      <c r="WRR55" s="15"/>
      <c r="WRS55" s="15"/>
      <c r="WRT55" s="15"/>
      <c r="WRU55" s="15"/>
      <c r="WRV55" s="15"/>
      <c r="WRW55" s="15"/>
      <c r="WRX55" s="15"/>
      <c r="WRY55" s="15"/>
      <c r="WRZ55" s="15"/>
      <c r="WSA55" s="15"/>
      <c r="WSB55" s="15"/>
      <c r="WSC55" s="15"/>
      <c r="WSD55" s="15"/>
      <c r="WSE55" s="15"/>
      <c r="WSF55" s="15"/>
      <c r="WSG55" s="15"/>
      <c r="WSH55" s="15"/>
      <c r="WSI55" s="15"/>
      <c r="WSJ55" s="15"/>
      <c r="WSK55" s="15"/>
      <c r="WSL55" s="15"/>
      <c r="WSM55" s="15"/>
      <c r="WSN55" s="15"/>
      <c r="WSO55" s="15"/>
      <c r="WSP55" s="15"/>
      <c r="WSQ55" s="15"/>
      <c r="WSR55" s="15"/>
      <c r="WSS55" s="15"/>
      <c r="WST55" s="15"/>
      <c r="WSU55" s="15"/>
      <c r="WSV55" s="15"/>
      <c r="WSW55" s="15"/>
      <c r="WSX55" s="15"/>
      <c r="WSY55" s="15"/>
      <c r="WSZ55" s="15"/>
      <c r="WTA55" s="15"/>
      <c r="WTB55" s="15"/>
      <c r="WTC55" s="15"/>
      <c r="WTD55" s="15"/>
      <c r="WTE55" s="15"/>
      <c r="WTF55" s="15"/>
      <c r="WTG55" s="15"/>
      <c r="WTH55" s="15"/>
      <c r="WTI55" s="15"/>
      <c r="WTJ55" s="15"/>
      <c r="WTK55" s="15"/>
      <c r="WTL55" s="15"/>
      <c r="WTM55" s="15"/>
      <c r="WTN55" s="15"/>
      <c r="WTO55" s="15"/>
      <c r="WTP55" s="15"/>
      <c r="WTQ55" s="15"/>
      <c r="WTR55" s="15"/>
      <c r="WTS55" s="15"/>
      <c r="WTT55" s="15"/>
      <c r="WTU55" s="15"/>
      <c r="WTV55" s="15"/>
      <c r="WTW55" s="15"/>
      <c r="WTX55" s="15"/>
      <c r="WTY55" s="15"/>
      <c r="WTZ55" s="15"/>
      <c r="WUA55" s="15"/>
      <c r="WUB55" s="15"/>
      <c r="WUC55" s="15"/>
      <c r="WUD55" s="15"/>
      <c r="WUE55" s="15"/>
      <c r="WUF55" s="15"/>
      <c r="WUG55" s="15"/>
      <c r="WUH55" s="15"/>
      <c r="WUI55" s="15"/>
      <c r="WUJ55" s="15"/>
      <c r="WUK55" s="15"/>
      <c r="WUL55" s="15"/>
      <c r="WUM55" s="15"/>
      <c r="WUN55" s="15"/>
      <c r="WUO55" s="15"/>
      <c r="WUP55" s="15"/>
      <c r="WUQ55" s="15"/>
      <c r="WUR55" s="15"/>
      <c r="WUS55" s="15"/>
      <c r="WUT55" s="15"/>
      <c r="WUU55" s="15"/>
      <c r="WUV55" s="15"/>
      <c r="WUW55" s="15"/>
      <c r="WUX55" s="15"/>
      <c r="WUY55" s="15"/>
      <c r="WUZ55" s="15"/>
      <c r="WVA55" s="15"/>
      <c r="WVB55" s="15"/>
      <c r="WVC55" s="15"/>
      <c r="WVD55" s="15"/>
      <c r="WVE55" s="15"/>
      <c r="WVF55" s="15"/>
      <c r="WVG55" s="15"/>
      <c r="WVH55" s="15"/>
      <c r="WVI55" s="15"/>
      <c r="WVJ55" s="15"/>
      <c r="WVK55" s="15"/>
      <c r="WVL55" s="15"/>
      <c r="WVM55" s="15"/>
      <c r="WVN55" s="15"/>
      <c r="WVO55" s="15"/>
      <c r="WVP55" s="15"/>
      <c r="WVQ55" s="15"/>
      <c r="WVR55" s="15"/>
      <c r="WVS55" s="15"/>
      <c r="WVT55" s="15"/>
      <c r="WVU55" s="15"/>
      <c r="WVV55" s="15"/>
      <c r="WVW55" s="15"/>
      <c r="WVX55" s="15"/>
      <c r="WVY55" s="15"/>
      <c r="WVZ55" s="15"/>
      <c r="WWA55" s="15"/>
      <c r="WWB55" s="15"/>
      <c r="WWC55" s="15"/>
      <c r="WWD55" s="15"/>
      <c r="WWE55" s="15"/>
      <c r="WWF55" s="15"/>
      <c r="WWG55" s="15"/>
      <c r="WWH55" s="15"/>
      <c r="WWI55" s="15"/>
      <c r="WWJ55" s="15"/>
      <c r="WWK55" s="15"/>
      <c r="WWL55" s="15"/>
      <c r="WWM55" s="15"/>
      <c r="WWN55" s="15"/>
      <c r="WWO55" s="15"/>
      <c r="WWP55" s="15"/>
      <c r="WWQ55" s="15"/>
      <c r="WWR55" s="15"/>
      <c r="WWS55" s="15"/>
      <c r="WWT55" s="15"/>
      <c r="WWU55" s="15"/>
      <c r="WWV55" s="15"/>
      <c r="WWW55" s="15"/>
      <c r="WWX55" s="15"/>
      <c r="WWY55" s="15"/>
      <c r="WWZ55" s="15"/>
      <c r="WXA55" s="15"/>
      <c r="WXB55" s="15"/>
      <c r="WXC55" s="15"/>
      <c r="WXD55" s="15"/>
      <c r="WXE55" s="15"/>
      <c r="WXF55" s="15"/>
      <c r="WXG55" s="15"/>
      <c r="WXH55" s="15"/>
      <c r="WXI55" s="15"/>
      <c r="WXJ55" s="15"/>
      <c r="WXK55" s="15"/>
      <c r="WXL55" s="15"/>
      <c r="WXM55" s="15"/>
      <c r="WXN55" s="15"/>
      <c r="WXO55" s="15"/>
      <c r="WXP55" s="15"/>
      <c r="WXQ55" s="15"/>
      <c r="WXR55" s="15"/>
      <c r="WXS55" s="15"/>
      <c r="WXT55" s="15"/>
      <c r="WXU55" s="15"/>
      <c r="WXV55" s="15"/>
      <c r="WXW55" s="15"/>
      <c r="WXX55" s="15"/>
      <c r="WXY55" s="15"/>
      <c r="WXZ55" s="15"/>
      <c r="WYA55" s="15"/>
      <c r="WYB55" s="15"/>
      <c r="WYC55" s="15"/>
      <c r="WYD55" s="15"/>
      <c r="WYE55" s="15"/>
      <c r="WYF55" s="15"/>
      <c r="WYG55" s="15"/>
      <c r="WYH55" s="15"/>
      <c r="WYI55" s="15"/>
      <c r="WYJ55" s="15"/>
      <c r="WYK55" s="15"/>
      <c r="WYL55" s="15"/>
      <c r="WYM55" s="15"/>
      <c r="WYN55" s="15"/>
      <c r="WYO55" s="15"/>
      <c r="WYP55" s="15"/>
      <c r="WYQ55" s="15"/>
      <c r="WYR55" s="15"/>
      <c r="WYS55" s="15"/>
      <c r="WYT55" s="15"/>
      <c r="WYU55" s="15"/>
      <c r="WYV55" s="15"/>
      <c r="WYW55" s="15"/>
      <c r="WYX55" s="15"/>
      <c r="WYY55" s="15"/>
      <c r="WYZ55" s="15"/>
      <c r="WZA55" s="15"/>
      <c r="WZB55" s="15"/>
      <c r="WZC55" s="15"/>
      <c r="WZD55" s="15"/>
      <c r="WZE55" s="15"/>
      <c r="WZF55" s="15"/>
      <c r="WZG55" s="15"/>
      <c r="WZH55" s="15"/>
      <c r="WZI55" s="15"/>
      <c r="WZJ55" s="15"/>
      <c r="WZK55" s="15"/>
      <c r="WZL55" s="15"/>
      <c r="WZM55" s="15"/>
      <c r="WZN55" s="15"/>
      <c r="WZO55" s="15"/>
      <c r="WZP55" s="15"/>
      <c r="WZQ55" s="15"/>
      <c r="WZR55" s="15"/>
      <c r="WZS55" s="15"/>
      <c r="WZT55" s="15"/>
      <c r="WZU55" s="15"/>
      <c r="WZV55" s="15"/>
      <c r="WZW55" s="15"/>
      <c r="WZX55" s="15"/>
      <c r="WZY55" s="15"/>
      <c r="WZZ55" s="15"/>
      <c r="XAA55" s="15"/>
      <c r="XAB55" s="15"/>
      <c r="XAC55" s="15"/>
      <c r="XAD55" s="15"/>
      <c r="XAE55" s="15"/>
      <c r="XAF55" s="15"/>
      <c r="XAG55" s="15"/>
      <c r="XAH55" s="15"/>
      <c r="XAI55" s="15"/>
      <c r="XAJ55" s="15"/>
      <c r="XAK55" s="15"/>
      <c r="XAL55" s="15"/>
      <c r="XAM55" s="15"/>
      <c r="XAN55" s="15"/>
      <c r="XAO55" s="15"/>
      <c r="XAP55" s="15"/>
      <c r="XAQ55" s="15"/>
      <c r="XAR55" s="15"/>
      <c r="XAS55" s="15"/>
      <c r="XAT55" s="15"/>
      <c r="XAU55" s="15"/>
      <c r="XAV55" s="15"/>
      <c r="XAW55" s="15"/>
      <c r="XAX55" s="15"/>
      <c r="XAY55" s="15"/>
      <c r="XAZ55" s="15"/>
      <c r="XBA55" s="15"/>
      <c r="XBB55" s="15"/>
      <c r="XBC55" s="15"/>
      <c r="XBD55" s="15"/>
      <c r="XBE55" s="15"/>
      <c r="XBF55" s="15"/>
      <c r="XBG55" s="15"/>
      <c r="XBH55" s="15"/>
      <c r="XBI55" s="15"/>
      <c r="XBJ55" s="15"/>
      <c r="XBK55" s="15"/>
      <c r="XBL55" s="15"/>
      <c r="XBM55" s="15"/>
      <c r="XBN55" s="15"/>
      <c r="XBO55" s="15"/>
      <c r="XBP55" s="15"/>
      <c r="XBQ55" s="15"/>
      <c r="XBR55" s="15"/>
      <c r="XBS55" s="15"/>
      <c r="XBT55" s="15"/>
      <c r="XBU55" s="15"/>
      <c r="XBV55" s="15"/>
      <c r="XBW55" s="15"/>
      <c r="XBX55" s="15"/>
      <c r="XBY55" s="15"/>
      <c r="XBZ55" s="15"/>
      <c r="XCA55" s="15"/>
      <c r="XCB55" s="15"/>
      <c r="XCC55" s="15"/>
      <c r="XCD55" s="15"/>
      <c r="XCE55" s="15"/>
      <c r="XCF55" s="15"/>
      <c r="XCG55" s="15"/>
      <c r="XCH55" s="15"/>
      <c r="XCI55" s="15"/>
      <c r="XCJ55" s="15"/>
      <c r="XCK55" s="15"/>
      <c r="XCL55" s="15"/>
      <c r="XCM55" s="15"/>
      <c r="XCN55" s="15"/>
      <c r="XCO55" s="15"/>
      <c r="XCP55" s="15"/>
      <c r="XCQ55" s="15"/>
      <c r="XCR55" s="15"/>
      <c r="XCS55" s="15"/>
      <c r="XCT55" s="15"/>
      <c r="XCU55" s="15"/>
      <c r="XCV55" s="15"/>
      <c r="XCW55" s="15"/>
      <c r="XCX55" s="15"/>
      <c r="XCY55" s="15"/>
      <c r="XCZ55" s="15"/>
      <c r="XDA55" s="15"/>
      <c r="XDB55" s="15"/>
      <c r="XDC55" s="15"/>
      <c r="XDD55" s="15"/>
      <c r="XDE55" s="15"/>
      <c r="XDF55" s="15"/>
      <c r="XDG55" s="15"/>
      <c r="XDH55" s="15"/>
      <c r="XDI55" s="15"/>
      <c r="XDJ55" s="15"/>
      <c r="XDK55" s="15"/>
      <c r="XDL55" s="15"/>
      <c r="XDM55" s="15"/>
      <c r="XDN55" s="15"/>
      <c r="XDO55" s="15"/>
      <c r="XDP55" s="15"/>
      <c r="XDQ55" s="15"/>
      <c r="XDR55" s="15"/>
      <c r="XDS55" s="15"/>
      <c r="XDT55" s="15"/>
      <c r="XDU55" s="15"/>
      <c r="XDV55" s="15"/>
      <c r="XDW55" s="15"/>
      <c r="XDX55" s="15"/>
      <c r="XDY55" s="15"/>
      <c r="XDZ55" s="15"/>
      <c r="XEA55" s="15"/>
      <c r="XEB55" s="15"/>
      <c r="XEC55" s="15"/>
      <c r="XED55" s="15"/>
      <c r="XEE55" s="15"/>
      <c r="XEF55" s="15"/>
      <c r="XEG55" s="15"/>
      <c r="XEH55" s="15"/>
      <c r="XEI55" s="15"/>
      <c r="XEJ55" s="15"/>
      <c r="XEK55" s="15"/>
      <c r="XEL55" s="15"/>
      <c r="XEM55" s="15"/>
      <c r="XEN55" s="15"/>
      <c r="XEO55" s="15"/>
      <c r="XEP55" s="15"/>
      <c r="XEQ55" s="15"/>
      <c r="XER55" s="15"/>
      <c r="XES55" s="15"/>
      <c r="XET55" s="15"/>
      <c r="XEU55" s="15"/>
      <c r="XEV55" s="15"/>
      <c r="XEW55" s="15"/>
      <c r="XEX55" s="15"/>
      <c r="XEY55" s="15"/>
      <c r="XEZ55" s="15"/>
      <c r="XFA55" s="15"/>
      <c r="XFB55" s="15"/>
      <c r="XFC55" s="15"/>
    </row>
    <row r="56" spans="2:16383" s="15" customFormat="1">
      <c r="B56" s="148" t="s">
        <v>213</v>
      </c>
      <c r="C56" s="121"/>
      <c r="D56" s="123">
        <f>IFERROR(D55/C55-1,"na")</f>
        <v>0.42621844557604893</v>
      </c>
      <c r="E56" s="123">
        <f t="shared" ref="E56" ca="1" si="9">IFERROR(E55/D55-1,"na")</f>
        <v>0.2812176844276626</v>
      </c>
      <c r="F56" s="123">
        <f t="shared" ref="F56" ca="1" si="10">IFERROR(F55/E55-1,"na")</f>
        <v>0.23040635191528414</v>
      </c>
      <c r="G56" s="123">
        <f t="shared" ref="G56" ca="1" si="11">IFERROR(G55/F55-1,"na")</f>
        <v>0.19668694893561733</v>
      </c>
      <c r="H56" s="123">
        <f t="shared" ref="H56" ca="1" si="12">IFERROR(H55/G55-1,"na")</f>
        <v>0.15606549344961729</v>
      </c>
      <c r="I56" s="123">
        <f t="shared" ref="I56" ca="1" si="13">IFERROR(I55/H55-1,"na")</f>
        <v>0.14213358479874749</v>
      </c>
      <c r="J56" s="123">
        <f t="shared" ref="J56" ca="1" si="14">IFERROR(J55/I55-1,"na")</f>
        <v>0.13046630472475385</v>
      </c>
      <c r="K56" s="123">
        <f t="shared" ref="K56" ca="1" si="15">IFERROR(K55/J55-1,"na")</f>
        <v>0.12134295633137837</v>
      </c>
      <c r="L56" s="123">
        <f t="shared" ref="L56" ca="1" si="16">IFERROR(L55/K55-1,"na")</f>
        <v>0.11385890120572473</v>
      </c>
      <c r="M56" s="123">
        <f t="shared" ref="M56" ca="1" si="17">IFERROR(M55/L55-1,"na")</f>
        <v>4.0000000000000036E-2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</row>
    <row r="57" spans="2:16383">
      <c r="B57" t="s">
        <v>103</v>
      </c>
      <c r="C57" s="122">
        <f>+INDEX(Model!$A:$AP,MATCH("EBITDA",Model!$A:$A,0),MATCH(DCF!C$51,Model!$3:$3,0))</f>
        <v>-220.53574697654221</v>
      </c>
      <c r="D57" s="122">
        <f ca="1">+INDEX(Model!$A:$AP,MATCH("EBITDA",Model!$A:$A,0),MATCH(DCF!D$51,Model!$3:$3,0))</f>
        <v>-29.9985888123515</v>
      </c>
      <c r="E57" s="122">
        <f ca="1">+INDEX(Model!$A:$AP,MATCH("EBITDA",Model!$A:$A,0),MATCH(DCF!E$51,Model!$3:$3,0))</f>
        <v>192.53709858961793</v>
      </c>
      <c r="F57" s="122">
        <f ca="1">+INDEX(Model!$A:$AP,MATCH("EBITDA",Model!$A:$A,0),MATCH(DCF!F$51,Model!$3:$3,0))</f>
        <v>496.01208992119928</v>
      </c>
      <c r="G57" s="122">
        <f ca="1">+INDEX(Model!$A:$AP,MATCH("EBITDA",Model!$A:$A,0),MATCH(DCF!G$51,Model!$3:$3,0))</f>
        <v>877.75215774405342</v>
      </c>
      <c r="H57" s="122">
        <f ca="1">+INDEX(Model!$A:$AP,MATCH("EBITDA",Model!$A:$A,0),MATCH(DCF!H$51,Model!$3:$3,0))</f>
        <v>1354.4704369663991</v>
      </c>
      <c r="I57" s="122">
        <f ca="1">+INDEX(Model!$A:$AP,MATCH("EBITDA",Model!$A:$A,0),MATCH(DCF!I$51,Model!$3:$3,0))</f>
        <v>1945.2598608620265</v>
      </c>
      <c r="J57" s="122">
        <f ca="1">+INDEX(Model!$A:$AP,MATCH("EBITDA",Model!$A:$A,0),MATCH(DCF!J$51,Model!$3:$3,0))</f>
        <v>2602.2445113307949</v>
      </c>
      <c r="K57" s="122">
        <f ca="1">+INDEX(Model!$A:$AP,MATCH("EBITDA",Model!$A:$A,0),MATCH(DCF!K$51,Model!$3:$3,0))</f>
        <v>3355.8186396765223</v>
      </c>
      <c r="L57" s="122">
        <f ca="1">+INDEX(Model!$A:$AP,MATCH("EBITDA",Model!$A:$A,0),MATCH(DCF!L$51,Model!$3:$3,0))</f>
        <v>4228.361139521905</v>
      </c>
      <c r="M57" s="175">
        <f ca="1">+L57*(1+$K$36)</f>
        <v>4397.4955851027817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  <c r="AKX57" s="15"/>
      <c r="AKY57" s="15"/>
      <c r="AKZ57" s="15"/>
      <c r="ALA57" s="15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15"/>
      <c r="ALN57" s="15"/>
      <c r="ALO57" s="15"/>
      <c r="ALP57" s="15"/>
      <c r="ALQ57" s="15"/>
      <c r="ALR57" s="15"/>
      <c r="ALS57" s="15"/>
      <c r="ALT57" s="15"/>
      <c r="ALU57" s="15"/>
      <c r="ALV57" s="15"/>
      <c r="ALW57" s="15"/>
      <c r="ALX57" s="15"/>
      <c r="ALY57" s="15"/>
      <c r="ALZ57" s="15"/>
      <c r="AMA57" s="15"/>
      <c r="AMB57" s="15"/>
      <c r="AMC57" s="15"/>
      <c r="AMD57" s="15"/>
      <c r="AME57" s="15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15"/>
      <c r="AMR57" s="15"/>
      <c r="AMS57" s="15"/>
      <c r="AMT57" s="15"/>
      <c r="AMU57" s="15"/>
      <c r="AMV57" s="15"/>
      <c r="AMW57" s="15"/>
      <c r="AMX57" s="15"/>
      <c r="AMY57" s="15"/>
      <c r="AMZ57" s="15"/>
      <c r="ANA57" s="15"/>
      <c r="ANB57" s="15"/>
      <c r="ANC57" s="15"/>
      <c r="AND57" s="15"/>
      <c r="ANE57" s="15"/>
      <c r="ANF57" s="15"/>
      <c r="ANG57" s="15"/>
      <c r="ANH57" s="15"/>
      <c r="ANI57" s="15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15"/>
      <c r="ANV57" s="15"/>
      <c r="ANW57" s="15"/>
      <c r="ANX57" s="15"/>
      <c r="ANY57" s="15"/>
      <c r="ANZ57" s="15"/>
      <c r="AOA57" s="15"/>
      <c r="AOB57" s="15"/>
      <c r="AOC57" s="15"/>
      <c r="AOD57" s="15"/>
      <c r="AOE57" s="15"/>
      <c r="AOF57" s="15"/>
      <c r="AOG57" s="15"/>
      <c r="AOH57" s="15"/>
      <c r="AOI57" s="15"/>
      <c r="AOJ57" s="15"/>
      <c r="AOK57" s="15"/>
      <c r="AOL57" s="15"/>
      <c r="AOM57" s="15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15"/>
      <c r="AOZ57" s="15"/>
      <c r="APA57" s="15"/>
      <c r="APB57" s="15"/>
      <c r="APC57" s="15"/>
      <c r="APD57" s="15"/>
      <c r="APE57" s="15"/>
      <c r="APF57" s="15"/>
      <c r="APG57" s="15"/>
      <c r="APH57" s="15"/>
      <c r="API57" s="15"/>
      <c r="APJ57" s="15"/>
      <c r="APK57" s="15"/>
      <c r="APL57" s="15"/>
      <c r="APM57" s="15"/>
      <c r="APN57" s="15"/>
      <c r="APO57" s="15"/>
      <c r="APP57" s="15"/>
      <c r="APQ57" s="15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15"/>
      <c r="AQD57" s="15"/>
      <c r="AQE57" s="15"/>
      <c r="AQF57" s="15"/>
      <c r="AQG57" s="15"/>
      <c r="AQH57" s="15"/>
      <c r="AQI57" s="15"/>
      <c r="AQJ57" s="15"/>
      <c r="AQK57" s="15"/>
      <c r="AQL57" s="15"/>
      <c r="AQM57" s="15"/>
      <c r="AQN57" s="15"/>
      <c r="AQO57" s="15"/>
      <c r="AQP57" s="15"/>
      <c r="AQQ57" s="15"/>
      <c r="AQR57" s="15"/>
      <c r="AQS57" s="15"/>
      <c r="AQT57" s="15"/>
      <c r="AQU57" s="15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15"/>
      <c r="ARH57" s="15"/>
      <c r="ARI57" s="15"/>
      <c r="ARJ57" s="15"/>
      <c r="ARK57" s="15"/>
      <c r="ARL57" s="15"/>
      <c r="ARM57" s="15"/>
      <c r="ARN57" s="15"/>
      <c r="ARO57" s="15"/>
      <c r="ARP57" s="15"/>
      <c r="ARQ57" s="15"/>
      <c r="ARR57" s="15"/>
      <c r="ARS57" s="15"/>
      <c r="ART57" s="15"/>
      <c r="ARU57" s="15"/>
      <c r="ARV57" s="15"/>
      <c r="ARW57" s="15"/>
      <c r="ARX57" s="15"/>
      <c r="ARY57" s="15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15"/>
      <c r="ASL57" s="15"/>
      <c r="ASM57" s="15"/>
      <c r="ASN57" s="15"/>
      <c r="ASO57" s="15"/>
      <c r="ASP57" s="15"/>
      <c r="ASQ57" s="15"/>
      <c r="ASR57" s="15"/>
      <c r="ASS57" s="15"/>
      <c r="AST57" s="15"/>
      <c r="ASU57" s="15"/>
      <c r="ASV57" s="15"/>
      <c r="ASW57" s="15"/>
      <c r="ASX57" s="15"/>
      <c r="ASY57" s="15"/>
      <c r="ASZ57" s="15"/>
      <c r="ATA57" s="15"/>
      <c r="ATB57" s="15"/>
      <c r="ATC57" s="15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15"/>
      <c r="ATP57" s="15"/>
      <c r="ATQ57" s="15"/>
      <c r="ATR57" s="15"/>
      <c r="ATS57" s="15"/>
      <c r="ATT57" s="15"/>
      <c r="ATU57" s="15"/>
      <c r="ATV57" s="15"/>
      <c r="ATW57" s="15"/>
      <c r="ATX57" s="15"/>
      <c r="ATY57" s="15"/>
      <c r="ATZ57" s="15"/>
      <c r="AUA57" s="15"/>
      <c r="AUB57" s="15"/>
      <c r="AUC57" s="15"/>
      <c r="AUD57" s="15"/>
      <c r="AUE57" s="15"/>
      <c r="AUF57" s="15"/>
      <c r="AUG57" s="15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15"/>
      <c r="AUT57" s="15"/>
      <c r="AUU57" s="15"/>
      <c r="AUV57" s="15"/>
      <c r="AUW57" s="15"/>
      <c r="AUX57" s="15"/>
      <c r="AUY57" s="15"/>
      <c r="AUZ57" s="15"/>
      <c r="AVA57" s="15"/>
      <c r="AVB57" s="15"/>
      <c r="AVC57" s="15"/>
      <c r="AVD57" s="15"/>
      <c r="AVE57" s="15"/>
      <c r="AVF57" s="15"/>
      <c r="AVG57" s="15"/>
      <c r="AVH57" s="15"/>
      <c r="AVI57" s="15"/>
      <c r="AVJ57" s="15"/>
      <c r="AVK57" s="15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15"/>
      <c r="AVX57" s="15"/>
      <c r="AVY57" s="15"/>
      <c r="AVZ57" s="15"/>
      <c r="AWA57" s="15"/>
      <c r="AWB57" s="15"/>
      <c r="AWC57" s="15"/>
      <c r="AWD57" s="15"/>
      <c r="AWE57" s="15"/>
      <c r="AWF57" s="15"/>
      <c r="AWG57" s="15"/>
      <c r="AWH57" s="15"/>
      <c r="AWI57" s="15"/>
      <c r="AWJ57" s="15"/>
      <c r="AWK57" s="15"/>
      <c r="AWL57" s="15"/>
      <c r="AWM57" s="15"/>
      <c r="AWN57" s="15"/>
      <c r="AWO57" s="15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15"/>
      <c r="AXB57" s="15"/>
      <c r="AXC57" s="15"/>
      <c r="AXD57" s="15"/>
      <c r="AXE57" s="15"/>
      <c r="AXF57" s="15"/>
      <c r="AXG57" s="15"/>
      <c r="AXH57" s="15"/>
      <c r="AXI57" s="15"/>
      <c r="AXJ57" s="15"/>
      <c r="AXK57" s="15"/>
      <c r="AXL57" s="15"/>
      <c r="AXM57" s="15"/>
      <c r="AXN57" s="15"/>
      <c r="AXO57" s="15"/>
      <c r="AXP57" s="15"/>
      <c r="AXQ57" s="15"/>
      <c r="AXR57" s="15"/>
      <c r="AXS57" s="15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15"/>
      <c r="AYF57" s="15"/>
      <c r="AYG57" s="15"/>
      <c r="AYH57" s="15"/>
      <c r="AYI57" s="15"/>
      <c r="AYJ57" s="15"/>
      <c r="AYK57" s="15"/>
      <c r="AYL57" s="15"/>
      <c r="AYM57" s="15"/>
      <c r="AYN57" s="15"/>
      <c r="AYO57" s="15"/>
      <c r="AYP57" s="15"/>
      <c r="AYQ57" s="15"/>
      <c r="AYR57" s="15"/>
      <c r="AYS57" s="15"/>
      <c r="AYT57" s="15"/>
      <c r="AYU57" s="15"/>
      <c r="AYV57" s="15"/>
      <c r="AYW57" s="15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15"/>
      <c r="AZJ57" s="15"/>
      <c r="AZK57" s="15"/>
      <c r="AZL57" s="15"/>
      <c r="AZM57" s="15"/>
      <c r="AZN57" s="15"/>
      <c r="AZO57" s="15"/>
      <c r="AZP57" s="15"/>
      <c r="AZQ57" s="15"/>
      <c r="AZR57" s="15"/>
      <c r="AZS57" s="15"/>
      <c r="AZT57" s="15"/>
      <c r="AZU57" s="15"/>
      <c r="AZV57" s="15"/>
      <c r="AZW57" s="15"/>
      <c r="AZX57" s="15"/>
      <c r="AZY57" s="15"/>
      <c r="AZZ57" s="15"/>
      <c r="BAA57" s="15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15"/>
      <c r="BAN57" s="15"/>
      <c r="BAO57" s="15"/>
      <c r="BAP57" s="15"/>
      <c r="BAQ57" s="15"/>
      <c r="BAR57" s="15"/>
      <c r="BAS57" s="15"/>
      <c r="BAT57" s="15"/>
      <c r="BAU57" s="15"/>
      <c r="BAV57" s="15"/>
      <c r="BAW57" s="15"/>
      <c r="BAX57" s="15"/>
      <c r="BAY57" s="15"/>
      <c r="BAZ57" s="15"/>
      <c r="BBA57" s="15"/>
      <c r="BBB57" s="15"/>
      <c r="BBC57" s="15"/>
      <c r="BBD57" s="15"/>
      <c r="BBE57" s="15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15"/>
      <c r="BBR57" s="15"/>
      <c r="BBS57" s="15"/>
      <c r="BBT57" s="15"/>
      <c r="BBU57" s="15"/>
      <c r="BBV57" s="15"/>
      <c r="BBW57" s="15"/>
      <c r="BBX57" s="15"/>
      <c r="BBY57" s="15"/>
      <c r="BBZ57" s="15"/>
      <c r="BCA57" s="15"/>
      <c r="BCB57" s="15"/>
      <c r="BCC57" s="15"/>
      <c r="BCD57" s="15"/>
      <c r="BCE57" s="15"/>
      <c r="BCF57" s="15"/>
      <c r="BCG57" s="15"/>
      <c r="BCH57" s="15"/>
      <c r="BCI57" s="15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15"/>
      <c r="BCV57" s="15"/>
      <c r="BCW57" s="15"/>
      <c r="BCX57" s="15"/>
      <c r="BCY57" s="15"/>
      <c r="BCZ57" s="15"/>
      <c r="BDA57" s="15"/>
      <c r="BDB57" s="15"/>
      <c r="BDC57" s="15"/>
      <c r="BDD57" s="15"/>
      <c r="BDE57" s="15"/>
      <c r="BDF57" s="15"/>
      <c r="BDG57" s="15"/>
      <c r="BDH57" s="15"/>
      <c r="BDI57" s="15"/>
      <c r="BDJ57" s="15"/>
      <c r="BDK57" s="15"/>
      <c r="BDL57" s="15"/>
      <c r="BDM57" s="15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15"/>
      <c r="BDZ57" s="15"/>
      <c r="BEA57" s="15"/>
      <c r="BEB57" s="15"/>
      <c r="BEC57" s="15"/>
      <c r="BED57" s="15"/>
      <c r="BEE57" s="15"/>
      <c r="BEF57" s="15"/>
      <c r="BEG57" s="15"/>
      <c r="BEH57" s="15"/>
      <c r="BEI57" s="15"/>
      <c r="BEJ57" s="15"/>
      <c r="BEK57" s="15"/>
      <c r="BEL57" s="15"/>
      <c r="BEM57" s="15"/>
      <c r="BEN57" s="15"/>
      <c r="BEO57" s="15"/>
      <c r="BEP57" s="15"/>
      <c r="BEQ57" s="15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15"/>
      <c r="BFD57" s="15"/>
      <c r="BFE57" s="15"/>
      <c r="BFF57" s="15"/>
      <c r="BFG57" s="15"/>
      <c r="BFH57" s="15"/>
      <c r="BFI57" s="15"/>
      <c r="BFJ57" s="15"/>
      <c r="BFK57" s="15"/>
      <c r="BFL57" s="15"/>
      <c r="BFM57" s="15"/>
      <c r="BFN57" s="15"/>
      <c r="BFO57" s="15"/>
      <c r="BFP57" s="15"/>
      <c r="BFQ57" s="15"/>
      <c r="BFR57" s="15"/>
      <c r="BFS57" s="15"/>
      <c r="BFT57" s="15"/>
      <c r="BFU57" s="15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15"/>
      <c r="BGH57" s="15"/>
      <c r="BGI57" s="15"/>
      <c r="BGJ57" s="15"/>
      <c r="BGK57" s="15"/>
      <c r="BGL57" s="15"/>
      <c r="BGM57" s="15"/>
      <c r="BGN57" s="15"/>
      <c r="BGO57" s="15"/>
      <c r="BGP57" s="15"/>
      <c r="BGQ57" s="15"/>
      <c r="BGR57" s="15"/>
      <c r="BGS57" s="15"/>
      <c r="BGT57" s="15"/>
      <c r="BGU57" s="15"/>
      <c r="BGV57" s="15"/>
      <c r="BGW57" s="15"/>
      <c r="BGX57" s="15"/>
      <c r="BGY57" s="15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15"/>
      <c r="BHL57" s="15"/>
      <c r="BHM57" s="15"/>
      <c r="BHN57" s="15"/>
      <c r="BHO57" s="15"/>
      <c r="BHP57" s="15"/>
      <c r="BHQ57" s="15"/>
      <c r="BHR57" s="15"/>
      <c r="BHS57" s="15"/>
      <c r="BHT57" s="15"/>
      <c r="BHU57" s="15"/>
      <c r="BHV57" s="15"/>
      <c r="BHW57" s="15"/>
      <c r="BHX57" s="15"/>
      <c r="BHY57" s="15"/>
      <c r="BHZ57" s="15"/>
      <c r="BIA57" s="15"/>
      <c r="BIB57" s="15"/>
      <c r="BIC57" s="15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15"/>
      <c r="BIP57" s="15"/>
      <c r="BIQ57" s="15"/>
      <c r="BIR57" s="15"/>
      <c r="BIS57" s="15"/>
      <c r="BIT57" s="15"/>
      <c r="BIU57" s="15"/>
      <c r="BIV57" s="15"/>
      <c r="BIW57" s="15"/>
      <c r="BIX57" s="15"/>
      <c r="BIY57" s="15"/>
      <c r="BIZ57" s="15"/>
      <c r="BJA57" s="15"/>
      <c r="BJB57" s="15"/>
      <c r="BJC57" s="15"/>
      <c r="BJD57" s="15"/>
      <c r="BJE57" s="15"/>
      <c r="BJF57" s="15"/>
      <c r="BJG57" s="15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15"/>
      <c r="BJT57" s="15"/>
      <c r="BJU57" s="15"/>
      <c r="BJV57" s="15"/>
      <c r="BJW57" s="15"/>
      <c r="BJX57" s="15"/>
      <c r="BJY57" s="15"/>
      <c r="BJZ57" s="15"/>
      <c r="BKA57" s="15"/>
      <c r="BKB57" s="15"/>
      <c r="BKC57" s="15"/>
      <c r="BKD57" s="15"/>
      <c r="BKE57" s="15"/>
      <c r="BKF57" s="15"/>
      <c r="BKG57" s="15"/>
      <c r="BKH57" s="15"/>
      <c r="BKI57" s="15"/>
      <c r="BKJ57" s="15"/>
      <c r="BKK57" s="15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15"/>
      <c r="BKX57" s="15"/>
      <c r="BKY57" s="15"/>
      <c r="BKZ57" s="15"/>
      <c r="BLA57" s="15"/>
      <c r="BLB57" s="15"/>
      <c r="BLC57" s="15"/>
      <c r="BLD57" s="15"/>
      <c r="BLE57" s="15"/>
      <c r="BLF57" s="15"/>
      <c r="BLG57" s="15"/>
      <c r="BLH57" s="15"/>
      <c r="BLI57" s="15"/>
      <c r="BLJ57" s="15"/>
      <c r="BLK57" s="15"/>
      <c r="BLL57" s="15"/>
      <c r="BLM57" s="15"/>
      <c r="BLN57" s="15"/>
      <c r="BLO57" s="15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15"/>
      <c r="BMB57" s="15"/>
      <c r="BMC57" s="15"/>
      <c r="BMD57" s="15"/>
      <c r="BME57" s="15"/>
      <c r="BMF57" s="15"/>
      <c r="BMG57" s="15"/>
      <c r="BMH57" s="15"/>
      <c r="BMI57" s="15"/>
      <c r="BMJ57" s="15"/>
      <c r="BMK57" s="15"/>
      <c r="BML57" s="15"/>
      <c r="BMM57" s="15"/>
      <c r="BMN57" s="15"/>
      <c r="BMO57" s="15"/>
      <c r="BMP57" s="15"/>
      <c r="BMQ57" s="15"/>
      <c r="BMR57" s="15"/>
      <c r="BMS57" s="15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15"/>
      <c r="BNF57" s="15"/>
      <c r="BNG57" s="15"/>
      <c r="BNH57" s="15"/>
      <c r="BNI57" s="15"/>
      <c r="BNJ57" s="15"/>
      <c r="BNK57" s="15"/>
      <c r="BNL57" s="15"/>
      <c r="BNM57" s="15"/>
      <c r="BNN57" s="15"/>
      <c r="BNO57" s="15"/>
      <c r="BNP57" s="15"/>
      <c r="BNQ57" s="15"/>
      <c r="BNR57" s="15"/>
      <c r="BNS57" s="15"/>
      <c r="BNT57" s="15"/>
      <c r="BNU57" s="15"/>
      <c r="BNV57" s="15"/>
      <c r="BNW57" s="15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15"/>
      <c r="BOJ57" s="15"/>
      <c r="BOK57" s="15"/>
      <c r="BOL57" s="15"/>
      <c r="BOM57" s="15"/>
      <c r="BON57" s="15"/>
      <c r="BOO57" s="15"/>
      <c r="BOP57" s="15"/>
      <c r="BOQ57" s="15"/>
      <c r="BOR57" s="15"/>
      <c r="BOS57" s="15"/>
      <c r="BOT57" s="15"/>
      <c r="BOU57" s="15"/>
      <c r="BOV57" s="15"/>
      <c r="BOW57" s="15"/>
      <c r="BOX57" s="15"/>
      <c r="BOY57" s="15"/>
      <c r="BOZ57" s="15"/>
      <c r="BPA57" s="15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15"/>
      <c r="BPN57" s="15"/>
      <c r="BPO57" s="15"/>
      <c r="BPP57" s="15"/>
      <c r="BPQ57" s="15"/>
      <c r="BPR57" s="15"/>
      <c r="BPS57" s="15"/>
      <c r="BPT57" s="15"/>
      <c r="BPU57" s="15"/>
      <c r="BPV57" s="15"/>
      <c r="BPW57" s="15"/>
      <c r="BPX57" s="15"/>
      <c r="BPY57" s="15"/>
      <c r="BPZ57" s="15"/>
      <c r="BQA57" s="15"/>
      <c r="BQB57" s="15"/>
      <c r="BQC57" s="15"/>
      <c r="BQD57" s="15"/>
      <c r="BQE57" s="15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15"/>
      <c r="BQR57" s="15"/>
      <c r="BQS57" s="15"/>
      <c r="BQT57" s="15"/>
      <c r="BQU57" s="15"/>
      <c r="BQV57" s="15"/>
      <c r="BQW57" s="15"/>
      <c r="BQX57" s="15"/>
      <c r="BQY57" s="15"/>
      <c r="BQZ57" s="15"/>
      <c r="BRA57" s="15"/>
      <c r="BRB57" s="15"/>
      <c r="BRC57" s="15"/>
      <c r="BRD57" s="15"/>
      <c r="BRE57" s="15"/>
      <c r="BRF57" s="15"/>
      <c r="BRG57" s="15"/>
      <c r="BRH57" s="15"/>
      <c r="BRI57" s="15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15"/>
      <c r="BRV57" s="15"/>
      <c r="BRW57" s="15"/>
      <c r="BRX57" s="15"/>
      <c r="BRY57" s="15"/>
      <c r="BRZ57" s="15"/>
      <c r="BSA57" s="15"/>
      <c r="BSB57" s="15"/>
      <c r="BSC57" s="15"/>
      <c r="BSD57" s="15"/>
      <c r="BSE57" s="15"/>
      <c r="BSF57" s="15"/>
      <c r="BSG57" s="15"/>
      <c r="BSH57" s="15"/>
      <c r="BSI57" s="15"/>
      <c r="BSJ57" s="15"/>
      <c r="BSK57" s="15"/>
      <c r="BSL57" s="15"/>
      <c r="BSM57" s="15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15"/>
      <c r="BSZ57" s="15"/>
      <c r="BTA57" s="15"/>
      <c r="BTB57" s="15"/>
      <c r="BTC57" s="15"/>
      <c r="BTD57" s="15"/>
      <c r="BTE57" s="15"/>
      <c r="BTF57" s="15"/>
      <c r="BTG57" s="15"/>
      <c r="BTH57" s="15"/>
      <c r="BTI57" s="15"/>
      <c r="BTJ57" s="15"/>
      <c r="BTK57" s="15"/>
      <c r="BTL57" s="15"/>
      <c r="BTM57" s="15"/>
      <c r="BTN57" s="15"/>
      <c r="BTO57" s="15"/>
      <c r="BTP57" s="15"/>
      <c r="BTQ57" s="15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15"/>
      <c r="BUD57" s="15"/>
      <c r="BUE57" s="15"/>
      <c r="BUF57" s="15"/>
      <c r="BUG57" s="15"/>
      <c r="BUH57" s="15"/>
      <c r="BUI57" s="15"/>
      <c r="BUJ57" s="15"/>
      <c r="BUK57" s="15"/>
      <c r="BUL57" s="15"/>
      <c r="BUM57" s="15"/>
      <c r="BUN57" s="15"/>
      <c r="BUO57" s="15"/>
      <c r="BUP57" s="15"/>
      <c r="BUQ57" s="15"/>
      <c r="BUR57" s="15"/>
      <c r="BUS57" s="15"/>
      <c r="BUT57" s="15"/>
      <c r="BUU57" s="15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15"/>
      <c r="BVH57" s="15"/>
      <c r="BVI57" s="15"/>
      <c r="BVJ57" s="15"/>
      <c r="BVK57" s="15"/>
      <c r="BVL57" s="15"/>
      <c r="BVM57" s="15"/>
      <c r="BVN57" s="15"/>
      <c r="BVO57" s="15"/>
      <c r="BVP57" s="15"/>
      <c r="BVQ57" s="15"/>
      <c r="BVR57" s="15"/>
      <c r="BVS57" s="15"/>
      <c r="BVT57" s="15"/>
      <c r="BVU57" s="15"/>
      <c r="BVV57" s="15"/>
      <c r="BVW57" s="15"/>
      <c r="BVX57" s="15"/>
      <c r="BVY57" s="15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15"/>
      <c r="BWL57" s="15"/>
      <c r="BWM57" s="15"/>
      <c r="BWN57" s="15"/>
      <c r="BWO57" s="15"/>
      <c r="BWP57" s="15"/>
      <c r="BWQ57" s="15"/>
      <c r="BWR57" s="15"/>
      <c r="BWS57" s="15"/>
      <c r="BWT57" s="15"/>
      <c r="BWU57" s="15"/>
      <c r="BWV57" s="15"/>
      <c r="BWW57" s="15"/>
      <c r="BWX57" s="15"/>
      <c r="BWY57" s="15"/>
      <c r="BWZ57" s="15"/>
      <c r="BXA57" s="15"/>
      <c r="BXB57" s="15"/>
      <c r="BXC57" s="15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15"/>
      <c r="BXP57" s="15"/>
      <c r="BXQ57" s="15"/>
      <c r="BXR57" s="15"/>
      <c r="BXS57" s="15"/>
      <c r="BXT57" s="15"/>
      <c r="BXU57" s="15"/>
      <c r="BXV57" s="15"/>
      <c r="BXW57" s="15"/>
      <c r="BXX57" s="15"/>
      <c r="BXY57" s="15"/>
      <c r="BXZ57" s="15"/>
      <c r="BYA57" s="15"/>
      <c r="BYB57" s="15"/>
      <c r="BYC57" s="15"/>
      <c r="BYD57" s="15"/>
      <c r="BYE57" s="15"/>
      <c r="BYF57" s="15"/>
      <c r="BYG57" s="15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15"/>
      <c r="BYT57" s="15"/>
      <c r="BYU57" s="15"/>
      <c r="BYV57" s="15"/>
      <c r="BYW57" s="15"/>
      <c r="BYX57" s="15"/>
      <c r="BYY57" s="15"/>
      <c r="BYZ57" s="15"/>
      <c r="BZA57" s="15"/>
      <c r="BZB57" s="15"/>
      <c r="BZC57" s="15"/>
      <c r="BZD57" s="15"/>
      <c r="BZE57" s="15"/>
      <c r="BZF57" s="15"/>
      <c r="BZG57" s="15"/>
      <c r="BZH57" s="15"/>
      <c r="BZI57" s="15"/>
      <c r="BZJ57" s="15"/>
      <c r="BZK57" s="15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15"/>
      <c r="BZX57" s="15"/>
      <c r="BZY57" s="15"/>
      <c r="BZZ57" s="15"/>
      <c r="CAA57" s="15"/>
      <c r="CAB57" s="15"/>
      <c r="CAC57" s="15"/>
      <c r="CAD57" s="15"/>
      <c r="CAE57" s="15"/>
      <c r="CAF57" s="15"/>
      <c r="CAG57" s="15"/>
      <c r="CAH57" s="15"/>
      <c r="CAI57" s="15"/>
      <c r="CAJ57" s="15"/>
      <c r="CAK57" s="15"/>
      <c r="CAL57" s="15"/>
      <c r="CAM57" s="15"/>
      <c r="CAN57" s="15"/>
      <c r="CAO57" s="15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15"/>
      <c r="CBB57" s="15"/>
      <c r="CBC57" s="15"/>
      <c r="CBD57" s="15"/>
      <c r="CBE57" s="15"/>
      <c r="CBF57" s="15"/>
      <c r="CBG57" s="15"/>
      <c r="CBH57" s="15"/>
      <c r="CBI57" s="15"/>
      <c r="CBJ57" s="15"/>
      <c r="CBK57" s="15"/>
      <c r="CBL57" s="15"/>
      <c r="CBM57" s="15"/>
      <c r="CBN57" s="15"/>
      <c r="CBO57" s="15"/>
      <c r="CBP57" s="15"/>
      <c r="CBQ57" s="15"/>
      <c r="CBR57" s="15"/>
      <c r="CBS57" s="15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15"/>
      <c r="CCF57" s="15"/>
      <c r="CCG57" s="15"/>
      <c r="CCH57" s="15"/>
      <c r="CCI57" s="15"/>
      <c r="CCJ57" s="15"/>
      <c r="CCK57" s="15"/>
      <c r="CCL57" s="15"/>
      <c r="CCM57" s="15"/>
      <c r="CCN57" s="15"/>
      <c r="CCO57" s="15"/>
      <c r="CCP57" s="15"/>
      <c r="CCQ57" s="15"/>
      <c r="CCR57" s="15"/>
      <c r="CCS57" s="15"/>
      <c r="CCT57" s="15"/>
      <c r="CCU57" s="15"/>
      <c r="CCV57" s="15"/>
      <c r="CCW57" s="15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15"/>
      <c r="CDJ57" s="15"/>
      <c r="CDK57" s="15"/>
      <c r="CDL57" s="15"/>
      <c r="CDM57" s="15"/>
      <c r="CDN57" s="15"/>
      <c r="CDO57" s="15"/>
      <c r="CDP57" s="15"/>
      <c r="CDQ57" s="15"/>
      <c r="CDR57" s="15"/>
      <c r="CDS57" s="15"/>
      <c r="CDT57" s="15"/>
      <c r="CDU57" s="15"/>
      <c r="CDV57" s="15"/>
      <c r="CDW57" s="15"/>
      <c r="CDX57" s="15"/>
      <c r="CDY57" s="15"/>
      <c r="CDZ57" s="15"/>
      <c r="CEA57" s="15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15"/>
      <c r="CEN57" s="15"/>
      <c r="CEO57" s="15"/>
      <c r="CEP57" s="15"/>
      <c r="CEQ57" s="15"/>
      <c r="CER57" s="15"/>
      <c r="CES57" s="15"/>
      <c r="CET57" s="15"/>
      <c r="CEU57" s="15"/>
      <c r="CEV57" s="15"/>
      <c r="CEW57" s="15"/>
      <c r="CEX57" s="15"/>
      <c r="CEY57" s="15"/>
      <c r="CEZ57" s="15"/>
      <c r="CFA57" s="15"/>
      <c r="CFB57" s="15"/>
      <c r="CFC57" s="15"/>
      <c r="CFD57" s="15"/>
      <c r="CFE57" s="15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15"/>
      <c r="CFR57" s="15"/>
      <c r="CFS57" s="15"/>
      <c r="CFT57" s="15"/>
      <c r="CFU57" s="15"/>
      <c r="CFV57" s="15"/>
      <c r="CFW57" s="15"/>
      <c r="CFX57" s="15"/>
      <c r="CFY57" s="15"/>
      <c r="CFZ57" s="15"/>
      <c r="CGA57" s="15"/>
      <c r="CGB57" s="15"/>
      <c r="CGC57" s="15"/>
      <c r="CGD57" s="15"/>
      <c r="CGE57" s="15"/>
      <c r="CGF57" s="15"/>
      <c r="CGG57" s="15"/>
      <c r="CGH57" s="15"/>
      <c r="CGI57" s="15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15"/>
      <c r="CGV57" s="15"/>
      <c r="CGW57" s="15"/>
      <c r="CGX57" s="15"/>
      <c r="CGY57" s="15"/>
      <c r="CGZ57" s="15"/>
      <c r="CHA57" s="15"/>
      <c r="CHB57" s="15"/>
      <c r="CHC57" s="15"/>
      <c r="CHD57" s="15"/>
      <c r="CHE57" s="15"/>
      <c r="CHF57" s="15"/>
      <c r="CHG57" s="15"/>
      <c r="CHH57" s="15"/>
      <c r="CHI57" s="15"/>
      <c r="CHJ57" s="15"/>
      <c r="CHK57" s="15"/>
      <c r="CHL57" s="15"/>
      <c r="CHM57" s="15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15"/>
      <c r="CHZ57" s="15"/>
      <c r="CIA57" s="15"/>
      <c r="CIB57" s="15"/>
      <c r="CIC57" s="15"/>
      <c r="CID57" s="15"/>
      <c r="CIE57" s="15"/>
      <c r="CIF57" s="15"/>
      <c r="CIG57" s="15"/>
      <c r="CIH57" s="15"/>
      <c r="CII57" s="15"/>
      <c r="CIJ57" s="15"/>
      <c r="CIK57" s="15"/>
      <c r="CIL57" s="15"/>
      <c r="CIM57" s="15"/>
      <c r="CIN57" s="15"/>
      <c r="CIO57" s="15"/>
      <c r="CIP57" s="15"/>
      <c r="CIQ57" s="15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15"/>
      <c r="CJD57" s="15"/>
      <c r="CJE57" s="15"/>
      <c r="CJF57" s="15"/>
      <c r="CJG57" s="15"/>
      <c r="CJH57" s="15"/>
      <c r="CJI57" s="15"/>
      <c r="CJJ57" s="15"/>
      <c r="CJK57" s="15"/>
      <c r="CJL57" s="15"/>
      <c r="CJM57" s="15"/>
      <c r="CJN57" s="15"/>
      <c r="CJO57" s="15"/>
      <c r="CJP57" s="15"/>
      <c r="CJQ57" s="15"/>
      <c r="CJR57" s="15"/>
      <c r="CJS57" s="15"/>
      <c r="CJT57" s="15"/>
      <c r="CJU57" s="15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15"/>
      <c r="CKH57" s="15"/>
      <c r="CKI57" s="15"/>
      <c r="CKJ57" s="15"/>
      <c r="CKK57" s="15"/>
      <c r="CKL57" s="15"/>
      <c r="CKM57" s="15"/>
      <c r="CKN57" s="15"/>
      <c r="CKO57" s="15"/>
      <c r="CKP57" s="15"/>
      <c r="CKQ57" s="15"/>
      <c r="CKR57" s="15"/>
      <c r="CKS57" s="15"/>
      <c r="CKT57" s="15"/>
      <c r="CKU57" s="15"/>
      <c r="CKV57" s="15"/>
      <c r="CKW57" s="15"/>
      <c r="CKX57" s="15"/>
      <c r="CKY57" s="15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15"/>
      <c r="CLL57" s="15"/>
      <c r="CLM57" s="15"/>
      <c r="CLN57" s="15"/>
      <c r="CLO57" s="15"/>
      <c r="CLP57" s="15"/>
      <c r="CLQ57" s="15"/>
      <c r="CLR57" s="15"/>
      <c r="CLS57" s="15"/>
      <c r="CLT57" s="15"/>
      <c r="CLU57" s="15"/>
      <c r="CLV57" s="15"/>
      <c r="CLW57" s="15"/>
      <c r="CLX57" s="15"/>
      <c r="CLY57" s="15"/>
      <c r="CLZ57" s="15"/>
      <c r="CMA57" s="15"/>
      <c r="CMB57" s="15"/>
      <c r="CMC57" s="15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15"/>
      <c r="CMP57" s="15"/>
      <c r="CMQ57" s="15"/>
      <c r="CMR57" s="15"/>
      <c r="CMS57" s="15"/>
      <c r="CMT57" s="15"/>
      <c r="CMU57" s="15"/>
      <c r="CMV57" s="15"/>
      <c r="CMW57" s="15"/>
      <c r="CMX57" s="15"/>
      <c r="CMY57" s="15"/>
      <c r="CMZ57" s="15"/>
      <c r="CNA57" s="15"/>
      <c r="CNB57" s="15"/>
      <c r="CNC57" s="15"/>
      <c r="CND57" s="15"/>
      <c r="CNE57" s="15"/>
      <c r="CNF57" s="15"/>
      <c r="CNG57" s="15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15"/>
      <c r="CNT57" s="15"/>
      <c r="CNU57" s="15"/>
      <c r="CNV57" s="15"/>
      <c r="CNW57" s="15"/>
      <c r="CNX57" s="15"/>
      <c r="CNY57" s="15"/>
      <c r="CNZ57" s="15"/>
      <c r="COA57" s="15"/>
      <c r="COB57" s="15"/>
      <c r="COC57" s="15"/>
      <c r="COD57" s="15"/>
      <c r="COE57" s="15"/>
      <c r="COF57" s="15"/>
      <c r="COG57" s="15"/>
      <c r="COH57" s="15"/>
      <c r="COI57" s="15"/>
      <c r="COJ57" s="15"/>
      <c r="COK57" s="15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15"/>
      <c r="COX57" s="15"/>
      <c r="COY57" s="15"/>
      <c r="COZ57" s="15"/>
      <c r="CPA57" s="15"/>
      <c r="CPB57" s="15"/>
      <c r="CPC57" s="15"/>
      <c r="CPD57" s="15"/>
      <c r="CPE57" s="15"/>
      <c r="CPF57" s="15"/>
      <c r="CPG57" s="15"/>
      <c r="CPH57" s="15"/>
      <c r="CPI57" s="15"/>
      <c r="CPJ57" s="15"/>
      <c r="CPK57" s="15"/>
      <c r="CPL57" s="15"/>
      <c r="CPM57" s="15"/>
      <c r="CPN57" s="15"/>
      <c r="CPO57" s="15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15"/>
      <c r="CQB57" s="15"/>
      <c r="CQC57" s="15"/>
      <c r="CQD57" s="15"/>
      <c r="CQE57" s="15"/>
      <c r="CQF57" s="15"/>
      <c r="CQG57" s="15"/>
      <c r="CQH57" s="15"/>
      <c r="CQI57" s="15"/>
      <c r="CQJ57" s="15"/>
      <c r="CQK57" s="15"/>
      <c r="CQL57" s="15"/>
      <c r="CQM57" s="15"/>
      <c r="CQN57" s="15"/>
      <c r="CQO57" s="15"/>
      <c r="CQP57" s="15"/>
      <c r="CQQ57" s="15"/>
      <c r="CQR57" s="15"/>
      <c r="CQS57" s="15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15"/>
      <c r="CRF57" s="15"/>
      <c r="CRG57" s="15"/>
      <c r="CRH57" s="15"/>
      <c r="CRI57" s="15"/>
      <c r="CRJ57" s="15"/>
      <c r="CRK57" s="15"/>
      <c r="CRL57" s="15"/>
      <c r="CRM57" s="15"/>
      <c r="CRN57" s="15"/>
      <c r="CRO57" s="15"/>
      <c r="CRP57" s="15"/>
      <c r="CRQ57" s="15"/>
      <c r="CRR57" s="15"/>
      <c r="CRS57" s="15"/>
      <c r="CRT57" s="15"/>
      <c r="CRU57" s="15"/>
      <c r="CRV57" s="15"/>
      <c r="CRW57" s="15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15"/>
      <c r="CSJ57" s="15"/>
      <c r="CSK57" s="15"/>
      <c r="CSL57" s="15"/>
      <c r="CSM57" s="15"/>
      <c r="CSN57" s="15"/>
      <c r="CSO57" s="15"/>
      <c r="CSP57" s="15"/>
      <c r="CSQ57" s="15"/>
      <c r="CSR57" s="15"/>
      <c r="CSS57" s="15"/>
      <c r="CST57" s="15"/>
      <c r="CSU57" s="15"/>
      <c r="CSV57" s="15"/>
      <c r="CSW57" s="15"/>
      <c r="CSX57" s="15"/>
      <c r="CSY57" s="15"/>
      <c r="CSZ57" s="15"/>
      <c r="CTA57" s="15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15"/>
      <c r="CTN57" s="15"/>
      <c r="CTO57" s="15"/>
      <c r="CTP57" s="15"/>
      <c r="CTQ57" s="15"/>
      <c r="CTR57" s="15"/>
      <c r="CTS57" s="15"/>
      <c r="CTT57" s="15"/>
      <c r="CTU57" s="15"/>
      <c r="CTV57" s="15"/>
      <c r="CTW57" s="15"/>
      <c r="CTX57" s="15"/>
      <c r="CTY57" s="15"/>
      <c r="CTZ57" s="15"/>
      <c r="CUA57" s="15"/>
      <c r="CUB57" s="15"/>
      <c r="CUC57" s="15"/>
      <c r="CUD57" s="15"/>
      <c r="CUE57" s="15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15"/>
      <c r="CUR57" s="15"/>
      <c r="CUS57" s="15"/>
      <c r="CUT57" s="15"/>
      <c r="CUU57" s="15"/>
      <c r="CUV57" s="15"/>
      <c r="CUW57" s="15"/>
      <c r="CUX57" s="15"/>
      <c r="CUY57" s="15"/>
      <c r="CUZ57" s="15"/>
      <c r="CVA57" s="15"/>
      <c r="CVB57" s="15"/>
      <c r="CVC57" s="15"/>
      <c r="CVD57" s="15"/>
      <c r="CVE57" s="15"/>
      <c r="CVF57" s="15"/>
      <c r="CVG57" s="15"/>
      <c r="CVH57" s="15"/>
      <c r="CVI57" s="15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15"/>
      <c r="CVV57" s="15"/>
      <c r="CVW57" s="15"/>
      <c r="CVX57" s="15"/>
      <c r="CVY57" s="15"/>
      <c r="CVZ57" s="15"/>
      <c r="CWA57" s="15"/>
      <c r="CWB57" s="15"/>
      <c r="CWC57" s="15"/>
      <c r="CWD57" s="15"/>
      <c r="CWE57" s="15"/>
      <c r="CWF57" s="15"/>
      <c r="CWG57" s="15"/>
      <c r="CWH57" s="15"/>
      <c r="CWI57" s="15"/>
      <c r="CWJ57" s="15"/>
      <c r="CWK57" s="15"/>
      <c r="CWL57" s="15"/>
      <c r="CWM57" s="15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15"/>
      <c r="CWZ57" s="15"/>
      <c r="CXA57" s="15"/>
      <c r="CXB57" s="15"/>
      <c r="CXC57" s="15"/>
      <c r="CXD57" s="15"/>
      <c r="CXE57" s="15"/>
      <c r="CXF57" s="15"/>
      <c r="CXG57" s="15"/>
      <c r="CXH57" s="15"/>
      <c r="CXI57" s="15"/>
      <c r="CXJ57" s="15"/>
      <c r="CXK57" s="15"/>
      <c r="CXL57" s="15"/>
      <c r="CXM57" s="15"/>
      <c r="CXN57" s="15"/>
      <c r="CXO57" s="15"/>
      <c r="CXP57" s="15"/>
      <c r="CXQ57" s="15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15"/>
      <c r="CYD57" s="15"/>
      <c r="CYE57" s="15"/>
      <c r="CYF57" s="15"/>
      <c r="CYG57" s="15"/>
      <c r="CYH57" s="15"/>
      <c r="CYI57" s="15"/>
      <c r="CYJ57" s="15"/>
      <c r="CYK57" s="15"/>
      <c r="CYL57" s="15"/>
      <c r="CYM57" s="15"/>
      <c r="CYN57" s="15"/>
      <c r="CYO57" s="15"/>
      <c r="CYP57" s="15"/>
      <c r="CYQ57" s="15"/>
      <c r="CYR57" s="15"/>
      <c r="CYS57" s="15"/>
      <c r="CYT57" s="15"/>
      <c r="CYU57" s="15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15"/>
      <c r="CZH57" s="15"/>
      <c r="CZI57" s="15"/>
      <c r="CZJ57" s="15"/>
      <c r="CZK57" s="15"/>
      <c r="CZL57" s="15"/>
      <c r="CZM57" s="15"/>
      <c r="CZN57" s="15"/>
      <c r="CZO57" s="15"/>
      <c r="CZP57" s="15"/>
      <c r="CZQ57" s="15"/>
      <c r="CZR57" s="15"/>
      <c r="CZS57" s="15"/>
      <c r="CZT57" s="15"/>
      <c r="CZU57" s="15"/>
      <c r="CZV57" s="15"/>
      <c r="CZW57" s="15"/>
      <c r="CZX57" s="15"/>
      <c r="CZY57" s="15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15"/>
      <c r="DAL57" s="15"/>
      <c r="DAM57" s="15"/>
      <c r="DAN57" s="15"/>
      <c r="DAO57" s="15"/>
      <c r="DAP57" s="15"/>
      <c r="DAQ57" s="15"/>
      <c r="DAR57" s="15"/>
      <c r="DAS57" s="15"/>
      <c r="DAT57" s="15"/>
      <c r="DAU57" s="15"/>
      <c r="DAV57" s="15"/>
      <c r="DAW57" s="15"/>
      <c r="DAX57" s="15"/>
      <c r="DAY57" s="15"/>
      <c r="DAZ57" s="15"/>
      <c r="DBA57" s="15"/>
      <c r="DBB57" s="15"/>
      <c r="DBC57" s="15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15"/>
      <c r="DBP57" s="15"/>
      <c r="DBQ57" s="15"/>
      <c r="DBR57" s="15"/>
      <c r="DBS57" s="15"/>
      <c r="DBT57" s="15"/>
      <c r="DBU57" s="15"/>
      <c r="DBV57" s="15"/>
      <c r="DBW57" s="15"/>
      <c r="DBX57" s="15"/>
      <c r="DBY57" s="15"/>
      <c r="DBZ57" s="15"/>
      <c r="DCA57" s="15"/>
      <c r="DCB57" s="15"/>
      <c r="DCC57" s="15"/>
      <c r="DCD57" s="15"/>
      <c r="DCE57" s="15"/>
      <c r="DCF57" s="15"/>
      <c r="DCG57" s="15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15"/>
      <c r="DCT57" s="15"/>
      <c r="DCU57" s="15"/>
      <c r="DCV57" s="15"/>
      <c r="DCW57" s="15"/>
      <c r="DCX57" s="15"/>
      <c r="DCY57" s="15"/>
      <c r="DCZ57" s="15"/>
      <c r="DDA57" s="15"/>
      <c r="DDB57" s="15"/>
      <c r="DDC57" s="15"/>
      <c r="DDD57" s="15"/>
      <c r="DDE57" s="15"/>
      <c r="DDF57" s="15"/>
      <c r="DDG57" s="15"/>
      <c r="DDH57" s="15"/>
      <c r="DDI57" s="15"/>
      <c r="DDJ57" s="15"/>
      <c r="DDK57" s="15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15"/>
      <c r="DDX57" s="15"/>
      <c r="DDY57" s="15"/>
      <c r="DDZ57" s="15"/>
      <c r="DEA57" s="15"/>
      <c r="DEB57" s="15"/>
      <c r="DEC57" s="15"/>
      <c r="DED57" s="15"/>
      <c r="DEE57" s="15"/>
      <c r="DEF57" s="15"/>
      <c r="DEG57" s="15"/>
      <c r="DEH57" s="15"/>
      <c r="DEI57" s="15"/>
      <c r="DEJ57" s="15"/>
      <c r="DEK57" s="15"/>
      <c r="DEL57" s="15"/>
      <c r="DEM57" s="15"/>
      <c r="DEN57" s="15"/>
      <c r="DEO57" s="15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15"/>
      <c r="DFB57" s="15"/>
      <c r="DFC57" s="15"/>
      <c r="DFD57" s="15"/>
      <c r="DFE57" s="15"/>
      <c r="DFF57" s="15"/>
      <c r="DFG57" s="15"/>
      <c r="DFH57" s="15"/>
      <c r="DFI57" s="15"/>
      <c r="DFJ57" s="15"/>
      <c r="DFK57" s="15"/>
      <c r="DFL57" s="15"/>
      <c r="DFM57" s="15"/>
      <c r="DFN57" s="15"/>
      <c r="DFO57" s="15"/>
      <c r="DFP57" s="15"/>
      <c r="DFQ57" s="15"/>
      <c r="DFR57" s="15"/>
      <c r="DFS57" s="15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15"/>
      <c r="DGF57" s="15"/>
      <c r="DGG57" s="15"/>
      <c r="DGH57" s="15"/>
      <c r="DGI57" s="15"/>
      <c r="DGJ57" s="15"/>
      <c r="DGK57" s="15"/>
      <c r="DGL57" s="15"/>
      <c r="DGM57" s="15"/>
      <c r="DGN57" s="15"/>
      <c r="DGO57" s="15"/>
      <c r="DGP57" s="15"/>
      <c r="DGQ57" s="15"/>
      <c r="DGR57" s="15"/>
      <c r="DGS57" s="15"/>
      <c r="DGT57" s="15"/>
      <c r="DGU57" s="15"/>
      <c r="DGV57" s="15"/>
      <c r="DGW57" s="15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15"/>
      <c r="DHJ57" s="15"/>
      <c r="DHK57" s="15"/>
      <c r="DHL57" s="15"/>
      <c r="DHM57" s="15"/>
      <c r="DHN57" s="15"/>
      <c r="DHO57" s="15"/>
      <c r="DHP57" s="15"/>
      <c r="DHQ57" s="15"/>
      <c r="DHR57" s="15"/>
      <c r="DHS57" s="15"/>
      <c r="DHT57" s="15"/>
      <c r="DHU57" s="15"/>
      <c r="DHV57" s="15"/>
      <c r="DHW57" s="15"/>
      <c r="DHX57" s="15"/>
      <c r="DHY57" s="15"/>
      <c r="DHZ57" s="15"/>
      <c r="DIA57" s="15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15"/>
      <c r="DIN57" s="15"/>
      <c r="DIO57" s="15"/>
      <c r="DIP57" s="15"/>
      <c r="DIQ57" s="15"/>
      <c r="DIR57" s="15"/>
      <c r="DIS57" s="15"/>
      <c r="DIT57" s="15"/>
      <c r="DIU57" s="15"/>
      <c r="DIV57" s="15"/>
      <c r="DIW57" s="15"/>
      <c r="DIX57" s="15"/>
      <c r="DIY57" s="15"/>
      <c r="DIZ57" s="15"/>
      <c r="DJA57" s="15"/>
      <c r="DJB57" s="15"/>
      <c r="DJC57" s="15"/>
      <c r="DJD57" s="15"/>
      <c r="DJE57" s="15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15"/>
      <c r="DJR57" s="15"/>
      <c r="DJS57" s="15"/>
      <c r="DJT57" s="15"/>
      <c r="DJU57" s="15"/>
      <c r="DJV57" s="15"/>
      <c r="DJW57" s="15"/>
      <c r="DJX57" s="15"/>
      <c r="DJY57" s="15"/>
      <c r="DJZ57" s="15"/>
      <c r="DKA57" s="15"/>
      <c r="DKB57" s="15"/>
      <c r="DKC57" s="15"/>
      <c r="DKD57" s="15"/>
      <c r="DKE57" s="15"/>
      <c r="DKF57" s="15"/>
      <c r="DKG57" s="15"/>
      <c r="DKH57" s="15"/>
      <c r="DKI57" s="15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15"/>
      <c r="DKV57" s="15"/>
      <c r="DKW57" s="15"/>
      <c r="DKX57" s="15"/>
      <c r="DKY57" s="15"/>
      <c r="DKZ57" s="15"/>
      <c r="DLA57" s="15"/>
      <c r="DLB57" s="15"/>
      <c r="DLC57" s="15"/>
      <c r="DLD57" s="15"/>
      <c r="DLE57" s="15"/>
      <c r="DLF57" s="15"/>
      <c r="DLG57" s="15"/>
      <c r="DLH57" s="15"/>
      <c r="DLI57" s="15"/>
      <c r="DLJ57" s="15"/>
      <c r="DLK57" s="15"/>
      <c r="DLL57" s="15"/>
      <c r="DLM57" s="15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15"/>
      <c r="DLZ57" s="15"/>
      <c r="DMA57" s="15"/>
      <c r="DMB57" s="15"/>
      <c r="DMC57" s="15"/>
      <c r="DMD57" s="15"/>
      <c r="DME57" s="15"/>
      <c r="DMF57" s="15"/>
      <c r="DMG57" s="15"/>
      <c r="DMH57" s="15"/>
      <c r="DMI57" s="15"/>
      <c r="DMJ57" s="15"/>
      <c r="DMK57" s="15"/>
      <c r="DML57" s="15"/>
      <c r="DMM57" s="15"/>
      <c r="DMN57" s="15"/>
      <c r="DMO57" s="15"/>
      <c r="DMP57" s="15"/>
      <c r="DMQ57" s="15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15"/>
      <c r="DND57" s="15"/>
      <c r="DNE57" s="15"/>
      <c r="DNF57" s="15"/>
      <c r="DNG57" s="15"/>
      <c r="DNH57" s="15"/>
      <c r="DNI57" s="15"/>
      <c r="DNJ57" s="15"/>
      <c r="DNK57" s="15"/>
      <c r="DNL57" s="15"/>
      <c r="DNM57" s="15"/>
      <c r="DNN57" s="15"/>
      <c r="DNO57" s="15"/>
      <c r="DNP57" s="15"/>
      <c r="DNQ57" s="15"/>
      <c r="DNR57" s="15"/>
      <c r="DNS57" s="15"/>
      <c r="DNT57" s="15"/>
      <c r="DNU57" s="15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15"/>
      <c r="DOH57" s="15"/>
      <c r="DOI57" s="15"/>
      <c r="DOJ57" s="15"/>
      <c r="DOK57" s="15"/>
      <c r="DOL57" s="15"/>
      <c r="DOM57" s="15"/>
      <c r="DON57" s="15"/>
      <c r="DOO57" s="15"/>
      <c r="DOP57" s="15"/>
      <c r="DOQ57" s="15"/>
      <c r="DOR57" s="15"/>
      <c r="DOS57" s="15"/>
      <c r="DOT57" s="15"/>
      <c r="DOU57" s="15"/>
      <c r="DOV57" s="15"/>
      <c r="DOW57" s="15"/>
      <c r="DOX57" s="15"/>
      <c r="DOY57" s="15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15"/>
      <c r="DPL57" s="15"/>
      <c r="DPM57" s="15"/>
      <c r="DPN57" s="15"/>
      <c r="DPO57" s="15"/>
      <c r="DPP57" s="15"/>
      <c r="DPQ57" s="15"/>
      <c r="DPR57" s="15"/>
      <c r="DPS57" s="15"/>
      <c r="DPT57" s="15"/>
      <c r="DPU57" s="15"/>
      <c r="DPV57" s="15"/>
      <c r="DPW57" s="15"/>
      <c r="DPX57" s="15"/>
      <c r="DPY57" s="15"/>
      <c r="DPZ57" s="15"/>
      <c r="DQA57" s="15"/>
      <c r="DQB57" s="15"/>
      <c r="DQC57" s="15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15"/>
      <c r="DQP57" s="15"/>
      <c r="DQQ57" s="15"/>
      <c r="DQR57" s="15"/>
      <c r="DQS57" s="15"/>
      <c r="DQT57" s="15"/>
      <c r="DQU57" s="15"/>
      <c r="DQV57" s="15"/>
      <c r="DQW57" s="15"/>
      <c r="DQX57" s="15"/>
      <c r="DQY57" s="15"/>
      <c r="DQZ57" s="15"/>
      <c r="DRA57" s="15"/>
      <c r="DRB57" s="15"/>
      <c r="DRC57" s="15"/>
      <c r="DRD57" s="15"/>
      <c r="DRE57" s="15"/>
      <c r="DRF57" s="15"/>
      <c r="DRG57" s="15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15"/>
      <c r="DRT57" s="15"/>
      <c r="DRU57" s="15"/>
      <c r="DRV57" s="15"/>
      <c r="DRW57" s="15"/>
      <c r="DRX57" s="15"/>
      <c r="DRY57" s="15"/>
      <c r="DRZ57" s="15"/>
      <c r="DSA57" s="15"/>
      <c r="DSB57" s="15"/>
      <c r="DSC57" s="15"/>
      <c r="DSD57" s="15"/>
      <c r="DSE57" s="15"/>
      <c r="DSF57" s="15"/>
      <c r="DSG57" s="15"/>
      <c r="DSH57" s="15"/>
      <c r="DSI57" s="15"/>
      <c r="DSJ57" s="15"/>
      <c r="DSK57" s="15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15"/>
      <c r="DSX57" s="15"/>
      <c r="DSY57" s="15"/>
      <c r="DSZ57" s="15"/>
      <c r="DTA57" s="15"/>
      <c r="DTB57" s="15"/>
      <c r="DTC57" s="15"/>
      <c r="DTD57" s="15"/>
      <c r="DTE57" s="15"/>
      <c r="DTF57" s="15"/>
      <c r="DTG57" s="15"/>
      <c r="DTH57" s="15"/>
      <c r="DTI57" s="15"/>
      <c r="DTJ57" s="15"/>
      <c r="DTK57" s="15"/>
      <c r="DTL57" s="15"/>
      <c r="DTM57" s="15"/>
      <c r="DTN57" s="15"/>
      <c r="DTO57" s="15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15"/>
      <c r="DUB57" s="15"/>
      <c r="DUC57" s="15"/>
      <c r="DUD57" s="15"/>
      <c r="DUE57" s="15"/>
      <c r="DUF57" s="15"/>
      <c r="DUG57" s="15"/>
      <c r="DUH57" s="15"/>
      <c r="DUI57" s="15"/>
      <c r="DUJ57" s="15"/>
      <c r="DUK57" s="15"/>
      <c r="DUL57" s="15"/>
      <c r="DUM57" s="15"/>
      <c r="DUN57" s="15"/>
      <c r="DUO57" s="15"/>
      <c r="DUP57" s="15"/>
      <c r="DUQ57" s="15"/>
      <c r="DUR57" s="15"/>
      <c r="DUS57" s="15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15"/>
      <c r="DVF57" s="15"/>
      <c r="DVG57" s="15"/>
      <c r="DVH57" s="15"/>
      <c r="DVI57" s="15"/>
      <c r="DVJ57" s="15"/>
      <c r="DVK57" s="15"/>
      <c r="DVL57" s="15"/>
      <c r="DVM57" s="15"/>
      <c r="DVN57" s="15"/>
      <c r="DVO57" s="15"/>
      <c r="DVP57" s="15"/>
      <c r="DVQ57" s="15"/>
      <c r="DVR57" s="15"/>
      <c r="DVS57" s="15"/>
      <c r="DVT57" s="15"/>
      <c r="DVU57" s="15"/>
      <c r="DVV57" s="15"/>
      <c r="DVW57" s="15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15"/>
      <c r="DWJ57" s="15"/>
      <c r="DWK57" s="15"/>
      <c r="DWL57" s="15"/>
      <c r="DWM57" s="15"/>
      <c r="DWN57" s="15"/>
      <c r="DWO57" s="15"/>
      <c r="DWP57" s="15"/>
      <c r="DWQ57" s="15"/>
      <c r="DWR57" s="15"/>
      <c r="DWS57" s="15"/>
      <c r="DWT57" s="15"/>
      <c r="DWU57" s="15"/>
      <c r="DWV57" s="15"/>
      <c r="DWW57" s="15"/>
      <c r="DWX57" s="15"/>
      <c r="DWY57" s="15"/>
      <c r="DWZ57" s="15"/>
      <c r="DXA57" s="15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15"/>
      <c r="DXN57" s="15"/>
      <c r="DXO57" s="15"/>
      <c r="DXP57" s="15"/>
      <c r="DXQ57" s="15"/>
      <c r="DXR57" s="15"/>
      <c r="DXS57" s="15"/>
      <c r="DXT57" s="15"/>
      <c r="DXU57" s="15"/>
      <c r="DXV57" s="15"/>
      <c r="DXW57" s="15"/>
      <c r="DXX57" s="15"/>
      <c r="DXY57" s="15"/>
      <c r="DXZ57" s="15"/>
      <c r="DYA57" s="15"/>
      <c r="DYB57" s="15"/>
      <c r="DYC57" s="15"/>
      <c r="DYD57" s="15"/>
      <c r="DYE57" s="15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15"/>
      <c r="DYR57" s="15"/>
      <c r="DYS57" s="15"/>
      <c r="DYT57" s="15"/>
      <c r="DYU57" s="15"/>
      <c r="DYV57" s="15"/>
      <c r="DYW57" s="15"/>
      <c r="DYX57" s="15"/>
      <c r="DYY57" s="15"/>
      <c r="DYZ57" s="15"/>
      <c r="DZA57" s="15"/>
      <c r="DZB57" s="15"/>
      <c r="DZC57" s="15"/>
      <c r="DZD57" s="15"/>
      <c r="DZE57" s="15"/>
      <c r="DZF57" s="15"/>
      <c r="DZG57" s="15"/>
      <c r="DZH57" s="15"/>
      <c r="DZI57" s="15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15"/>
      <c r="DZV57" s="15"/>
      <c r="DZW57" s="15"/>
      <c r="DZX57" s="15"/>
      <c r="DZY57" s="15"/>
      <c r="DZZ57" s="15"/>
      <c r="EAA57" s="15"/>
      <c r="EAB57" s="15"/>
      <c r="EAC57" s="15"/>
      <c r="EAD57" s="15"/>
      <c r="EAE57" s="15"/>
      <c r="EAF57" s="15"/>
      <c r="EAG57" s="15"/>
      <c r="EAH57" s="15"/>
      <c r="EAI57" s="15"/>
      <c r="EAJ57" s="15"/>
      <c r="EAK57" s="15"/>
      <c r="EAL57" s="15"/>
      <c r="EAM57" s="15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15"/>
      <c r="EAZ57" s="15"/>
      <c r="EBA57" s="15"/>
      <c r="EBB57" s="15"/>
      <c r="EBC57" s="15"/>
      <c r="EBD57" s="15"/>
      <c r="EBE57" s="15"/>
      <c r="EBF57" s="15"/>
      <c r="EBG57" s="15"/>
      <c r="EBH57" s="15"/>
      <c r="EBI57" s="15"/>
      <c r="EBJ57" s="15"/>
      <c r="EBK57" s="15"/>
      <c r="EBL57" s="15"/>
      <c r="EBM57" s="15"/>
      <c r="EBN57" s="15"/>
      <c r="EBO57" s="15"/>
      <c r="EBP57" s="15"/>
      <c r="EBQ57" s="15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15"/>
      <c r="ECD57" s="15"/>
      <c r="ECE57" s="15"/>
      <c r="ECF57" s="15"/>
      <c r="ECG57" s="15"/>
      <c r="ECH57" s="15"/>
      <c r="ECI57" s="15"/>
      <c r="ECJ57" s="15"/>
      <c r="ECK57" s="15"/>
      <c r="ECL57" s="15"/>
      <c r="ECM57" s="15"/>
      <c r="ECN57" s="15"/>
      <c r="ECO57" s="15"/>
      <c r="ECP57" s="15"/>
      <c r="ECQ57" s="15"/>
      <c r="ECR57" s="15"/>
      <c r="ECS57" s="15"/>
      <c r="ECT57" s="15"/>
      <c r="ECU57" s="15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15"/>
      <c r="EDH57" s="15"/>
      <c r="EDI57" s="15"/>
      <c r="EDJ57" s="15"/>
      <c r="EDK57" s="15"/>
      <c r="EDL57" s="15"/>
      <c r="EDM57" s="15"/>
      <c r="EDN57" s="15"/>
      <c r="EDO57" s="15"/>
      <c r="EDP57" s="15"/>
      <c r="EDQ57" s="15"/>
      <c r="EDR57" s="15"/>
      <c r="EDS57" s="15"/>
      <c r="EDT57" s="15"/>
      <c r="EDU57" s="15"/>
      <c r="EDV57" s="15"/>
      <c r="EDW57" s="15"/>
      <c r="EDX57" s="15"/>
      <c r="EDY57" s="15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15"/>
      <c r="EEL57" s="15"/>
      <c r="EEM57" s="15"/>
      <c r="EEN57" s="15"/>
      <c r="EEO57" s="15"/>
      <c r="EEP57" s="15"/>
      <c r="EEQ57" s="15"/>
      <c r="EER57" s="15"/>
      <c r="EES57" s="15"/>
      <c r="EET57" s="15"/>
      <c r="EEU57" s="15"/>
      <c r="EEV57" s="15"/>
      <c r="EEW57" s="15"/>
      <c r="EEX57" s="15"/>
      <c r="EEY57" s="15"/>
      <c r="EEZ57" s="15"/>
      <c r="EFA57" s="15"/>
      <c r="EFB57" s="15"/>
      <c r="EFC57" s="15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15"/>
      <c r="EFP57" s="15"/>
      <c r="EFQ57" s="15"/>
      <c r="EFR57" s="15"/>
      <c r="EFS57" s="15"/>
      <c r="EFT57" s="15"/>
      <c r="EFU57" s="15"/>
      <c r="EFV57" s="15"/>
      <c r="EFW57" s="15"/>
      <c r="EFX57" s="15"/>
      <c r="EFY57" s="15"/>
      <c r="EFZ57" s="15"/>
      <c r="EGA57" s="15"/>
      <c r="EGB57" s="15"/>
      <c r="EGC57" s="15"/>
      <c r="EGD57" s="15"/>
      <c r="EGE57" s="15"/>
      <c r="EGF57" s="15"/>
      <c r="EGG57" s="15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15"/>
      <c r="EGT57" s="15"/>
      <c r="EGU57" s="15"/>
      <c r="EGV57" s="15"/>
      <c r="EGW57" s="15"/>
      <c r="EGX57" s="15"/>
      <c r="EGY57" s="15"/>
      <c r="EGZ57" s="15"/>
      <c r="EHA57" s="15"/>
      <c r="EHB57" s="15"/>
      <c r="EHC57" s="15"/>
      <c r="EHD57" s="15"/>
      <c r="EHE57" s="15"/>
      <c r="EHF57" s="15"/>
      <c r="EHG57" s="15"/>
      <c r="EHH57" s="15"/>
      <c r="EHI57" s="15"/>
      <c r="EHJ57" s="15"/>
      <c r="EHK57" s="15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15"/>
      <c r="EHX57" s="15"/>
      <c r="EHY57" s="15"/>
      <c r="EHZ57" s="15"/>
      <c r="EIA57" s="15"/>
      <c r="EIB57" s="15"/>
      <c r="EIC57" s="15"/>
      <c r="EID57" s="15"/>
      <c r="EIE57" s="15"/>
      <c r="EIF57" s="15"/>
      <c r="EIG57" s="15"/>
      <c r="EIH57" s="15"/>
      <c r="EII57" s="15"/>
      <c r="EIJ57" s="15"/>
      <c r="EIK57" s="15"/>
      <c r="EIL57" s="15"/>
      <c r="EIM57" s="15"/>
      <c r="EIN57" s="15"/>
      <c r="EIO57" s="15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15"/>
      <c r="EJB57" s="15"/>
      <c r="EJC57" s="15"/>
      <c r="EJD57" s="15"/>
      <c r="EJE57" s="15"/>
      <c r="EJF57" s="15"/>
      <c r="EJG57" s="15"/>
      <c r="EJH57" s="15"/>
      <c r="EJI57" s="15"/>
      <c r="EJJ57" s="15"/>
      <c r="EJK57" s="15"/>
      <c r="EJL57" s="15"/>
      <c r="EJM57" s="15"/>
      <c r="EJN57" s="15"/>
      <c r="EJO57" s="15"/>
      <c r="EJP57" s="15"/>
      <c r="EJQ57" s="15"/>
      <c r="EJR57" s="15"/>
      <c r="EJS57" s="15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15"/>
      <c r="EKF57" s="15"/>
      <c r="EKG57" s="15"/>
      <c r="EKH57" s="15"/>
      <c r="EKI57" s="15"/>
      <c r="EKJ57" s="15"/>
      <c r="EKK57" s="15"/>
      <c r="EKL57" s="15"/>
      <c r="EKM57" s="15"/>
      <c r="EKN57" s="15"/>
      <c r="EKO57" s="15"/>
      <c r="EKP57" s="15"/>
      <c r="EKQ57" s="15"/>
      <c r="EKR57" s="15"/>
      <c r="EKS57" s="15"/>
      <c r="EKT57" s="15"/>
      <c r="EKU57" s="15"/>
      <c r="EKV57" s="15"/>
      <c r="EKW57" s="15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15"/>
      <c r="ELJ57" s="15"/>
      <c r="ELK57" s="15"/>
      <c r="ELL57" s="15"/>
      <c r="ELM57" s="15"/>
      <c r="ELN57" s="15"/>
      <c r="ELO57" s="15"/>
      <c r="ELP57" s="15"/>
      <c r="ELQ57" s="15"/>
      <c r="ELR57" s="15"/>
      <c r="ELS57" s="15"/>
      <c r="ELT57" s="15"/>
      <c r="ELU57" s="15"/>
      <c r="ELV57" s="15"/>
      <c r="ELW57" s="15"/>
      <c r="ELX57" s="15"/>
      <c r="ELY57" s="15"/>
      <c r="ELZ57" s="15"/>
      <c r="EMA57" s="15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15"/>
      <c r="EMN57" s="15"/>
      <c r="EMO57" s="15"/>
      <c r="EMP57" s="15"/>
      <c r="EMQ57" s="15"/>
      <c r="EMR57" s="15"/>
      <c r="EMS57" s="15"/>
      <c r="EMT57" s="15"/>
      <c r="EMU57" s="15"/>
      <c r="EMV57" s="15"/>
      <c r="EMW57" s="15"/>
      <c r="EMX57" s="15"/>
      <c r="EMY57" s="15"/>
      <c r="EMZ57" s="15"/>
      <c r="ENA57" s="15"/>
      <c r="ENB57" s="15"/>
      <c r="ENC57" s="15"/>
      <c r="END57" s="15"/>
      <c r="ENE57" s="15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15"/>
      <c r="ENR57" s="15"/>
      <c r="ENS57" s="15"/>
      <c r="ENT57" s="15"/>
      <c r="ENU57" s="15"/>
      <c r="ENV57" s="15"/>
      <c r="ENW57" s="15"/>
      <c r="ENX57" s="15"/>
      <c r="ENY57" s="15"/>
      <c r="ENZ57" s="15"/>
      <c r="EOA57" s="15"/>
      <c r="EOB57" s="15"/>
      <c r="EOC57" s="15"/>
      <c r="EOD57" s="15"/>
      <c r="EOE57" s="15"/>
      <c r="EOF57" s="15"/>
      <c r="EOG57" s="15"/>
      <c r="EOH57" s="15"/>
      <c r="EOI57" s="15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15"/>
      <c r="EOV57" s="15"/>
      <c r="EOW57" s="15"/>
      <c r="EOX57" s="15"/>
      <c r="EOY57" s="15"/>
      <c r="EOZ57" s="15"/>
      <c r="EPA57" s="15"/>
      <c r="EPB57" s="15"/>
      <c r="EPC57" s="15"/>
      <c r="EPD57" s="15"/>
      <c r="EPE57" s="15"/>
      <c r="EPF57" s="15"/>
      <c r="EPG57" s="15"/>
      <c r="EPH57" s="15"/>
      <c r="EPI57" s="15"/>
      <c r="EPJ57" s="15"/>
      <c r="EPK57" s="15"/>
      <c r="EPL57" s="15"/>
      <c r="EPM57" s="15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15"/>
      <c r="EPZ57" s="15"/>
      <c r="EQA57" s="15"/>
      <c r="EQB57" s="15"/>
      <c r="EQC57" s="15"/>
      <c r="EQD57" s="15"/>
      <c r="EQE57" s="15"/>
      <c r="EQF57" s="15"/>
      <c r="EQG57" s="15"/>
      <c r="EQH57" s="15"/>
      <c r="EQI57" s="15"/>
      <c r="EQJ57" s="15"/>
      <c r="EQK57" s="15"/>
      <c r="EQL57" s="15"/>
      <c r="EQM57" s="15"/>
      <c r="EQN57" s="15"/>
      <c r="EQO57" s="15"/>
      <c r="EQP57" s="15"/>
      <c r="EQQ57" s="15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15"/>
      <c r="ERD57" s="15"/>
      <c r="ERE57" s="15"/>
      <c r="ERF57" s="15"/>
      <c r="ERG57" s="15"/>
      <c r="ERH57" s="15"/>
      <c r="ERI57" s="15"/>
      <c r="ERJ57" s="15"/>
      <c r="ERK57" s="15"/>
      <c r="ERL57" s="15"/>
      <c r="ERM57" s="15"/>
      <c r="ERN57" s="15"/>
      <c r="ERO57" s="15"/>
      <c r="ERP57" s="15"/>
      <c r="ERQ57" s="15"/>
      <c r="ERR57" s="15"/>
      <c r="ERS57" s="15"/>
      <c r="ERT57" s="15"/>
      <c r="ERU57" s="15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15"/>
      <c r="ESH57" s="15"/>
      <c r="ESI57" s="15"/>
      <c r="ESJ57" s="15"/>
      <c r="ESK57" s="15"/>
      <c r="ESL57" s="15"/>
      <c r="ESM57" s="15"/>
      <c r="ESN57" s="15"/>
      <c r="ESO57" s="15"/>
      <c r="ESP57" s="15"/>
      <c r="ESQ57" s="15"/>
      <c r="ESR57" s="15"/>
      <c r="ESS57" s="15"/>
      <c r="EST57" s="15"/>
      <c r="ESU57" s="15"/>
      <c r="ESV57" s="15"/>
      <c r="ESW57" s="15"/>
      <c r="ESX57" s="15"/>
      <c r="ESY57" s="15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15"/>
      <c r="ETL57" s="15"/>
      <c r="ETM57" s="15"/>
      <c r="ETN57" s="15"/>
      <c r="ETO57" s="15"/>
      <c r="ETP57" s="15"/>
      <c r="ETQ57" s="15"/>
      <c r="ETR57" s="15"/>
      <c r="ETS57" s="15"/>
      <c r="ETT57" s="15"/>
      <c r="ETU57" s="15"/>
      <c r="ETV57" s="15"/>
      <c r="ETW57" s="15"/>
      <c r="ETX57" s="15"/>
      <c r="ETY57" s="15"/>
      <c r="ETZ57" s="15"/>
      <c r="EUA57" s="15"/>
      <c r="EUB57" s="15"/>
      <c r="EUC57" s="15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15"/>
      <c r="EUP57" s="15"/>
      <c r="EUQ57" s="15"/>
      <c r="EUR57" s="15"/>
      <c r="EUS57" s="15"/>
      <c r="EUT57" s="15"/>
      <c r="EUU57" s="15"/>
      <c r="EUV57" s="15"/>
      <c r="EUW57" s="15"/>
      <c r="EUX57" s="15"/>
      <c r="EUY57" s="15"/>
      <c r="EUZ57" s="15"/>
      <c r="EVA57" s="15"/>
      <c r="EVB57" s="15"/>
      <c r="EVC57" s="15"/>
      <c r="EVD57" s="15"/>
      <c r="EVE57" s="15"/>
      <c r="EVF57" s="15"/>
      <c r="EVG57" s="15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15"/>
      <c r="EVT57" s="15"/>
      <c r="EVU57" s="15"/>
      <c r="EVV57" s="15"/>
      <c r="EVW57" s="15"/>
      <c r="EVX57" s="15"/>
      <c r="EVY57" s="15"/>
      <c r="EVZ57" s="15"/>
      <c r="EWA57" s="15"/>
      <c r="EWB57" s="15"/>
      <c r="EWC57" s="15"/>
      <c r="EWD57" s="15"/>
      <c r="EWE57" s="15"/>
      <c r="EWF57" s="15"/>
      <c r="EWG57" s="15"/>
      <c r="EWH57" s="15"/>
      <c r="EWI57" s="15"/>
      <c r="EWJ57" s="15"/>
      <c r="EWK57" s="15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15"/>
      <c r="EWX57" s="15"/>
      <c r="EWY57" s="15"/>
      <c r="EWZ57" s="15"/>
      <c r="EXA57" s="15"/>
      <c r="EXB57" s="15"/>
      <c r="EXC57" s="15"/>
      <c r="EXD57" s="15"/>
      <c r="EXE57" s="15"/>
      <c r="EXF57" s="15"/>
      <c r="EXG57" s="15"/>
      <c r="EXH57" s="15"/>
      <c r="EXI57" s="15"/>
      <c r="EXJ57" s="15"/>
      <c r="EXK57" s="15"/>
      <c r="EXL57" s="15"/>
      <c r="EXM57" s="15"/>
      <c r="EXN57" s="15"/>
      <c r="EXO57" s="15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15"/>
      <c r="EYB57" s="15"/>
      <c r="EYC57" s="15"/>
      <c r="EYD57" s="15"/>
      <c r="EYE57" s="15"/>
      <c r="EYF57" s="15"/>
      <c r="EYG57" s="15"/>
      <c r="EYH57" s="15"/>
      <c r="EYI57" s="15"/>
      <c r="EYJ57" s="15"/>
      <c r="EYK57" s="15"/>
      <c r="EYL57" s="15"/>
      <c r="EYM57" s="15"/>
      <c r="EYN57" s="15"/>
      <c r="EYO57" s="15"/>
      <c r="EYP57" s="15"/>
      <c r="EYQ57" s="15"/>
      <c r="EYR57" s="15"/>
      <c r="EYS57" s="15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15"/>
      <c r="EZF57" s="15"/>
      <c r="EZG57" s="15"/>
      <c r="EZH57" s="15"/>
      <c r="EZI57" s="15"/>
      <c r="EZJ57" s="15"/>
      <c r="EZK57" s="15"/>
      <c r="EZL57" s="15"/>
      <c r="EZM57" s="15"/>
      <c r="EZN57" s="15"/>
      <c r="EZO57" s="15"/>
      <c r="EZP57" s="15"/>
      <c r="EZQ57" s="15"/>
      <c r="EZR57" s="15"/>
      <c r="EZS57" s="15"/>
      <c r="EZT57" s="15"/>
      <c r="EZU57" s="15"/>
      <c r="EZV57" s="15"/>
      <c r="EZW57" s="15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15"/>
      <c r="FAJ57" s="15"/>
      <c r="FAK57" s="15"/>
      <c r="FAL57" s="15"/>
      <c r="FAM57" s="15"/>
      <c r="FAN57" s="15"/>
      <c r="FAO57" s="15"/>
      <c r="FAP57" s="15"/>
      <c r="FAQ57" s="15"/>
      <c r="FAR57" s="15"/>
      <c r="FAS57" s="15"/>
      <c r="FAT57" s="15"/>
      <c r="FAU57" s="15"/>
      <c r="FAV57" s="15"/>
      <c r="FAW57" s="15"/>
      <c r="FAX57" s="15"/>
      <c r="FAY57" s="15"/>
      <c r="FAZ57" s="15"/>
      <c r="FBA57" s="15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15"/>
      <c r="FBN57" s="15"/>
      <c r="FBO57" s="15"/>
      <c r="FBP57" s="15"/>
      <c r="FBQ57" s="15"/>
      <c r="FBR57" s="15"/>
      <c r="FBS57" s="15"/>
      <c r="FBT57" s="15"/>
      <c r="FBU57" s="15"/>
      <c r="FBV57" s="15"/>
      <c r="FBW57" s="15"/>
      <c r="FBX57" s="15"/>
      <c r="FBY57" s="15"/>
      <c r="FBZ57" s="15"/>
      <c r="FCA57" s="15"/>
      <c r="FCB57" s="15"/>
      <c r="FCC57" s="15"/>
      <c r="FCD57" s="15"/>
      <c r="FCE57" s="15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15"/>
      <c r="FCR57" s="15"/>
      <c r="FCS57" s="15"/>
      <c r="FCT57" s="15"/>
      <c r="FCU57" s="15"/>
      <c r="FCV57" s="15"/>
      <c r="FCW57" s="15"/>
      <c r="FCX57" s="15"/>
      <c r="FCY57" s="15"/>
      <c r="FCZ57" s="15"/>
      <c r="FDA57" s="15"/>
      <c r="FDB57" s="15"/>
      <c r="FDC57" s="15"/>
      <c r="FDD57" s="15"/>
      <c r="FDE57" s="15"/>
      <c r="FDF57" s="15"/>
      <c r="FDG57" s="15"/>
      <c r="FDH57" s="15"/>
      <c r="FDI57" s="15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15"/>
      <c r="FDV57" s="15"/>
      <c r="FDW57" s="15"/>
      <c r="FDX57" s="15"/>
      <c r="FDY57" s="15"/>
      <c r="FDZ57" s="15"/>
      <c r="FEA57" s="15"/>
      <c r="FEB57" s="15"/>
      <c r="FEC57" s="15"/>
      <c r="FED57" s="15"/>
      <c r="FEE57" s="15"/>
      <c r="FEF57" s="15"/>
      <c r="FEG57" s="15"/>
      <c r="FEH57" s="15"/>
      <c r="FEI57" s="15"/>
      <c r="FEJ57" s="15"/>
      <c r="FEK57" s="15"/>
      <c r="FEL57" s="15"/>
      <c r="FEM57" s="15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15"/>
      <c r="FEZ57" s="15"/>
      <c r="FFA57" s="15"/>
      <c r="FFB57" s="15"/>
      <c r="FFC57" s="15"/>
      <c r="FFD57" s="15"/>
      <c r="FFE57" s="15"/>
      <c r="FFF57" s="15"/>
      <c r="FFG57" s="15"/>
      <c r="FFH57" s="15"/>
      <c r="FFI57" s="15"/>
      <c r="FFJ57" s="15"/>
      <c r="FFK57" s="15"/>
      <c r="FFL57" s="15"/>
      <c r="FFM57" s="15"/>
      <c r="FFN57" s="15"/>
      <c r="FFO57" s="15"/>
      <c r="FFP57" s="15"/>
      <c r="FFQ57" s="15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15"/>
      <c r="FGD57" s="15"/>
      <c r="FGE57" s="15"/>
      <c r="FGF57" s="15"/>
      <c r="FGG57" s="15"/>
      <c r="FGH57" s="15"/>
      <c r="FGI57" s="15"/>
      <c r="FGJ57" s="15"/>
      <c r="FGK57" s="15"/>
      <c r="FGL57" s="15"/>
      <c r="FGM57" s="15"/>
      <c r="FGN57" s="15"/>
      <c r="FGO57" s="15"/>
      <c r="FGP57" s="15"/>
      <c r="FGQ57" s="15"/>
      <c r="FGR57" s="15"/>
      <c r="FGS57" s="15"/>
      <c r="FGT57" s="15"/>
      <c r="FGU57" s="15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15"/>
      <c r="FHH57" s="15"/>
      <c r="FHI57" s="15"/>
      <c r="FHJ57" s="15"/>
      <c r="FHK57" s="15"/>
      <c r="FHL57" s="15"/>
      <c r="FHM57" s="15"/>
      <c r="FHN57" s="15"/>
      <c r="FHO57" s="15"/>
      <c r="FHP57" s="15"/>
      <c r="FHQ57" s="15"/>
      <c r="FHR57" s="15"/>
      <c r="FHS57" s="15"/>
      <c r="FHT57" s="15"/>
      <c r="FHU57" s="15"/>
      <c r="FHV57" s="15"/>
      <c r="FHW57" s="15"/>
      <c r="FHX57" s="15"/>
      <c r="FHY57" s="15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15"/>
      <c r="FIL57" s="15"/>
      <c r="FIM57" s="15"/>
      <c r="FIN57" s="15"/>
      <c r="FIO57" s="15"/>
      <c r="FIP57" s="15"/>
      <c r="FIQ57" s="15"/>
      <c r="FIR57" s="15"/>
      <c r="FIS57" s="15"/>
      <c r="FIT57" s="15"/>
      <c r="FIU57" s="15"/>
      <c r="FIV57" s="15"/>
      <c r="FIW57" s="15"/>
      <c r="FIX57" s="15"/>
      <c r="FIY57" s="15"/>
      <c r="FIZ57" s="15"/>
      <c r="FJA57" s="15"/>
      <c r="FJB57" s="15"/>
      <c r="FJC57" s="15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15"/>
      <c r="FJP57" s="15"/>
      <c r="FJQ57" s="15"/>
      <c r="FJR57" s="15"/>
      <c r="FJS57" s="15"/>
      <c r="FJT57" s="15"/>
      <c r="FJU57" s="15"/>
      <c r="FJV57" s="15"/>
      <c r="FJW57" s="15"/>
      <c r="FJX57" s="15"/>
      <c r="FJY57" s="15"/>
      <c r="FJZ57" s="15"/>
      <c r="FKA57" s="15"/>
      <c r="FKB57" s="15"/>
      <c r="FKC57" s="15"/>
      <c r="FKD57" s="15"/>
      <c r="FKE57" s="15"/>
      <c r="FKF57" s="15"/>
      <c r="FKG57" s="15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15"/>
      <c r="FKT57" s="15"/>
      <c r="FKU57" s="15"/>
      <c r="FKV57" s="15"/>
      <c r="FKW57" s="15"/>
      <c r="FKX57" s="15"/>
      <c r="FKY57" s="15"/>
      <c r="FKZ57" s="15"/>
      <c r="FLA57" s="15"/>
      <c r="FLB57" s="15"/>
      <c r="FLC57" s="15"/>
      <c r="FLD57" s="15"/>
      <c r="FLE57" s="15"/>
      <c r="FLF57" s="15"/>
      <c r="FLG57" s="15"/>
      <c r="FLH57" s="15"/>
      <c r="FLI57" s="15"/>
      <c r="FLJ57" s="15"/>
      <c r="FLK57" s="15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15"/>
      <c r="FLX57" s="15"/>
      <c r="FLY57" s="15"/>
      <c r="FLZ57" s="15"/>
      <c r="FMA57" s="15"/>
      <c r="FMB57" s="15"/>
      <c r="FMC57" s="15"/>
      <c r="FMD57" s="15"/>
      <c r="FME57" s="15"/>
      <c r="FMF57" s="15"/>
      <c r="FMG57" s="15"/>
      <c r="FMH57" s="15"/>
      <c r="FMI57" s="15"/>
      <c r="FMJ57" s="15"/>
      <c r="FMK57" s="15"/>
      <c r="FML57" s="15"/>
      <c r="FMM57" s="15"/>
      <c r="FMN57" s="15"/>
      <c r="FMO57" s="15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15"/>
      <c r="FNB57" s="15"/>
      <c r="FNC57" s="15"/>
      <c r="FND57" s="15"/>
      <c r="FNE57" s="15"/>
      <c r="FNF57" s="15"/>
      <c r="FNG57" s="15"/>
      <c r="FNH57" s="15"/>
      <c r="FNI57" s="15"/>
      <c r="FNJ57" s="15"/>
      <c r="FNK57" s="15"/>
      <c r="FNL57" s="15"/>
      <c r="FNM57" s="15"/>
      <c r="FNN57" s="15"/>
      <c r="FNO57" s="15"/>
      <c r="FNP57" s="15"/>
      <c r="FNQ57" s="15"/>
      <c r="FNR57" s="15"/>
      <c r="FNS57" s="15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15"/>
      <c r="FOF57" s="15"/>
      <c r="FOG57" s="15"/>
      <c r="FOH57" s="15"/>
      <c r="FOI57" s="15"/>
      <c r="FOJ57" s="15"/>
      <c r="FOK57" s="15"/>
      <c r="FOL57" s="15"/>
      <c r="FOM57" s="15"/>
      <c r="FON57" s="15"/>
      <c r="FOO57" s="15"/>
      <c r="FOP57" s="15"/>
      <c r="FOQ57" s="15"/>
      <c r="FOR57" s="15"/>
      <c r="FOS57" s="15"/>
      <c r="FOT57" s="15"/>
      <c r="FOU57" s="15"/>
      <c r="FOV57" s="15"/>
      <c r="FOW57" s="15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15"/>
      <c r="FPJ57" s="15"/>
      <c r="FPK57" s="15"/>
      <c r="FPL57" s="15"/>
      <c r="FPM57" s="15"/>
      <c r="FPN57" s="15"/>
      <c r="FPO57" s="15"/>
      <c r="FPP57" s="15"/>
      <c r="FPQ57" s="15"/>
      <c r="FPR57" s="15"/>
      <c r="FPS57" s="15"/>
      <c r="FPT57" s="15"/>
      <c r="FPU57" s="15"/>
      <c r="FPV57" s="15"/>
      <c r="FPW57" s="15"/>
      <c r="FPX57" s="15"/>
      <c r="FPY57" s="15"/>
      <c r="FPZ57" s="15"/>
      <c r="FQA57" s="15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15"/>
      <c r="FQN57" s="15"/>
      <c r="FQO57" s="15"/>
      <c r="FQP57" s="15"/>
      <c r="FQQ57" s="15"/>
      <c r="FQR57" s="15"/>
      <c r="FQS57" s="15"/>
      <c r="FQT57" s="15"/>
      <c r="FQU57" s="15"/>
      <c r="FQV57" s="15"/>
      <c r="FQW57" s="15"/>
      <c r="FQX57" s="15"/>
      <c r="FQY57" s="15"/>
      <c r="FQZ57" s="15"/>
      <c r="FRA57" s="15"/>
      <c r="FRB57" s="15"/>
      <c r="FRC57" s="15"/>
      <c r="FRD57" s="15"/>
      <c r="FRE57" s="15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15"/>
      <c r="FRR57" s="15"/>
      <c r="FRS57" s="15"/>
      <c r="FRT57" s="15"/>
      <c r="FRU57" s="15"/>
      <c r="FRV57" s="15"/>
      <c r="FRW57" s="15"/>
      <c r="FRX57" s="15"/>
      <c r="FRY57" s="15"/>
      <c r="FRZ57" s="15"/>
      <c r="FSA57" s="15"/>
      <c r="FSB57" s="15"/>
      <c r="FSC57" s="15"/>
      <c r="FSD57" s="15"/>
      <c r="FSE57" s="15"/>
      <c r="FSF57" s="15"/>
      <c r="FSG57" s="15"/>
      <c r="FSH57" s="15"/>
      <c r="FSI57" s="15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15"/>
      <c r="FSV57" s="15"/>
      <c r="FSW57" s="15"/>
      <c r="FSX57" s="15"/>
      <c r="FSY57" s="15"/>
      <c r="FSZ57" s="15"/>
      <c r="FTA57" s="15"/>
      <c r="FTB57" s="15"/>
      <c r="FTC57" s="15"/>
      <c r="FTD57" s="15"/>
      <c r="FTE57" s="15"/>
      <c r="FTF57" s="15"/>
      <c r="FTG57" s="15"/>
      <c r="FTH57" s="15"/>
      <c r="FTI57" s="15"/>
      <c r="FTJ57" s="15"/>
      <c r="FTK57" s="15"/>
      <c r="FTL57" s="15"/>
      <c r="FTM57" s="15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15"/>
      <c r="FTZ57" s="15"/>
      <c r="FUA57" s="15"/>
      <c r="FUB57" s="15"/>
      <c r="FUC57" s="15"/>
      <c r="FUD57" s="15"/>
      <c r="FUE57" s="15"/>
      <c r="FUF57" s="15"/>
      <c r="FUG57" s="15"/>
      <c r="FUH57" s="15"/>
      <c r="FUI57" s="15"/>
      <c r="FUJ57" s="15"/>
      <c r="FUK57" s="15"/>
      <c r="FUL57" s="15"/>
      <c r="FUM57" s="15"/>
      <c r="FUN57" s="15"/>
      <c r="FUO57" s="15"/>
      <c r="FUP57" s="15"/>
      <c r="FUQ57" s="15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15"/>
      <c r="FVD57" s="15"/>
      <c r="FVE57" s="15"/>
      <c r="FVF57" s="15"/>
      <c r="FVG57" s="15"/>
      <c r="FVH57" s="15"/>
      <c r="FVI57" s="15"/>
      <c r="FVJ57" s="15"/>
      <c r="FVK57" s="15"/>
      <c r="FVL57" s="15"/>
      <c r="FVM57" s="15"/>
      <c r="FVN57" s="15"/>
      <c r="FVO57" s="15"/>
      <c r="FVP57" s="15"/>
      <c r="FVQ57" s="15"/>
      <c r="FVR57" s="15"/>
      <c r="FVS57" s="15"/>
      <c r="FVT57" s="15"/>
      <c r="FVU57" s="15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15"/>
      <c r="FWH57" s="15"/>
      <c r="FWI57" s="15"/>
      <c r="FWJ57" s="15"/>
      <c r="FWK57" s="15"/>
      <c r="FWL57" s="15"/>
      <c r="FWM57" s="15"/>
      <c r="FWN57" s="15"/>
      <c r="FWO57" s="15"/>
      <c r="FWP57" s="15"/>
      <c r="FWQ57" s="15"/>
      <c r="FWR57" s="15"/>
      <c r="FWS57" s="15"/>
      <c r="FWT57" s="15"/>
      <c r="FWU57" s="15"/>
      <c r="FWV57" s="15"/>
      <c r="FWW57" s="15"/>
      <c r="FWX57" s="15"/>
      <c r="FWY57" s="15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15"/>
      <c r="FXL57" s="15"/>
      <c r="FXM57" s="15"/>
      <c r="FXN57" s="15"/>
      <c r="FXO57" s="15"/>
      <c r="FXP57" s="15"/>
      <c r="FXQ57" s="15"/>
      <c r="FXR57" s="15"/>
      <c r="FXS57" s="15"/>
      <c r="FXT57" s="15"/>
      <c r="FXU57" s="15"/>
      <c r="FXV57" s="15"/>
      <c r="FXW57" s="15"/>
      <c r="FXX57" s="15"/>
      <c r="FXY57" s="15"/>
      <c r="FXZ57" s="15"/>
      <c r="FYA57" s="15"/>
      <c r="FYB57" s="15"/>
      <c r="FYC57" s="15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15"/>
      <c r="FYP57" s="15"/>
      <c r="FYQ57" s="15"/>
      <c r="FYR57" s="15"/>
      <c r="FYS57" s="15"/>
      <c r="FYT57" s="15"/>
      <c r="FYU57" s="15"/>
      <c r="FYV57" s="15"/>
      <c r="FYW57" s="15"/>
      <c r="FYX57" s="15"/>
      <c r="FYY57" s="15"/>
      <c r="FYZ57" s="15"/>
      <c r="FZA57" s="15"/>
      <c r="FZB57" s="15"/>
      <c r="FZC57" s="15"/>
      <c r="FZD57" s="15"/>
      <c r="FZE57" s="15"/>
      <c r="FZF57" s="15"/>
      <c r="FZG57" s="15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15"/>
      <c r="FZT57" s="15"/>
      <c r="FZU57" s="15"/>
      <c r="FZV57" s="15"/>
      <c r="FZW57" s="15"/>
      <c r="FZX57" s="15"/>
      <c r="FZY57" s="15"/>
      <c r="FZZ57" s="15"/>
      <c r="GAA57" s="15"/>
      <c r="GAB57" s="15"/>
      <c r="GAC57" s="15"/>
      <c r="GAD57" s="15"/>
      <c r="GAE57" s="15"/>
      <c r="GAF57" s="15"/>
      <c r="GAG57" s="15"/>
      <c r="GAH57" s="15"/>
      <c r="GAI57" s="15"/>
      <c r="GAJ57" s="15"/>
      <c r="GAK57" s="15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15"/>
      <c r="GAX57" s="15"/>
      <c r="GAY57" s="15"/>
      <c r="GAZ57" s="15"/>
      <c r="GBA57" s="15"/>
      <c r="GBB57" s="15"/>
      <c r="GBC57" s="15"/>
      <c r="GBD57" s="15"/>
      <c r="GBE57" s="15"/>
      <c r="GBF57" s="15"/>
      <c r="GBG57" s="15"/>
      <c r="GBH57" s="15"/>
      <c r="GBI57" s="15"/>
      <c r="GBJ57" s="15"/>
      <c r="GBK57" s="15"/>
      <c r="GBL57" s="15"/>
      <c r="GBM57" s="15"/>
      <c r="GBN57" s="15"/>
      <c r="GBO57" s="15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15"/>
      <c r="GCB57" s="15"/>
      <c r="GCC57" s="15"/>
      <c r="GCD57" s="15"/>
      <c r="GCE57" s="15"/>
      <c r="GCF57" s="15"/>
      <c r="GCG57" s="15"/>
      <c r="GCH57" s="15"/>
      <c r="GCI57" s="15"/>
      <c r="GCJ57" s="15"/>
      <c r="GCK57" s="15"/>
      <c r="GCL57" s="15"/>
      <c r="GCM57" s="15"/>
      <c r="GCN57" s="15"/>
      <c r="GCO57" s="15"/>
      <c r="GCP57" s="15"/>
      <c r="GCQ57" s="15"/>
      <c r="GCR57" s="15"/>
      <c r="GCS57" s="15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15"/>
      <c r="GDF57" s="15"/>
      <c r="GDG57" s="15"/>
      <c r="GDH57" s="15"/>
      <c r="GDI57" s="15"/>
      <c r="GDJ57" s="15"/>
      <c r="GDK57" s="15"/>
      <c r="GDL57" s="15"/>
      <c r="GDM57" s="15"/>
      <c r="GDN57" s="15"/>
      <c r="GDO57" s="15"/>
      <c r="GDP57" s="15"/>
      <c r="GDQ57" s="15"/>
      <c r="GDR57" s="15"/>
      <c r="GDS57" s="15"/>
      <c r="GDT57" s="15"/>
      <c r="GDU57" s="15"/>
      <c r="GDV57" s="15"/>
      <c r="GDW57" s="15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15"/>
      <c r="GEJ57" s="15"/>
      <c r="GEK57" s="15"/>
      <c r="GEL57" s="15"/>
      <c r="GEM57" s="15"/>
      <c r="GEN57" s="15"/>
      <c r="GEO57" s="15"/>
      <c r="GEP57" s="15"/>
      <c r="GEQ57" s="15"/>
      <c r="GER57" s="15"/>
      <c r="GES57" s="15"/>
      <c r="GET57" s="15"/>
      <c r="GEU57" s="15"/>
      <c r="GEV57" s="15"/>
      <c r="GEW57" s="15"/>
      <c r="GEX57" s="15"/>
      <c r="GEY57" s="15"/>
      <c r="GEZ57" s="15"/>
      <c r="GFA57" s="15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15"/>
      <c r="GFN57" s="15"/>
      <c r="GFO57" s="15"/>
      <c r="GFP57" s="15"/>
      <c r="GFQ57" s="15"/>
      <c r="GFR57" s="15"/>
      <c r="GFS57" s="15"/>
      <c r="GFT57" s="15"/>
      <c r="GFU57" s="15"/>
      <c r="GFV57" s="15"/>
      <c r="GFW57" s="15"/>
      <c r="GFX57" s="15"/>
      <c r="GFY57" s="15"/>
      <c r="GFZ57" s="15"/>
      <c r="GGA57" s="15"/>
      <c r="GGB57" s="15"/>
      <c r="GGC57" s="15"/>
      <c r="GGD57" s="15"/>
      <c r="GGE57" s="15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15"/>
      <c r="GGR57" s="15"/>
      <c r="GGS57" s="15"/>
      <c r="GGT57" s="15"/>
      <c r="GGU57" s="15"/>
      <c r="GGV57" s="15"/>
      <c r="GGW57" s="15"/>
      <c r="GGX57" s="15"/>
      <c r="GGY57" s="15"/>
      <c r="GGZ57" s="15"/>
      <c r="GHA57" s="15"/>
      <c r="GHB57" s="15"/>
      <c r="GHC57" s="15"/>
      <c r="GHD57" s="15"/>
      <c r="GHE57" s="15"/>
      <c r="GHF57" s="15"/>
      <c r="GHG57" s="15"/>
      <c r="GHH57" s="15"/>
      <c r="GHI57" s="15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15"/>
      <c r="GHV57" s="15"/>
      <c r="GHW57" s="15"/>
      <c r="GHX57" s="15"/>
      <c r="GHY57" s="15"/>
      <c r="GHZ57" s="15"/>
      <c r="GIA57" s="15"/>
      <c r="GIB57" s="15"/>
      <c r="GIC57" s="15"/>
      <c r="GID57" s="15"/>
      <c r="GIE57" s="15"/>
      <c r="GIF57" s="15"/>
      <c r="GIG57" s="15"/>
      <c r="GIH57" s="15"/>
      <c r="GII57" s="15"/>
      <c r="GIJ57" s="15"/>
      <c r="GIK57" s="15"/>
      <c r="GIL57" s="15"/>
      <c r="GIM57" s="15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15"/>
      <c r="GIZ57" s="15"/>
      <c r="GJA57" s="15"/>
      <c r="GJB57" s="15"/>
      <c r="GJC57" s="15"/>
      <c r="GJD57" s="15"/>
      <c r="GJE57" s="15"/>
      <c r="GJF57" s="15"/>
      <c r="GJG57" s="15"/>
      <c r="GJH57" s="15"/>
      <c r="GJI57" s="15"/>
      <c r="GJJ57" s="15"/>
      <c r="GJK57" s="15"/>
      <c r="GJL57" s="15"/>
      <c r="GJM57" s="15"/>
      <c r="GJN57" s="15"/>
      <c r="GJO57" s="15"/>
      <c r="GJP57" s="15"/>
      <c r="GJQ57" s="15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15"/>
      <c r="GKD57" s="15"/>
      <c r="GKE57" s="15"/>
      <c r="GKF57" s="15"/>
      <c r="GKG57" s="15"/>
      <c r="GKH57" s="15"/>
      <c r="GKI57" s="15"/>
      <c r="GKJ57" s="15"/>
      <c r="GKK57" s="15"/>
      <c r="GKL57" s="15"/>
      <c r="GKM57" s="15"/>
      <c r="GKN57" s="15"/>
      <c r="GKO57" s="15"/>
      <c r="GKP57" s="15"/>
      <c r="GKQ57" s="15"/>
      <c r="GKR57" s="15"/>
      <c r="GKS57" s="15"/>
      <c r="GKT57" s="15"/>
      <c r="GKU57" s="15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15"/>
      <c r="GLH57" s="15"/>
      <c r="GLI57" s="15"/>
      <c r="GLJ57" s="15"/>
      <c r="GLK57" s="15"/>
      <c r="GLL57" s="15"/>
      <c r="GLM57" s="15"/>
      <c r="GLN57" s="15"/>
      <c r="GLO57" s="15"/>
      <c r="GLP57" s="15"/>
      <c r="GLQ57" s="15"/>
      <c r="GLR57" s="15"/>
      <c r="GLS57" s="15"/>
      <c r="GLT57" s="15"/>
      <c r="GLU57" s="15"/>
      <c r="GLV57" s="15"/>
      <c r="GLW57" s="15"/>
      <c r="GLX57" s="15"/>
      <c r="GLY57" s="15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15"/>
      <c r="GML57" s="15"/>
      <c r="GMM57" s="15"/>
      <c r="GMN57" s="15"/>
      <c r="GMO57" s="15"/>
      <c r="GMP57" s="15"/>
      <c r="GMQ57" s="15"/>
      <c r="GMR57" s="15"/>
      <c r="GMS57" s="15"/>
      <c r="GMT57" s="15"/>
      <c r="GMU57" s="15"/>
      <c r="GMV57" s="15"/>
      <c r="GMW57" s="15"/>
      <c r="GMX57" s="15"/>
      <c r="GMY57" s="15"/>
      <c r="GMZ57" s="15"/>
      <c r="GNA57" s="15"/>
      <c r="GNB57" s="15"/>
      <c r="GNC57" s="15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15"/>
      <c r="GNP57" s="15"/>
      <c r="GNQ57" s="15"/>
      <c r="GNR57" s="15"/>
      <c r="GNS57" s="15"/>
      <c r="GNT57" s="15"/>
      <c r="GNU57" s="15"/>
      <c r="GNV57" s="15"/>
      <c r="GNW57" s="15"/>
      <c r="GNX57" s="15"/>
      <c r="GNY57" s="15"/>
      <c r="GNZ57" s="15"/>
      <c r="GOA57" s="15"/>
      <c r="GOB57" s="15"/>
      <c r="GOC57" s="15"/>
      <c r="GOD57" s="15"/>
      <c r="GOE57" s="15"/>
      <c r="GOF57" s="15"/>
      <c r="GOG57" s="15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15"/>
      <c r="GOT57" s="15"/>
      <c r="GOU57" s="15"/>
      <c r="GOV57" s="15"/>
      <c r="GOW57" s="15"/>
      <c r="GOX57" s="15"/>
      <c r="GOY57" s="15"/>
      <c r="GOZ57" s="15"/>
      <c r="GPA57" s="15"/>
      <c r="GPB57" s="15"/>
      <c r="GPC57" s="15"/>
      <c r="GPD57" s="15"/>
      <c r="GPE57" s="15"/>
      <c r="GPF57" s="15"/>
      <c r="GPG57" s="15"/>
      <c r="GPH57" s="15"/>
      <c r="GPI57" s="15"/>
      <c r="GPJ57" s="15"/>
      <c r="GPK57" s="15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15"/>
      <c r="GPX57" s="15"/>
      <c r="GPY57" s="15"/>
      <c r="GPZ57" s="15"/>
      <c r="GQA57" s="15"/>
      <c r="GQB57" s="15"/>
      <c r="GQC57" s="15"/>
      <c r="GQD57" s="15"/>
      <c r="GQE57" s="15"/>
      <c r="GQF57" s="15"/>
      <c r="GQG57" s="15"/>
      <c r="GQH57" s="15"/>
      <c r="GQI57" s="15"/>
      <c r="GQJ57" s="15"/>
      <c r="GQK57" s="15"/>
      <c r="GQL57" s="15"/>
      <c r="GQM57" s="15"/>
      <c r="GQN57" s="15"/>
      <c r="GQO57" s="15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15"/>
      <c r="GRB57" s="15"/>
      <c r="GRC57" s="15"/>
      <c r="GRD57" s="15"/>
      <c r="GRE57" s="15"/>
      <c r="GRF57" s="15"/>
      <c r="GRG57" s="15"/>
      <c r="GRH57" s="15"/>
      <c r="GRI57" s="15"/>
      <c r="GRJ57" s="15"/>
      <c r="GRK57" s="15"/>
      <c r="GRL57" s="15"/>
      <c r="GRM57" s="15"/>
      <c r="GRN57" s="15"/>
      <c r="GRO57" s="15"/>
      <c r="GRP57" s="15"/>
      <c r="GRQ57" s="15"/>
      <c r="GRR57" s="15"/>
      <c r="GRS57" s="15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15"/>
      <c r="GSF57" s="15"/>
      <c r="GSG57" s="15"/>
      <c r="GSH57" s="15"/>
      <c r="GSI57" s="15"/>
      <c r="GSJ57" s="15"/>
      <c r="GSK57" s="15"/>
      <c r="GSL57" s="15"/>
      <c r="GSM57" s="15"/>
      <c r="GSN57" s="15"/>
      <c r="GSO57" s="15"/>
      <c r="GSP57" s="15"/>
      <c r="GSQ57" s="15"/>
      <c r="GSR57" s="15"/>
      <c r="GSS57" s="15"/>
      <c r="GST57" s="15"/>
      <c r="GSU57" s="15"/>
      <c r="GSV57" s="15"/>
      <c r="GSW57" s="15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15"/>
      <c r="GTJ57" s="15"/>
      <c r="GTK57" s="15"/>
      <c r="GTL57" s="15"/>
      <c r="GTM57" s="15"/>
      <c r="GTN57" s="15"/>
      <c r="GTO57" s="15"/>
      <c r="GTP57" s="15"/>
      <c r="GTQ57" s="15"/>
      <c r="GTR57" s="15"/>
      <c r="GTS57" s="15"/>
      <c r="GTT57" s="15"/>
      <c r="GTU57" s="15"/>
      <c r="GTV57" s="15"/>
      <c r="GTW57" s="15"/>
      <c r="GTX57" s="15"/>
      <c r="GTY57" s="15"/>
      <c r="GTZ57" s="15"/>
      <c r="GUA57" s="15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15"/>
      <c r="GUN57" s="15"/>
      <c r="GUO57" s="15"/>
      <c r="GUP57" s="15"/>
      <c r="GUQ57" s="15"/>
      <c r="GUR57" s="15"/>
      <c r="GUS57" s="15"/>
      <c r="GUT57" s="15"/>
      <c r="GUU57" s="15"/>
      <c r="GUV57" s="15"/>
      <c r="GUW57" s="15"/>
      <c r="GUX57" s="15"/>
      <c r="GUY57" s="15"/>
      <c r="GUZ57" s="15"/>
      <c r="GVA57" s="15"/>
      <c r="GVB57" s="15"/>
      <c r="GVC57" s="15"/>
      <c r="GVD57" s="15"/>
      <c r="GVE57" s="15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15"/>
      <c r="GVR57" s="15"/>
      <c r="GVS57" s="15"/>
      <c r="GVT57" s="15"/>
      <c r="GVU57" s="15"/>
      <c r="GVV57" s="15"/>
      <c r="GVW57" s="15"/>
      <c r="GVX57" s="15"/>
      <c r="GVY57" s="15"/>
      <c r="GVZ57" s="15"/>
      <c r="GWA57" s="15"/>
      <c r="GWB57" s="15"/>
      <c r="GWC57" s="15"/>
      <c r="GWD57" s="15"/>
      <c r="GWE57" s="15"/>
      <c r="GWF57" s="15"/>
      <c r="GWG57" s="15"/>
      <c r="GWH57" s="15"/>
      <c r="GWI57" s="15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15"/>
      <c r="GWV57" s="15"/>
      <c r="GWW57" s="15"/>
      <c r="GWX57" s="15"/>
      <c r="GWY57" s="15"/>
      <c r="GWZ57" s="15"/>
      <c r="GXA57" s="15"/>
      <c r="GXB57" s="15"/>
      <c r="GXC57" s="15"/>
      <c r="GXD57" s="15"/>
      <c r="GXE57" s="15"/>
      <c r="GXF57" s="15"/>
      <c r="GXG57" s="15"/>
      <c r="GXH57" s="15"/>
      <c r="GXI57" s="15"/>
      <c r="GXJ57" s="15"/>
      <c r="GXK57" s="15"/>
      <c r="GXL57" s="15"/>
      <c r="GXM57" s="15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15"/>
      <c r="GXZ57" s="15"/>
      <c r="GYA57" s="15"/>
      <c r="GYB57" s="15"/>
      <c r="GYC57" s="15"/>
      <c r="GYD57" s="15"/>
      <c r="GYE57" s="15"/>
      <c r="GYF57" s="15"/>
      <c r="GYG57" s="15"/>
      <c r="GYH57" s="15"/>
      <c r="GYI57" s="15"/>
      <c r="GYJ57" s="15"/>
      <c r="GYK57" s="15"/>
      <c r="GYL57" s="15"/>
      <c r="GYM57" s="15"/>
      <c r="GYN57" s="15"/>
      <c r="GYO57" s="15"/>
      <c r="GYP57" s="15"/>
      <c r="GYQ57" s="15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15"/>
      <c r="GZD57" s="15"/>
      <c r="GZE57" s="15"/>
      <c r="GZF57" s="15"/>
      <c r="GZG57" s="15"/>
      <c r="GZH57" s="15"/>
      <c r="GZI57" s="15"/>
      <c r="GZJ57" s="15"/>
      <c r="GZK57" s="15"/>
      <c r="GZL57" s="15"/>
      <c r="GZM57" s="15"/>
      <c r="GZN57" s="15"/>
      <c r="GZO57" s="15"/>
      <c r="GZP57" s="15"/>
      <c r="GZQ57" s="15"/>
      <c r="GZR57" s="15"/>
      <c r="GZS57" s="15"/>
      <c r="GZT57" s="15"/>
      <c r="GZU57" s="15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15"/>
      <c r="HAH57" s="15"/>
      <c r="HAI57" s="15"/>
      <c r="HAJ57" s="15"/>
      <c r="HAK57" s="15"/>
      <c r="HAL57" s="15"/>
      <c r="HAM57" s="15"/>
      <c r="HAN57" s="15"/>
      <c r="HAO57" s="15"/>
      <c r="HAP57" s="15"/>
      <c r="HAQ57" s="15"/>
      <c r="HAR57" s="15"/>
      <c r="HAS57" s="15"/>
      <c r="HAT57" s="15"/>
      <c r="HAU57" s="15"/>
      <c r="HAV57" s="15"/>
      <c r="HAW57" s="15"/>
      <c r="HAX57" s="15"/>
      <c r="HAY57" s="15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15"/>
      <c r="HBL57" s="15"/>
      <c r="HBM57" s="15"/>
      <c r="HBN57" s="15"/>
      <c r="HBO57" s="15"/>
      <c r="HBP57" s="15"/>
      <c r="HBQ57" s="15"/>
      <c r="HBR57" s="15"/>
      <c r="HBS57" s="15"/>
      <c r="HBT57" s="15"/>
      <c r="HBU57" s="15"/>
      <c r="HBV57" s="15"/>
      <c r="HBW57" s="15"/>
      <c r="HBX57" s="15"/>
      <c r="HBY57" s="15"/>
      <c r="HBZ57" s="15"/>
      <c r="HCA57" s="15"/>
      <c r="HCB57" s="15"/>
      <c r="HCC57" s="15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15"/>
      <c r="HCP57" s="15"/>
      <c r="HCQ57" s="15"/>
      <c r="HCR57" s="15"/>
      <c r="HCS57" s="15"/>
      <c r="HCT57" s="15"/>
      <c r="HCU57" s="15"/>
      <c r="HCV57" s="15"/>
      <c r="HCW57" s="15"/>
      <c r="HCX57" s="15"/>
      <c r="HCY57" s="15"/>
      <c r="HCZ57" s="15"/>
      <c r="HDA57" s="15"/>
      <c r="HDB57" s="15"/>
      <c r="HDC57" s="15"/>
      <c r="HDD57" s="15"/>
      <c r="HDE57" s="15"/>
      <c r="HDF57" s="15"/>
      <c r="HDG57" s="15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15"/>
      <c r="HDT57" s="15"/>
      <c r="HDU57" s="15"/>
      <c r="HDV57" s="15"/>
      <c r="HDW57" s="15"/>
      <c r="HDX57" s="15"/>
      <c r="HDY57" s="15"/>
      <c r="HDZ57" s="15"/>
      <c r="HEA57" s="15"/>
      <c r="HEB57" s="15"/>
      <c r="HEC57" s="15"/>
      <c r="HED57" s="15"/>
      <c r="HEE57" s="15"/>
      <c r="HEF57" s="15"/>
      <c r="HEG57" s="15"/>
      <c r="HEH57" s="15"/>
      <c r="HEI57" s="15"/>
      <c r="HEJ57" s="15"/>
      <c r="HEK57" s="15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15"/>
      <c r="HEX57" s="15"/>
      <c r="HEY57" s="15"/>
      <c r="HEZ57" s="15"/>
      <c r="HFA57" s="15"/>
      <c r="HFB57" s="15"/>
      <c r="HFC57" s="15"/>
      <c r="HFD57" s="15"/>
      <c r="HFE57" s="15"/>
      <c r="HFF57" s="15"/>
      <c r="HFG57" s="15"/>
      <c r="HFH57" s="15"/>
      <c r="HFI57" s="15"/>
      <c r="HFJ57" s="15"/>
      <c r="HFK57" s="15"/>
      <c r="HFL57" s="15"/>
      <c r="HFM57" s="15"/>
      <c r="HFN57" s="15"/>
      <c r="HFO57" s="15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15"/>
      <c r="HGB57" s="15"/>
      <c r="HGC57" s="15"/>
      <c r="HGD57" s="15"/>
      <c r="HGE57" s="15"/>
      <c r="HGF57" s="15"/>
      <c r="HGG57" s="15"/>
      <c r="HGH57" s="15"/>
      <c r="HGI57" s="15"/>
      <c r="HGJ57" s="15"/>
      <c r="HGK57" s="15"/>
      <c r="HGL57" s="15"/>
      <c r="HGM57" s="15"/>
      <c r="HGN57" s="15"/>
      <c r="HGO57" s="15"/>
      <c r="HGP57" s="15"/>
      <c r="HGQ57" s="15"/>
      <c r="HGR57" s="15"/>
      <c r="HGS57" s="15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15"/>
      <c r="HHF57" s="15"/>
      <c r="HHG57" s="15"/>
      <c r="HHH57" s="15"/>
      <c r="HHI57" s="15"/>
      <c r="HHJ57" s="15"/>
      <c r="HHK57" s="15"/>
      <c r="HHL57" s="15"/>
      <c r="HHM57" s="15"/>
      <c r="HHN57" s="15"/>
      <c r="HHO57" s="15"/>
      <c r="HHP57" s="15"/>
      <c r="HHQ57" s="15"/>
      <c r="HHR57" s="15"/>
      <c r="HHS57" s="15"/>
      <c r="HHT57" s="15"/>
      <c r="HHU57" s="15"/>
      <c r="HHV57" s="15"/>
      <c r="HHW57" s="15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15"/>
      <c r="HIJ57" s="15"/>
      <c r="HIK57" s="15"/>
      <c r="HIL57" s="15"/>
      <c r="HIM57" s="15"/>
      <c r="HIN57" s="15"/>
      <c r="HIO57" s="15"/>
      <c r="HIP57" s="15"/>
      <c r="HIQ57" s="15"/>
      <c r="HIR57" s="15"/>
      <c r="HIS57" s="15"/>
      <c r="HIT57" s="15"/>
      <c r="HIU57" s="15"/>
      <c r="HIV57" s="15"/>
      <c r="HIW57" s="15"/>
      <c r="HIX57" s="15"/>
      <c r="HIY57" s="15"/>
      <c r="HIZ57" s="15"/>
      <c r="HJA57" s="15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15"/>
      <c r="HJN57" s="15"/>
      <c r="HJO57" s="15"/>
      <c r="HJP57" s="15"/>
      <c r="HJQ57" s="15"/>
      <c r="HJR57" s="15"/>
      <c r="HJS57" s="15"/>
      <c r="HJT57" s="15"/>
      <c r="HJU57" s="15"/>
      <c r="HJV57" s="15"/>
      <c r="HJW57" s="15"/>
      <c r="HJX57" s="15"/>
      <c r="HJY57" s="15"/>
      <c r="HJZ57" s="15"/>
      <c r="HKA57" s="15"/>
      <c r="HKB57" s="15"/>
      <c r="HKC57" s="15"/>
      <c r="HKD57" s="15"/>
      <c r="HKE57" s="15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15"/>
      <c r="HKR57" s="15"/>
      <c r="HKS57" s="15"/>
      <c r="HKT57" s="15"/>
      <c r="HKU57" s="15"/>
      <c r="HKV57" s="15"/>
      <c r="HKW57" s="15"/>
      <c r="HKX57" s="15"/>
      <c r="HKY57" s="15"/>
      <c r="HKZ57" s="15"/>
      <c r="HLA57" s="15"/>
      <c r="HLB57" s="15"/>
      <c r="HLC57" s="15"/>
      <c r="HLD57" s="15"/>
      <c r="HLE57" s="15"/>
      <c r="HLF57" s="15"/>
      <c r="HLG57" s="15"/>
      <c r="HLH57" s="15"/>
      <c r="HLI57" s="15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15"/>
      <c r="HLV57" s="15"/>
      <c r="HLW57" s="15"/>
      <c r="HLX57" s="15"/>
      <c r="HLY57" s="15"/>
      <c r="HLZ57" s="15"/>
      <c r="HMA57" s="15"/>
      <c r="HMB57" s="15"/>
      <c r="HMC57" s="15"/>
      <c r="HMD57" s="15"/>
      <c r="HME57" s="15"/>
      <c r="HMF57" s="15"/>
      <c r="HMG57" s="15"/>
      <c r="HMH57" s="15"/>
      <c r="HMI57" s="15"/>
      <c r="HMJ57" s="15"/>
      <c r="HMK57" s="15"/>
      <c r="HML57" s="15"/>
      <c r="HMM57" s="15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15"/>
      <c r="HMZ57" s="15"/>
      <c r="HNA57" s="15"/>
      <c r="HNB57" s="15"/>
      <c r="HNC57" s="15"/>
      <c r="HND57" s="15"/>
      <c r="HNE57" s="15"/>
      <c r="HNF57" s="15"/>
      <c r="HNG57" s="15"/>
      <c r="HNH57" s="15"/>
      <c r="HNI57" s="15"/>
      <c r="HNJ57" s="15"/>
      <c r="HNK57" s="15"/>
      <c r="HNL57" s="15"/>
      <c r="HNM57" s="15"/>
      <c r="HNN57" s="15"/>
      <c r="HNO57" s="15"/>
      <c r="HNP57" s="15"/>
      <c r="HNQ57" s="15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15"/>
      <c r="HOD57" s="15"/>
      <c r="HOE57" s="15"/>
      <c r="HOF57" s="15"/>
      <c r="HOG57" s="15"/>
      <c r="HOH57" s="15"/>
      <c r="HOI57" s="15"/>
      <c r="HOJ57" s="15"/>
      <c r="HOK57" s="15"/>
      <c r="HOL57" s="15"/>
      <c r="HOM57" s="15"/>
      <c r="HON57" s="15"/>
      <c r="HOO57" s="15"/>
      <c r="HOP57" s="15"/>
      <c r="HOQ57" s="15"/>
      <c r="HOR57" s="15"/>
      <c r="HOS57" s="15"/>
      <c r="HOT57" s="15"/>
      <c r="HOU57" s="15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15"/>
      <c r="HPH57" s="15"/>
      <c r="HPI57" s="15"/>
      <c r="HPJ57" s="15"/>
      <c r="HPK57" s="15"/>
      <c r="HPL57" s="15"/>
      <c r="HPM57" s="15"/>
      <c r="HPN57" s="15"/>
      <c r="HPO57" s="15"/>
      <c r="HPP57" s="15"/>
      <c r="HPQ57" s="15"/>
      <c r="HPR57" s="15"/>
      <c r="HPS57" s="15"/>
      <c r="HPT57" s="15"/>
      <c r="HPU57" s="15"/>
      <c r="HPV57" s="15"/>
      <c r="HPW57" s="15"/>
      <c r="HPX57" s="15"/>
      <c r="HPY57" s="15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15"/>
      <c r="HQL57" s="15"/>
      <c r="HQM57" s="15"/>
      <c r="HQN57" s="15"/>
      <c r="HQO57" s="15"/>
      <c r="HQP57" s="15"/>
      <c r="HQQ57" s="15"/>
      <c r="HQR57" s="15"/>
      <c r="HQS57" s="15"/>
      <c r="HQT57" s="15"/>
      <c r="HQU57" s="15"/>
      <c r="HQV57" s="15"/>
      <c r="HQW57" s="15"/>
      <c r="HQX57" s="15"/>
      <c r="HQY57" s="15"/>
      <c r="HQZ57" s="15"/>
      <c r="HRA57" s="15"/>
      <c r="HRB57" s="15"/>
      <c r="HRC57" s="15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15"/>
      <c r="HRP57" s="15"/>
      <c r="HRQ57" s="15"/>
      <c r="HRR57" s="15"/>
      <c r="HRS57" s="15"/>
      <c r="HRT57" s="15"/>
      <c r="HRU57" s="15"/>
      <c r="HRV57" s="15"/>
      <c r="HRW57" s="15"/>
      <c r="HRX57" s="15"/>
      <c r="HRY57" s="15"/>
      <c r="HRZ57" s="15"/>
      <c r="HSA57" s="15"/>
      <c r="HSB57" s="15"/>
      <c r="HSC57" s="15"/>
      <c r="HSD57" s="15"/>
      <c r="HSE57" s="15"/>
      <c r="HSF57" s="15"/>
      <c r="HSG57" s="15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15"/>
      <c r="HST57" s="15"/>
      <c r="HSU57" s="15"/>
      <c r="HSV57" s="15"/>
      <c r="HSW57" s="15"/>
      <c r="HSX57" s="15"/>
      <c r="HSY57" s="15"/>
      <c r="HSZ57" s="15"/>
      <c r="HTA57" s="15"/>
      <c r="HTB57" s="15"/>
      <c r="HTC57" s="15"/>
      <c r="HTD57" s="15"/>
      <c r="HTE57" s="15"/>
      <c r="HTF57" s="15"/>
      <c r="HTG57" s="15"/>
      <c r="HTH57" s="15"/>
      <c r="HTI57" s="15"/>
      <c r="HTJ57" s="15"/>
      <c r="HTK57" s="15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15"/>
      <c r="HTX57" s="15"/>
      <c r="HTY57" s="15"/>
      <c r="HTZ57" s="15"/>
      <c r="HUA57" s="15"/>
      <c r="HUB57" s="15"/>
      <c r="HUC57" s="15"/>
      <c r="HUD57" s="15"/>
      <c r="HUE57" s="15"/>
      <c r="HUF57" s="15"/>
      <c r="HUG57" s="15"/>
      <c r="HUH57" s="15"/>
      <c r="HUI57" s="15"/>
      <c r="HUJ57" s="15"/>
      <c r="HUK57" s="15"/>
      <c r="HUL57" s="15"/>
      <c r="HUM57" s="15"/>
      <c r="HUN57" s="15"/>
      <c r="HUO57" s="15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15"/>
      <c r="HVB57" s="15"/>
      <c r="HVC57" s="15"/>
      <c r="HVD57" s="15"/>
      <c r="HVE57" s="15"/>
      <c r="HVF57" s="15"/>
      <c r="HVG57" s="15"/>
      <c r="HVH57" s="15"/>
      <c r="HVI57" s="15"/>
      <c r="HVJ57" s="15"/>
      <c r="HVK57" s="15"/>
      <c r="HVL57" s="15"/>
      <c r="HVM57" s="15"/>
      <c r="HVN57" s="15"/>
      <c r="HVO57" s="15"/>
      <c r="HVP57" s="15"/>
      <c r="HVQ57" s="15"/>
      <c r="HVR57" s="15"/>
      <c r="HVS57" s="15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15"/>
      <c r="HWF57" s="15"/>
      <c r="HWG57" s="15"/>
      <c r="HWH57" s="15"/>
      <c r="HWI57" s="15"/>
      <c r="HWJ57" s="15"/>
      <c r="HWK57" s="15"/>
      <c r="HWL57" s="15"/>
      <c r="HWM57" s="15"/>
      <c r="HWN57" s="15"/>
      <c r="HWO57" s="15"/>
      <c r="HWP57" s="15"/>
      <c r="HWQ57" s="15"/>
      <c r="HWR57" s="15"/>
      <c r="HWS57" s="15"/>
      <c r="HWT57" s="15"/>
      <c r="HWU57" s="15"/>
      <c r="HWV57" s="15"/>
      <c r="HWW57" s="15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15"/>
      <c r="HXJ57" s="15"/>
      <c r="HXK57" s="15"/>
      <c r="HXL57" s="15"/>
      <c r="HXM57" s="15"/>
      <c r="HXN57" s="15"/>
      <c r="HXO57" s="15"/>
      <c r="HXP57" s="15"/>
      <c r="HXQ57" s="15"/>
      <c r="HXR57" s="15"/>
      <c r="HXS57" s="15"/>
      <c r="HXT57" s="15"/>
      <c r="HXU57" s="15"/>
      <c r="HXV57" s="15"/>
      <c r="HXW57" s="15"/>
      <c r="HXX57" s="15"/>
      <c r="HXY57" s="15"/>
      <c r="HXZ57" s="15"/>
      <c r="HYA57" s="15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15"/>
      <c r="HYN57" s="15"/>
      <c r="HYO57" s="15"/>
      <c r="HYP57" s="15"/>
      <c r="HYQ57" s="15"/>
      <c r="HYR57" s="15"/>
      <c r="HYS57" s="15"/>
      <c r="HYT57" s="15"/>
      <c r="HYU57" s="15"/>
      <c r="HYV57" s="15"/>
      <c r="HYW57" s="15"/>
      <c r="HYX57" s="15"/>
      <c r="HYY57" s="15"/>
      <c r="HYZ57" s="15"/>
      <c r="HZA57" s="15"/>
      <c r="HZB57" s="15"/>
      <c r="HZC57" s="15"/>
      <c r="HZD57" s="15"/>
      <c r="HZE57" s="15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15"/>
      <c r="HZR57" s="15"/>
      <c r="HZS57" s="15"/>
      <c r="HZT57" s="15"/>
      <c r="HZU57" s="15"/>
      <c r="HZV57" s="15"/>
      <c r="HZW57" s="15"/>
      <c r="HZX57" s="15"/>
      <c r="HZY57" s="15"/>
      <c r="HZZ57" s="15"/>
      <c r="IAA57" s="15"/>
      <c r="IAB57" s="15"/>
      <c r="IAC57" s="15"/>
      <c r="IAD57" s="15"/>
      <c r="IAE57" s="15"/>
      <c r="IAF57" s="15"/>
      <c r="IAG57" s="15"/>
      <c r="IAH57" s="15"/>
      <c r="IAI57" s="15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15"/>
      <c r="IAV57" s="15"/>
      <c r="IAW57" s="15"/>
      <c r="IAX57" s="15"/>
      <c r="IAY57" s="15"/>
      <c r="IAZ57" s="15"/>
      <c r="IBA57" s="15"/>
      <c r="IBB57" s="15"/>
      <c r="IBC57" s="15"/>
      <c r="IBD57" s="15"/>
      <c r="IBE57" s="15"/>
      <c r="IBF57" s="15"/>
      <c r="IBG57" s="15"/>
      <c r="IBH57" s="15"/>
      <c r="IBI57" s="15"/>
      <c r="IBJ57" s="15"/>
      <c r="IBK57" s="15"/>
      <c r="IBL57" s="15"/>
      <c r="IBM57" s="15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15"/>
      <c r="IBZ57" s="15"/>
      <c r="ICA57" s="15"/>
      <c r="ICB57" s="15"/>
      <c r="ICC57" s="15"/>
      <c r="ICD57" s="15"/>
      <c r="ICE57" s="15"/>
      <c r="ICF57" s="15"/>
      <c r="ICG57" s="15"/>
      <c r="ICH57" s="15"/>
      <c r="ICI57" s="15"/>
      <c r="ICJ57" s="15"/>
      <c r="ICK57" s="15"/>
      <c r="ICL57" s="15"/>
      <c r="ICM57" s="15"/>
      <c r="ICN57" s="15"/>
      <c r="ICO57" s="15"/>
      <c r="ICP57" s="15"/>
      <c r="ICQ57" s="15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15"/>
      <c r="IDD57" s="15"/>
      <c r="IDE57" s="15"/>
      <c r="IDF57" s="15"/>
      <c r="IDG57" s="15"/>
      <c r="IDH57" s="15"/>
      <c r="IDI57" s="15"/>
      <c r="IDJ57" s="15"/>
      <c r="IDK57" s="15"/>
      <c r="IDL57" s="15"/>
      <c r="IDM57" s="15"/>
      <c r="IDN57" s="15"/>
      <c r="IDO57" s="15"/>
      <c r="IDP57" s="15"/>
      <c r="IDQ57" s="15"/>
      <c r="IDR57" s="15"/>
      <c r="IDS57" s="15"/>
      <c r="IDT57" s="15"/>
      <c r="IDU57" s="15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15"/>
      <c r="IEH57" s="15"/>
      <c r="IEI57" s="15"/>
      <c r="IEJ57" s="15"/>
      <c r="IEK57" s="15"/>
      <c r="IEL57" s="15"/>
      <c r="IEM57" s="15"/>
      <c r="IEN57" s="15"/>
      <c r="IEO57" s="15"/>
      <c r="IEP57" s="15"/>
      <c r="IEQ57" s="15"/>
      <c r="IER57" s="15"/>
      <c r="IES57" s="15"/>
      <c r="IET57" s="15"/>
      <c r="IEU57" s="15"/>
      <c r="IEV57" s="15"/>
      <c r="IEW57" s="15"/>
      <c r="IEX57" s="15"/>
      <c r="IEY57" s="15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15"/>
      <c r="IFL57" s="15"/>
      <c r="IFM57" s="15"/>
      <c r="IFN57" s="15"/>
      <c r="IFO57" s="15"/>
      <c r="IFP57" s="15"/>
      <c r="IFQ57" s="15"/>
      <c r="IFR57" s="15"/>
      <c r="IFS57" s="15"/>
      <c r="IFT57" s="15"/>
      <c r="IFU57" s="15"/>
      <c r="IFV57" s="15"/>
      <c r="IFW57" s="15"/>
      <c r="IFX57" s="15"/>
      <c r="IFY57" s="15"/>
      <c r="IFZ57" s="15"/>
      <c r="IGA57" s="15"/>
      <c r="IGB57" s="15"/>
      <c r="IGC57" s="15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15"/>
      <c r="IGP57" s="15"/>
      <c r="IGQ57" s="15"/>
      <c r="IGR57" s="15"/>
      <c r="IGS57" s="15"/>
      <c r="IGT57" s="15"/>
      <c r="IGU57" s="15"/>
      <c r="IGV57" s="15"/>
      <c r="IGW57" s="15"/>
      <c r="IGX57" s="15"/>
      <c r="IGY57" s="15"/>
      <c r="IGZ57" s="15"/>
      <c r="IHA57" s="15"/>
      <c r="IHB57" s="15"/>
      <c r="IHC57" s="15"/>
      <c r="IHD57" s="15"/>
      <c r="IHE57" s="15"/>
      <c r="IHF57" s="15"/>
      <c r="IHG57" s="15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15"/>
      <c r="IHT57" s="15"/>
      <c r="IHU57" s="15"/>
      <c r="IHV57" s="15"/>
      <c r="IHW57" s="15"/>
      <c r="IHX57" s="15"/>
      <c r="IHY57" s="15"/>
      <c r="IHZ57" s="15"/>
      <c r="IIA57" s="15"/>
      <c r="IIB57" s="15"/>
      <c r="IIC57" s="15"/>
      <c r="IID57" s="15"/>
      <c r="IIE57" s="15"/>
      <c r="IIF57" s="15"/>
      <c r="IIG57" s="15"/>
      <c r="IIH57" s="15"/>
      <c r="III57" s="15"/>
      <c r="IIJ57" s="15"/>
      <c r="IIK57" s="15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15"/>
      <c r="IIX57" s="15"/>
      <c r="IIY57" s="15"/>
      <c r="IIZ57" s="15"/>
      <c r="IJA57" s="15"/>
      <c r="IJB57" s="15"/>
      <c r="IJC57" s="15"/>
      <c r="IJD57" s="15"/>
      <c r="IJE57" s="15"/>
      <c r="IJF57" s="15"/>
      <c r="IJG57" s="15"/>
      <c r="IJH57" s="15"/>
      <c r="IJI57" s="15"/>
      <c r="IJJ57" s="15"/>
      <c r="IJK57" s="15"/>
      <c r="IJL57" s="15"/>
      <c r="IJM57" s="15"/>
      <c r="IJN57" s="15"/>
      <c r="IJO57" s="15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15"/>
      <c r="IKB57" s="15"/>
      <c r="IKC57" s="15"/>
      <c r="IKD57" s="15"/>
      <c r="IKE57" s="15"/>
      <c r="IKF57" s="15"/>
      <c r="IKG57" s="15"/>
      <c r="IKH57" s="15"/>
      <c r="IKI57" s="15"/>
      <c r="IKJ57" s="15"/>
      <c r="IKK57" s="15"/>
      <c r="IKL57" s="15"/>
      <c r="IKM57" s="15"/>
      <c r="IKN57" s="15"/>
      <c r="IKO57" s="15"/>
      <c r="IKP57" s="15"/>
      <c r="IKQ57" s="15"/>
      <c r="IKR57" s="15"/>
      <c r="IKS57" s="15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15"/>
      <c r="ILF57" s="15"/>
      <c r="ILG57" s="15"/>
      <c r="ILH57" s="15"/>
      <c r="ILI57" s="15"/>
      <c r="ILJ57" s="15"/>
      <c r="ILK57" s="15"/>
      <c r="ILL57" s="15"/>
      <c r="ILM57" s="15"/>
      <c r="ILN57" s="15"/>
      <c r="ILO57" s="15"/>
      <c r="ILP57" s="15"/>
      <c r="ILQ57" s="15"/>
      <c r="ILR57" s="15"/>
      <c r="ILS57" s="15"/>
      <c r="ILT57" s="15"/>
      <c r="ILU57" s="15"/>
      <c r="ILV57" s="15"/>
      <c r="ILW57" s="15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15"/>
      <c r="IMJ57" s="15"/>
      <c r="IMK57" s="15"/>
      <c r="IML57" s="15"/>
      <c r="IMM57" s="15"/>
      <c r="IMN57" s="15"/>
      <c r="IMO57" s="15"/>
      <c r="IMP57" s="15"/>
      <c r="IMQ57" s="15"/>
      <c r="IMR57" s="15"/>
      <c r="IMS57" s="15"/>
      <c r="IMT57" s="15"/>
      <c r="IMU57" s="15"/>
      <c r="IMV57" s="15"/>
      <c r="IMW57" s="15"/>
      <c r="IMX57" s="15"/>
      <c r="IMY57" s="15"/>
      <c r="IMZ57" s="15"/>
      <c r="INA57" s="15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15"/>
      <c r="INN57" s="15"/>
      <c r="INO57" s="15"/>
      <c r="INP57" s="15"/>
      <c r="INQ57" s="15"/>
      <c r="INR57" s="15"/>
      <c r="INS57" s="15"/>
      <c r="INT57" s="15"/>
      <c r="INU57" s="15"/>
      <c r="INV57" s="15"/>
      <c r="INW57" s="15"/>
      <c r="INX57" s="15"/>
      <c r="INY57" s="15"/>
      <c r="INZ57" s="15"/>
      <c r="IOA57" s="15"/>
      <c r="IOB57" s="15"/>
      <c r="IOC57" s="15"/>
      <c r="IOD57" s="15"/>
      <c r="IOE57" s="15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15"/>
      <c r="IOR57" s="15"/>
      <c r="IOS57" s="15"/>
      <c r="IOT57" s="15"/>
      <c r="IOU57" s="15"/>
      <c r="IOV57" s="15"/>
      <c r="IOW57" s="15"/>
      <c r="IOX57" s="15"/>
      <c r="IOY57" s="15"/>
      <c r="IOZ57" s="15"/>
      <c r="IPA57" s="15"/>
      <c r="IPB57" s="15"/>
      <c r="IPC57" s="15"/>
      <c r="IPD57" s="15"/>
      <c r="IPE57" s="15"/>
      <c r="IPF57" s="15"/>
      <c r="IPG57" s="15"/>
      <c r="IPH57" s="15"/>
      <c r="IPI57" s="15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15"/>
      <c r="IPV57" s="15"/>
      <c r="IPW57" s="15"/>
      <c r="IPX57" s="15"/>
      <c r="IPY57" s="15"/>
      <c r="IPZ57" s="15"/>
      <c r="IQA57" s="15"/>
      <c r="IQB57" s="15"/>
      <c r="IQC57" s="15"/>
      <c r="IQD57" s="15"/>
      <c r="IQE57" s="15"/>
      <c r="IQF57" s="15"/>
      <c r="IQG57" s="15"/>
      <c r="IQH57" s="15"/>
      <c r="IQI57" s="15"/>
      <c r="IQJ57" s="15"/>
      <c r="IQK57" s="15"/>
      <c r="IQL57" s="15"/>
      <c r="IQM57" s="15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15"/>
      <c r="IQZ57" s="15"/>
      <c r="IRA57" s="15"/>
      <c r="IRB57" s="15"/>
      <c r="IRC57" s="15"/>
      <c r="IRD57" s="15"/>
      <c r="IRE57" s="15"/>
      <c r="IRF57" s="15"/>
      <c r="IRG57" s="15"/>
      <c r="IRH57" s="15"/>
      <c r="IRI57" s="15"/>
      <c r="IRJ57" s="15"/>
      <c r="IRK57" s="15"/>
      <c r="IRL57" s="15"/>
      <c r="IRM57" s="15"/>
      <c r="IRN57" s="15"/>
      <c r="IRO57" s="15"/>
      <c r="IRP57" s="15"/>
      <c r="IRQ57" s="15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15"/>
      <c r="ISD57" s="15"/>
      <c r="ISE57" s="15"/>
      <c r="ISF57" s="15"/>
      <c r="ISG57" s="15"/>
      <c r="ISH57" s="15"/>
      <c r="ISI57" s="15"/>
      <c r="ISJ57" s="15"/>
      <c r="ISK57" s="15"/>
      <c r="ISL57" s="15"/>
      <c r="ISM57" s="15"/>
      <c r="ISN57" s="15"/>
      <c r="ISO57" s="15"/>
      <c r="ISP57" s="15"/>
      <c r="ISQ57" s="15"/>
      <c r="ISR57" s="15"/>
      <c r="ISS57" s="15"/>
      <c r="IST57" s="15"/>
      <c r="ISU57" s="15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15"/>
      <c r="ITH57" s="15"/>
      <c r="ITI57" s="15"/>
      <c r="ITJ57" s="15"/>
      <c r="ITK57" s="15"/>
      <c r="ITL57" s="15"/>
      <c r="ITM57" s="15"/>
      <c r="ITN57" s="15"/>
      <c r="ITO57" s="15"/>
      <c r="ITP57" s="15"/>
      <c r="ITQ57" s="15"/>
      <c r="ITR57" s="15"/>
      <c r="ITS57" s="15"/>
      <c r="ITT57" s="15"/>
      <c r="ITU57" s="15"/>
      <c r="ITV57" s="15"/>
      <c r="ITW57" s="15"/>
      <c r="ITX57" s="15"/>
      <c r="ITY57" s="15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15"/>
      <c r="IUL57" s="15"/>
      <c r="IUM57" s="15"/>
      <c r="IUN57" s="15"/>
      <c r="IUO57" s="15"/>
      <c r="IUP57" s="15"/>
      <c r="IUQ57" s="15"/>
      <c r="IUR57" s="15"/>
      <c r="IUS57" s="15"/>
      <c r="IUT57" s="15"/>
      <c r="IUU57" s="15"/>
      <c r="IUV57" s="15"/>
      <c r="IUW57" s="15"/>
      <c r="IUX57" s="15"/>
      <c r="IUY57" s="15"/>
      <c r="IUZ57" s="15"/>
      <c r="IVA57" s="15"/>
      <c r="IVB57" s="15"/>
      <c r="IVC57" s="15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15"/>
      <c r="IVP57" s="15"/>
      <c r="IVQ57" s="15"/>
      <c r="IVR57" s="15"/>
      <c r="IVS57" s="15"/>
      <c r="IVT57" s="15"/>
      <c r="IVU57" s="15"/>
      <c r="IVV57" s="15"/>
      <c r="IVW57" s="15"/>
      <c r="IVX57" s="15"/>
      <c r="IVY57" s="15"/>
      <c r="IVZ57" s="15"/>
      <c r="IWA57" s="15"/>
      <c r="IWB57" s="15"/>
      <c r="IWC57" s="15"/>
      <c r="IWD57" s="15"/>
      <c r="IWE57" s="15"/>
      <c r="IWF57" s="15"/>
      <c r="IWG57" s="15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15"/>
      <c r="IWT57" s="15"/>
      <c r="IWU57" s="15"/>
      <c r="IWV57" s="15"/>
      <c r="IWW57" s="15"/>
      <c r="IWX57" s="15"/>
      <c r="IWY57" s="15"/>
      <c r="IWZ57" s="15"/>
      <c r="IXA57" s="15"/>
      <c r="IXB57" s="15"/>
      <c r="IXC57" s="15"/>
      <c r="IXD57" s="15"/>
      <c r="IXE57" s="15"/>
      <c r="IXF57" s="15"/>
      <c r="IXG57" s="15"/>
      <c r="IXH57" s="15"/>
      <c r="IXI57" s="15"/>
      <c r="IXJ57" s="15"/>
      <c r="IXK57" s="15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15"/>
      <c r="IXX57" s="15"/>
      <c r="IXY57" s="15"/>
      <c r="IXZ57" s="15"/>
      <c r="IYA57" s="15"/>
      <c r="IYB57" s="15"/>
      <c r="IYC57" s="15"/>
      <c r="IYD57" s="15"/>
      <c r="IYE57" s="15"/>
      <c r="IYF57" s="15"/>
      <c r="IYG57" s="15"/>
      <c r="IYH57" s="15"/>
      <c r="IYI57" s="15"/>
      <c r="IYJ57" s="15"/>
      <c r="IYK57" s="15"/>
      <c r="IYL57" s="15"/>
      <c r="IYM57" s="15"/>
      <c r="IYN57" s="15"/>
      <c r="IYO57" s="15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15"/>
      <c r="IZB57" s="15"/>
      <c r="IZC57" s="15"/>
      <c r="IZD57" s="15"/>
      <c r="IZE57" s="15"/>
      <c r="IZF57" s="15"/>
      <c r="IZG57" s="15"/>
      <c r="IZH57" s="15"/>
      <c r="IZI57" s="15"/>
      <c r="IZJ57" s="15"/>
      <c r="IZK57" s="15"/>
      <c r="IZL57" s="15"/>
      <c r="IZM57" s="15"/>
      <c r="IZN57" s="15"/>
      <c r="IZO57" s="15"/>
      <c r="IZP57" s="15"/>
      <c r="IZQ57" s="15"/>
      <c r="IZR57" s="15"/>
      <c r="IZS57" s="15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15"/>
      <c r="JAF57" s="15"/>
      <c r="JAG57" s="15"/>
      <c r="JAH57" s="15"/>
      <c r="JAI57" s="15"/>
      <c r="JAJ57" s="15"/>
      <c r="JAK57" s="15"/>
      <c r="JAL57" s="15"/>
      <c r="JAM57" s="15"/>
      <c r="JAN57" s="15"/>
      <c r="JAO57" s="15"/>
      <c r="JAP57" s="15"/>
      <c r="JAQ57" s="15"/>
      <c r="JAR57" s="15"/>
      <c r="JAS57" s="15"/>
      <c r="JAT57" s="15"/>
      <c r="JAU57" s="15"/>
      <c r="JAV57" s="15"/>
      <c r="JAW57" s="15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15"/>
      <c r="JBJ57" s="15"/>
      <c r="JBK57" s="15"/>
      <c r="JBL57" s="15"/>
      <c r="JBM57" s="15"/>
      <c r="JBN57" s="15"/>
      <c r="JBO57" s="15"/>
      <c r="JBP57" s="15"/>
      <c r="JBQ57" s="15"/>
      <c r="JBR57" s="15"/>
      <c r="JBS57" s="15"/>
      <c r="JBT57" s="15"/>
      <c r="JBU57" s="15"/>
      <c r="JBV57" s="15"/>
      <c r="JBW57" s="15"/>
      <c r="JBX57" s="15"/>
      <c r="JBY57" s="15"/>
      <c r="JBZ57" s="15"/>
      <c r="JCA57" s="15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15"/>
      <c r="JCN57" s="15"/>
      <c r="JCO57" s="15"/>
      <c r="JCP57" s="15"/>
      <c r="JCQ57" s="15"/>
      <c r="JCR57" s="15"/>
      <c r="JCS57" s="15"/>
      <c r="JCT57" s="15"/>
      <c r="JCU57" s="15"/>
      <c r="JCV57" s="15"/>
      <c r="JCW57" s="15"/>
      <c r="JCX57" s="15"/>
      <c r="JCY57" s="15"/>
      <c r="JCZ57" s="15"/>
      <c r="JDA57" s="15"/>
      <c r="JDB57" s="15"/>
      <c r="JDC57" s="15"/>
      <c r="JDD57" s="15"/>
      <c r="JDE57" s="15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15"/>
      <c r="JDR57" s="15"/>
      <c r="JDS57" s="15"/>
      <c r="JDT57" s="15"/>
      <c r="JDU57" s="15"/>
      <c r="JDV57" s="15"/>
      <c r="JDW57" s="15"/>
      <c r="JDX57" s="15"/>
      <c r="JDY57" s="15"/>
      <c r="JDZ57" s="15"/>
      <c r="JEA57" s="15"/>
      <c r="JEB57" s="15"/>
      <c r="JEC57" s="15"/>
      <c r="JED57" s="15"/>
      <c r="JEE57" s="15"/>
      <c r="JEF57" s="15"/>
      <c r="JEG57" s="15"/>
      <c r="JEH57" s="15"/>
      <c r="JEI57" s="15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15"/>
      <c r="JEV57" s="15"/>
      <c r="JEW57" s="15"/>
      <c r="JEX57" s="15"/>
      <c r="JEY57" s="15"/>
      <c r="JEZ57" s="15"/>
      <c r="JFA57" s="15"/>
      <c r="JFB57" s="15"/>
      <c r="JFC57" s="15"/>
      <c r="JFD57" s="15"/>
      <c r="JFE57" s="15"/>
      <c r="JFF57" s="15"/>
      <c r="JFG57" s="15"/>
      <c r="JFH57" s="15"/>
      <c r="JFI57" s="15"/>
      <c r="JFJ57" s="15"/>
      <c r="JFK57" s="15"/>
      <c r="JFL57" s="15"/>
      <c r="JFM57" s="15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15"/>
      <c r="JFZ57" s="15"/>
      <c r="JGA57" s="15"/>
      <c r="JGB57" s="15"/>
      <c r="JGC57" s="15"/>
      <c r="JGD57" s="15"/>
      <c r="JGE57" s="15"/>
      <c r="JGF57" s="15"/>
      <c r="JGG57" s="15"/>
      <c r="JGH57" s="15"/>
      <c r="JGI57" s="15"/>
      <c r="JGJ57" s="15"/>
      <c r="JGK57" s="15"/>
      <c r="JGL57" s="15"/>
      <c r="JGM57" s="15"/>
      <c r="JGN57" s="15"/>
      <c r="JGO57" s="15"/>
      <c r="JGP57" s="15"/>
      <c r="JGQ57" s="15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15"/>
      <c r="JHD57" s="15"/>
      <c r="JHE57" s="15"/>
      <c r="JHF57" s="15"/>
      <c r="JHG57" s="15"/>
      <c r="JHH57" s="15"/>
      <c r="JHI57" s="15"/>
      <c r="JHJ57" s="15"/>
      <c r="JHK57" s="15"/>
      <c r="JHL57" s="15"/>
      <c r="JHM57" s="15"/>
      <c r="JHN57" s="15"/>
      <c r="JHO57" s="15"/>
      <c r="JHP57" s="15"/>
      <c r="JHQ57" s="15"/>
      <c r="JHR57" s="15"/>
      <c r="JHS57" s="15"/>
      <c r="JHT57" s="15"/>
      <c r="JHU57" s="15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15"/>
      <c r="JIH57" s="15"/>
      <c r="JII57" s="15"/>
      <c r="JIJ57" s="15"/>
      <c r="JIK57" s="15"/>
      <c r="JIL57" s="15"/>
      <c r="JIM57" s="15"/>
      <c r="JIN57" s="15"/>
      <c r="JIO57" s="15"/>
      <c r="JIP57" s="15"/>
      <c r="JIQ57" s="15"/>
      <c r="JIR57" s="15"/>
      <c r="JIS57" s="15"/>
      <c r="JIT57" s="15"/>
      <c r="JIU57" s="15"/>
      <c r="JIV57" s="15"/>
      <c r="JIW57" s="15"/>
      <c r="JIX57" s="15"/>
      <c r="JIY57" s="15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15"/>
      <c r="JJL57" s="15"/>
      <c r="JJM57" s="15"/>
      <c r="JJN57" s="15"/>
      <c r="JJO57" s="15"/>
      <c r="JJP57" s="15"/>
      <c r="JJQ57" s="15"/>
      <c r="JJR57" s="15"/>
      <c r="JJS57" s="15"/>
      <c r="JJT57" s="15"/>
      <c r="JJU57" s="15"/>
      <c r="JJV57" s="15"/>
      <c r="JJW57" s="15"/>
      <c r="JJX57" s="15"/>
      <c r="JJY57" s="15"/>
      <c r="JJZ57" s="15"/>
      <c r="JKA57" s="15"/>
      <c r="JKB57" s="15"/>
      <c r="JKC57" s="15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15"/>
      <c r="JKP57" s="15"/>
      <c r="JKQ57" s="15"/>
      <c r="JKR57" s="15"/>
      <c r="JKS57" s="15"/>
      <c r="JKT57" s="15"/>
      <c r="JKU57" s="15"/>
      <c r="JKV57" s="15"/>
      <c r="JKW57" s="15"/>
      <c r="JKX57" s="15"/>
      <c r="JKY57" s="15"/>
      <c r="JKZ57" s="15"/>
      <c r="JLA57" s="15"/>
      <c r="JLB57" s="15"/>
      <c r="JLC57" s="15"/>
      <c r="JLD57" s="15"/>
      <c r="JLE57" s="15"/>
      <c r="JLF57" s="15"/>
      <c r="JLG57" s="15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15"/>
      <c r="JLT57" s="15"/>
      <c r="JLU57" s="15"/>
      <c r="JLV57" s="15"/>
      <c r="JLW57" s="15"/>
      <c r="JLX57" s="15"/>
      <c r="JLY57" s="15"/>
      <c r="JLZ57" s="15"/>
      <c r="JMA57" s="15"/>
      <c r="JMB57" s="15"/>
      <c r="JMC57" s="15"/>
      <c r="JMD57" s="15"/>
      <c r="JME57" s="15"/>
      <c r="JMF57" s="15"/>
      <c r="JMG57" s="15"/>
      <c r="JMH57" s="15"/>
      <c r="JMI57" s="15"/>
      <c r="JMJ57" s="15"/>
      <c r="JMK57" s="15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15"/>
      <c r="JMX57" s="15"/>
      <c r="JMY57" s="15"/>
      <c r="JMZ57" s="15"/>
      <c r="JNA57" s="15"/>
      <c r="JNB57" s="15"/>
      <c r="JNC57" s="15"/>
      <c r="JND57" s="15"/>
      <c r="JNE57" s="15"/>
      <c r="JNF57" s="15"/>
      <c r="JNG57" s="15"/>
      <c r="JNH57" s="15"/>
      <c r="JNI57" s="15"/>
      <c r="JNJ57" s="15"/>
      <c r="JNK57" s="15"/>
      <c r="JNL57" s="15"/>
      <c r="JNM57" s="15"/>
      <c r="JNN57" s="15"/>
      <c r="JNO57" s="15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15"/>
      <c r="JOB57" s="15"/>
      <c r="JOC57" s="15"/>
      <c r="JOD57" s="15"/>
      <c r="JOE57" s="15"/>
      <c r="JOF57" s="15"/>
      <c r="JOG57" s="15"/>
      <c r="JOH57" s="15"/>
      <c r="JOI57" s="15"/>
      <c r="JOJ57" s="15"/>
      <c r="JOK57" s="15"/>
      <c r="JOL57" s="15"/>
      <c r="JOM57" s="15"/>
      <c r="JON57" s="15"/>
      <c r="JOO57" s="15"/>
      <c r="JOP57" s="15"/>
      <c r="JOQ57" s="15"/>
      <c r="JOR57" s="15"/>
      <c r="JOS57" s="15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15"/>
      <c r="JPF57" s="15"/>
      <c r="JPG57" s="15"/>
      <c r="JPH57" s="15"/>
      <c r="JPI57" s="15"/>
      <c r="JPJ57" s="15"/>
      <c r="JPK57" s="15"/>
      <c r="JPL57" s="15"/>
      <c r="JPM57" s="15"/>
      <c r="JPN57" s="15"/>
      <c r="JPO57" s="15"/>
      <c r="JPP57" s="15"/>
      <c r="JPQ57" s="15"/>
      <c r="JPR57" s="15"/>
      <c r="JPS57" s="15"/>
      <c r="JPT57" s="15"/>
      <c r="JPU57" s="15"/>
      <c r="JPV57" s="15"/>
      <c r="JPW57" s="15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15"/>
      <c r="JQJ57" s="15"/>
      <c r="JQK57" s="15"/>
      <c r="JQL57" s="15"/>
      <c r="JQM57" s="15"/>
      <c r="JQN57" s="15"/>
      <c r="JQO57" s="15"/>
      <c r="JQP57" s="15"/>
      <c r="JQQ57" s="15"/>
      <c r="JQR57" s="15"/>
      <c r="JQS57" s="15"/>
      <c r="JQT57" s="15"/>
      <c r="JQU57" s="15"/>
      <c r="JQV57" s="15"/>
      <c r="JQW57" s="15"/>
      <c r="JQX57" s="15"/>
      <c r="JQY57" s="15"/>
      <c r="JQZ57" s="15"/>
      <c r="JRA57" s="15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15"/>
      <c r="JRN57" s="15"/>
      <c r="JRO57" s="15"/>
      <c r="JRP57" s="15"/>
      <c r="JRQ57" s="15"/>
      <c r="JRR57" s="15"/>
      <c r="JRS57" s="15"/>
      <c r="JRT57" s="15"/>
      <c r="JRU57" s="15"/>
      <c r="JRV57" s="15"/>
      <c r="JRW57" s="15"/>
      <c r="JRX57" s="15"/>
      <c r="JRY57" s="15"/>
      <c r="JRZ57" s="15"/>
      <c r="JSA57" s="15"/>
      <c r="JSB57" s="15"/>
      <c r="JSC57" s="15"/>
      <c r="JSD57" s="15"/>
      <c r="JSE57" s="15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15"/>
      <c r="JSR57" s="15"/>
      <c r="JSS57" s="15"/>
      <c r="JST57" s="15"/>
      <c r="JSU57" s="15"/>
      <c r="JSV57" s="15"/>
      <c r="JSW57" s="15"/>
      <c r="JSX57" s="15"/>
      <c r="JSY57" s="15"/>
      <c r="JSZ57" s="15"/>
      <c r="JTA57" s="15"/>
      <c r="JTB57" s="15"/>
      <c r="JTC57" s="15"/>
      <c r="JTD57" s="15"/>
      <c r="JTE57" s="15"/>
      <c r="JTF57" s="15"/>
      <c r="JTG57" s="15"/>
      <c r="JTH57" s="15"/>
      <c r="JTI57" s="15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15"/>
      <c r="JTV57" s="15"/>
      <c r="JTW57" s="15"/>
      <c r="JTX57" s="15"/>
      <c r="JTY57" s="15"/>
      <c r="JTZ57" s="15"/>
      <c r="JUA57" s="15"/>
      <c r="JUB57" s="15"/>
      <c r="JUC57" s="15"/>
      <c r="JUD57" s="15"/>
      <c r="JUE57" s="15"/>
      <c r="JUF57" s="15"/>
      <c r="JUG57" s="15"/>
      <c r="JUH57" s="15"/>
      <c r="JUI57" s="15"/>
      <c r="JUJ57" s="15"/>
      <c r="JUK57" s="15"/>
      <c r="JUL57" s="15"/>
      <c r="JUM57" s="15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15"/>
      <c r="JUZ57" s="15"/>
      <c r="JVA57" s="15"/>
      <c r="JVB57" s="15"/>
      <c r="JVC57" s="15"/>
      <c r="JVD57" s="15"/>
      <c r="JVE57" s="15"/>
      <c r="JVF57" s="15"/>
      <c r="JVG57" s="15"/>
      <c r="JVH57" s="15"/>
      <c r="JVI57" s="15"/>
      <c r="JVJ57" s="15"/>
      <c r="JVK57" s="15"/>
      <c r="JVL57" s="15"/>
      <c r="JVM57" s="15"/>
      <c r="JVN57" s="15"/>
      <c r="JVO57" s="15"/>
      <c r="JVP57" s="15"/>
      <c r="JVQ57" s="15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15"/>
      <c r="JWD57" s="15"/>
      <c r="JWE57" s="15"/>
      <c r="JWF57" s="15"/>
      <c r="JWG57" s="15"/>
      <c r="JWH57" s="15"/>
      <c r="JWI57" s="15"/>
      <c r="JWJ57" s="15"/>
      <c r="JWK57" s="15"/>
      <c r="JWL57" s="15"/>
      <c r="JWM57" s="15"/>
      <c r="JWN57" s="15"/>
      <c r="JWO57" s="15"/>
      <c r="JWP57" s="15"/>
      <c r="JWQ57" s="15"/>
      <c r="JWR57" s="15"/>
      <c r="JWS57" s="15"/>
      <c r="JWT57" s="15"/>
      <c r="JWU57" s="15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15"/>
      <c r="JXH57" s="15"/>
      <c r="JXI57" s="15"/>
      <c r="JXJ57" s="15"/>
      <c r="JXK57" s="15"/>
      <c r="JXL57" s="15"/>
      <c r="JXM57" s="15"/>
      <c r="JXN57" s="15"/>
      <c r="JXO57" s="15"/>
      <c r="JXP57" s="15"/>
      <c r="JXQ57" s="15"/>
      <c r="JXR57" s="15"/>
      <c r="JXS57" s="15"/>
      <c r="JXT57" s="15"/>
      <c r="JXU57" s="15"/>
      <c r="JXV57" s="15"/>
      <c r="JXW57" s="15"/>
      <c r="JXX57" s="15"/>
      <c r="JXY57" s="15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15"/>
      <c r="JYL57" s="15"/>
      <c r="JYM57" s="15"/>
      <c r="JYN57" s="15"/>
      <c r="JYO57" s="15"/>
      <c r="JYP57" s="15"/>
      <c r="JYQ57" s="15"/>
      <c r="JYR57" s="15"/>
      <c r="JYS57" s="15"/>
      <c r="JYT57" s="15"/>
      <c r="JYU57" s="15"/>
      <c r="JYV57" s="15"/>
      <c r="JYW57" s="15"/>
      <c r="JYX57" s="15"/>
      <c r="JYY57" s="15"/>
      <c r="JYZ57" s="15"/>
      <c r="JZA57" s="15"/>
      <c r="JZB57" s="15"/>
      <c r="JZC57" s="15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15"/>
      <c r="JZP57" s="15"/>
      <c r="JZQ57" s="15"/>
      <c r="JZR57" s="15"/>
      <c r="JZS57" s="15"/>
      <c r="JZT57" s="15"/>
      <c r="JZU57" s="15"/>
      <c r="JZV57" s="15"/>
      <c r="JZW57" s="15"/>
      <c r="JZX57" s="15"/>
      <c r="JZY57" s="15"/>
      <c r="JZZ57" s="15"/>
      <c r="KAA57" s="15"/>
      <c r="KAB57" s="15"/>
      <c r="KAC57" s="15"/>
      <c r="KAD57" s="15"/>
      <c r="KAE57" s="15"/>
      <c r="KAF57" s="15"/>
      <c r="KAG57" s="15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15"/>
      <c r="KAT57" s="15"/>
      <c r="KAU57" s="15"/>
      <c r="KAV57" s="15"/>
      <c r="KAW57" s="15"/>
      <c r="KAX57" s="15"/>
      <c r="KAY57" s="15"/>
      <c r="KAZ57" s="15"/>
      <c r="KBA57" s="15"/>
      <c r="KBB57" s="15"/>
      <c r="KBC57" s="15"/>
      <c r="KBD57" s="15"/>
      <c r="KBE57" s="15"/>
      <c r="KBF57" s="15"/>
      <c r="KBG57" s="15"/>
      <c r="KBH57" s="15"/>
      <c r="KBI57" s="15"/>
      <c r="KBJ57" s="15"/>
      <c r="KBK57" s="15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15"/>
      <c r="KBX57" s="15"/>
      <c r="KBY57" s="15"/>
      <c r="KBZ57" s="15"/>
      <c r="KCA57" s="15"/>
      <c r="KCB57" s="15"/>
      <c r="KCC57" s="15"/>
      <c r="KCD57" s="15"/>
      <c r="KCE57" s="15"/>
      <c r="KCF57" s="15"/>
      <c r="KCG57" s="15"/>
      <c r="KCH57" s="15"/>
      <c r="KCI57" s="15"/>
      <c r="KCJ57" s="15"/>
      <c r="KCK57" s="15"/>
      <c r="KCL57" s="15"/>
      <c r="KCM57" s="15"/>
      <c r="KCN57" s="15"/>
      <c r="KCO57" s="15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15"/>
      <c r="KDB57" s="15"/>
      <c r="KDC57" s="15"/>
      <c r="KDD57" s="15"/>
      <c r="KDE57" s="15"/>
      <c r="KDF57" s="15"/>
      <c r="KDG57" s="15"/>
      <c r="KDH57" s="15"/>
      <c r="KDI57" s="15"/>
      <c r="KDJ57" s="15"/>
      <c r="KDK57" s="15"/>
      <c r="KDL57" s="15"/>
      <c r="KDM57" s="15"/>
      <c r="KDN57" s="15"/>
      <c r="KDO57" s="15"/>
      <c r="KDP57" s="15"/>
      <c r="KDQ57" s="15"/>
      <c r="KDR57" s="15"/>
      <c r="KDS57" s="15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15"/>
      <c r="KEF57" s="15"/>
      <c r="KEG57" s="15"/>
      <c r="KEH57" s="15"/>
      <c r="KEI57" s="15"/>
      <c r="KEJ57" s="15"/>
      <c r="KEK57" s="15"/>
      <c r="KEL57" s="15"/>
      <c r="KEM57" s="15"/>
      <c r="KEN57" s="15"/>
      <c r="KEO57" s="15"/>
      <c r="KEP57" s="15"/>
      <c r="KEQ57" s="15"/>
      <c r="KER57" s="15"/>
      <c r="KES57" s="15"/>
      <c r="KET57" s="15"/>
      <c r="KEU57" s="15"/>
      <c r="KEV57" s="15"/>
      <c r="KEW57" s="15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15"/>
      <c r="KFJ57" s="15"/>
      <c r="KFK57" s="15"/>
      <c r="KFL57" s="15"/>
      <c r="KFM57" s="15"/>
      <c r="KFN57" s="15"/>
      <c r="KFO57" s="15"/>
      <c r="KFP57" s="15"/>
      <c r="KFQ57" s="15"/>
      <c r="KFR57" s="15"/>
      <c r="KFS57" s="15"/>
      <c r="KFT57" s="15"/>
      <c r="KFU57" s="15"/>
      <c r="KFV57" s="15"/>
      <c r="KFW57" s="15"/>
      <c r="KFX57" s="15"/>
      <c r="KFY57" s="15"/>
      <c r="KFZ57" s="15"/>
      <c r="KGA57" s="15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15"/>
      <c r="KGN57" s="15"/>
      <c r="KGO57" s="15"/>
      <c r="KGP57" s="15"/>
      <c r="KGQ57" s="15"/>
      <c r="KGR57" s="15"/>
      <c r="KGS57" s="15"/>
      <c r="KGT57" s="15"/>
      <c r="KGU57" s="15"/>
      <c r="KGV57" s="15"/>
      <c r="KGW57" s="15"/>
      <c r="KGX57" s="15"/>
      <c r="KGY57" s="15"/>
      <c r="KGZ57" s="15"/>
      <c r="KHA57" s="15"/>
      <c r="KHB57" s="15"/>
      <c r="KHC57" s="15"/>
      <c r="KHD57" s="15"/>
      <c r="KHE57" s="15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15"/>
      <c r="KHR57" s="15"/>
      <c r="KHS57" s="15"/>
      <c r="KHT57" s="15"/>
      <c r="KHU57" s="15"/>
      <c r="KHV57" s="15"/>
      <c r="KHW57" s="15"/>
      <c r="KHX57" s="15"/>
      <c r="KHY57" s="15"/>
      <c r="KHZ57" s="15"/>
      <c r="KIA57" s="15"/>
      <c r="KIB57" s="15"/>
      <c r="KIC57" s="15"/>
      <c r="KID57" s="15"/>
      <c r="KIE57" s="15"/>
      <c r="KIF57" s="15"/>
      <c r="KIG57" s="15"/>
      <c r="KIH57" s="15"/>
      <c r="KII57" s="15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15"/>
      <c r="KIV57" s="15"/>
      <c r="KIW57" s="15"/>
      <c r="KIX57" s="15"/>
      <c r="KIY57" s="15"/>
      <c r="KIZ57" s="15"/>
      <c r="KJA57" s="15"/>
      <c r="KJB57" s="15"/>
      <c r="KJC57" s="15"/>
      <c r="KJD57" s="15"/>
      <c r="KJE57" s="15"/>
      <c r="KJF57" s="15"/>
      <c r="KJG57" s="15"/>
      <c r="KJH57" s="15"/>
      <c r="KJI57" s="15"/>
      <c r="KJJ57" s="15"/>
      <c r="KJK57" s="15"/>
      <c r="KJL57" s="15"/>
      <c r="KJM57" s="15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15"/>
      <c r="KJZ57" s="15"/>
      <c r="KKA57" s="15"/>
      <c r="KKB57" s="15"/>
      <c r="KKC57" s="15"/>
      <c r="KKD57" s="15"/>
      <c r="KKE57" s="15"/>
      <c r="KKF57" s="15"/>
      <c r="KKG57" s="15"/>
      <c r="KKH57" s="15"/>
      <c r="KKI57" s="15"/>
      <c r="KKJ57" s="15"/>
      <c r="KKK57" s="15"/>
      <c r="KKL57" s="15"/>
      <c r="KKM57" s="15"/>
      <c r="KKN57" s="15"/>
      <c r="KKO57" s="15"/>
      <c r="KKP57" s="15"/>
      <c r="KKQ57" s="15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15"/>
      <c r="KLD57" s="15"/>
      <c r="KLE57" s="15"/>
      <c r="KLF57" s="15"/>
      <c r="KLG57" s="15"/>
      <c r="KLH57" s="15"/>
      <c r="KLI57" s="15"/>
      <c r="KLJ57" s="15"/>
      <c r="KLK57" s="15"/>
      <c r="KLL57" s="15"/>
      <c r="KLM57" s="15"/>
      <c r="KLN57" s="15"/>
      <c r="KLO57" s="15"/>
      <c r="KLP57" s="15"/>
      <c r="KLQ57" s="15"/>
      <c r="KLR57" s="15"/>
      <c r="KLS57" s="15"/>
      <c r="KLT57" s="15"/>
      <c r="KLU57" s="15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15"/>
      <c r="KMH57" s="15"/>
      <c r="KMI57" s="15"/>
      <c r="KMJ57" s="15"/>
      <c r="KMK57" s="15"/>
      <c r="KML57" s="15"/>
      <c r="KMM57" s="15"/>
      <c r="KMN57" s="15"/>
      <c r="KMO57" s="15"/>
      <c r="KMP57" s="15"/>
      <c r="KMQ57" s="15"/>
      <c r="KMR57" s="15"/>
      <c r="KMS57" s="15"/>
      <c r="KMT57" s="15"/>
      <c r="KMU57" s="15"/>
      <c r="KMV57" s="15"/>
      <c r="KMW57" s="15"/>
      <c r="KMX57" s="15"/>
      <c r="KMY57" s="15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15"/>
      <c r="KNL57" s="15"/>
      <c r="KNM57" s="15"/>
      <c r="KNN57" s="15"/>
      <c r="KNO57" s="15"/>
      <c r="KNP57" s="15"/>
      <c r="KNQ57" s="15"/>
      <c r="KNR57" s="15"/>
      <c r="KNS57" s="15"/>
      <c r="KNT57" s="15"/>
      <c r="KNU57" s="15"/>
      <c r="KNV57" s="15"/>
      <c r="KNW57" s="15"/>
      <c r="KNX57" s="15"/>
      <c r="KNY57" s="15"/>
      <c r="KNZ57" s="15"/>
      <c r="KOA57" s="15"/>
      <c r="KOB57" s="15"/>
      <c r="KOC57" s="15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15"/>
      <c r="KOP57" s="15"/>
      <c r="KOQ57" s="15"/>
      <c r="KOR57" s="15"/>
      <c r="KOS57" s="15"/>
      <c r="KOT57" s="15"/>
      <c r="KOU57" s="15"/>
      <c r="KOV57" s="15"/>
      <c r="KOW57" s="15"/>
      <c r="KOX57" s="15"/>
      <c r="KOY57" s="15"/>
      <c r="KOZ57" s="15"/>
      <c r="KPA57" s="15"/>
      <c r="KPB57" s="15"/>
      <c r="KPC57" s="15"/>
      <c r="KPD57" s="15"/>
      <c r="KPE57" s="15"/>
      <c r="KPF57" s="15"/>
      <c r="KPG57" s="15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15"/>
      <c r="KPT57" s="15"/>
      <c r="KPU57" s="15"/>
      <c r="KPV57" s="15"/>
      <c r="KPW57" s="15"/>
      <c r="KPX57" s="15"/>
      <c r="KPY57" s="15"/>
      <c r="KPZ57" s="15"/>
      <c r="KQA57" s="15"/>
      <c r="KQB57" s="15"/>
      <c r="KQC57" s="15"/>
      <c r="KQD57" s="15"/>
      <c r="KQE57" s="15"/>
      <c r="KQF57" s="15"/>
      <c r="KQG57" s="15"/>
      <c r="KQH57" s="15"/>
      <c r="KQI57" s="15"/>
      <c r="KQJ57" s="15"/>
      <c r="KQK57" s="15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15"/>
      <c r="KQX57" s="15"/>
      <c r="KQY57" s="15"/>
      <c r="KQZ57" s="15"/>
      <c r="KRA57" s="15"/>
      <c r="KRB57" s="15"/>
      <c r="KRC57" s="15"/>
      <c r="KRD57" s="15"/>
      <c r="KRE57" s="15"/>
      <c r="KRF57" s="15"/>
      <c r="KRG57" s="15"/>
      <c r="KRH57" s="15"/>
      <c r="KRI57" s="15"/>
      <c r="KRJ57" s="15"/>
      <c r="KRK57" s="15"/>
      <c r="KRL57" s="15"/>
      <c r="KRM57" s="15"/>
      <c r="KRN57" s="15"/>
      <c r="KRO57" s="15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15"/>
      <c r="KSB57" s="15"/>
      <c r="KSC57" s="15"/>
      <c r="KSD57" s="15"/>
      <c r="KSE57" s="15"/>
      <c r="KSF57" s="15"/>
      <c r="KSG57" s="15"/>
      <c r="KSH57" s="15"/>
      <c r="KSI57" s="15"/>
      <c r="KSJ57" s="15"/>
      <c r="KSK57" s="15"/>
      <c r="KSL57" s="15"/>
      <c r="KSM57" s="15"/>
      <c r="KSN57" s="15"/>
      <c r="KSO57" s="15"/>
      <c r="KSP57" s="15"/>
      <c r="KSQ57" s="15"/>
      <c r="KSR57" s="15"/>
      <c r="KSS57" s="15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15"/>
      <c r="KTF57" s="15"/>
      <c r="KTG57" s="15"/>
      <c r="KTH57" s="15"/>
      <c r="KTI57" s="15"/>
      <c r="KTJ57" s="15"/>
      <c r="KTK57" s="15"/>
      <c r="KTL57" s="15"/>
      <c r="KTM57" s="15"/>
      <c r="KTN57" s="15"/>
      <c r="KTO57" s="15"/>
      <c r="KTP57" s="15"/>
      <c r="KTQ57" s="15"/>
      <c r="KTR57" s="15"/>
      <c r="KTS57" s="15"/>
      <c r="KTT57" s="15"/>
      <c r="KTU57" s="15"/>
      <c r="KTV57" s="15"/>
      <c r="KTW57" s="15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15"/>
      <c r="KUJ57" s="15"/>
      <c r="KUK57" s="15"/>
      <c r="KUL57" s="15"/>
      <c r="KUM57" s="15"/>
      <c r="KUN57" s="15"/>
      <c r="KUO57" s="15"/>
      <c r="KUP57" s="15"/>
      <c r="KUQ57" s="15"/>
      <c r="KUR57" s="15"/>
      <c r="KUS57" s="15"/>
      <c r="KUT57" s="15"/>
      <c r="KUU57" s="15"/>
      <c r="KUV57" s="15"/>
      <c r="KUW57" s="15"/>
      <c r="KUX57" s="15"/>
      <c r="KUY57" s="15"/>
      <c r="KUZ57" s="15"/>
      <c r="KVA57" s="15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15"/>
      <c r="KVN57" s="15"/>
      <c r="KVO57" s="15"/>
      <c r="KVP57" s="15"/>
      <c r="KVQ57" s="15"/>
      <c r="KVR57" s="15"/>
      <c r="KVS57" s="15"/>
      <c r="KVT57" s="15"/>
      <c r="KVU57" s="15"/>
      <c r="KVV57" s="15"/>
      <c r="KVW57" s="15"/>
      <c r="KVX57" s="15"/>
      <c r="KVY57" s="15"/>
      <c r="KVZ57" s="15"/>
      <c r="KWA57" s="15"/>
      <c r="KWB57" s="15"/>
      <c r="KWC57" s="15"/>
      <c r="KWD57" s="15"/>
      <c r="KWE57" s="15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15"/>
      <c r="KWR57" s="15"/>
      <c r="KWS57" s="15"/>
      <c r="KWT57" s="15"/>
      <c r="KWU57" s="15"/>
      <c r="KWV57" s="15"/>
      <c r="KWW57" s="15"/>
      <c r="KWX57" s="15"/>
      <c r="KWY57" s="15"/>
      <c r="KWZ57" s="15"/>
      <c r="KXA57" s="15"/>
      <c r="KXB57" s="15"/>
      <c r="KXC57" s="15"/>
      <c r="KXD57" s="15"/>
      <c r="KXE57" s="15"/>
      <c r="KXF57" s="15"/>
      <c r="KXG57" s="15"/>
      <c r="KXH57" s="15"/>
      <c r="KXI57" s="15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15"/>
      <c r="KXV57" s="15"/>
      <c r="KXW57" s="15"/>
      <c r="KXX57" s="15"/>
      <c r="KXY57" s="15"/>
      <c r="KXZ57" s="15"/>
      <c r="KYA57" s="15"/>
      <c r="KYB57" s="15"/>
      <c r="KYC57" s="15"/>
      <c r="KYD57" s="15"/>
      <c r="KYE57" s="15"/>
      <c r="KYF57" s="15"/>
      <c r="KYG57" s="15"/>
      <c r="KYH57" s="15"/>
      <c r="KYI57" s="15"/>
      <c r="KYJ57" s="15"/>
      <c r="KYK57" s="15"/>
      <c r="KYL57" s="15"/>
      <c r="KYM57" s="15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15"/>
      <c r="KYZ57" s="15"/>
      <c r="KZA57" s="15"/>
      <c r="KZB57" s="15"/>
      <c r="KZC57" s="15"/>
      <c r="KZD57" s="15"/>
      <c r="KZE57" s="15"/>
      <c r="KZF57" s="15"/>
      <c r="KZG57" s="15"/>
      <c r="KZH57" s="15"/>
      <c r="KZI57" s="15"/>
      <c r="KZJ57" s="15"/>
      <c r="KZK57" s="15"/>
      <c r="KZL57" s="15"/>
      <c r="KZM57" s="15"/>
      <c r="KZN57" s="15"/>
      <c r="KZO57" s="15"/>
      <c r="KZP57" s="15"/>
      <c r="KZQ57" s="15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15"/>
      <c r="LAD57" s="15"/>
      <c r="LAE57" s="15"/>
      <c r="LAF57" s="15"/>
      <c r="LAG57" s="15"/>
      <c r="LAH57" s="15"/>
      <c r="LAI57" s="15"/>
      <c r="LAJ57" s="15"/>
      <c r="LAK57" s="15"/>
      <c r="LAL57" s="15"/>
      <c r="LAM57" s="15"/>
      <c r="LAN57" s="15"/>
      <c r="LAO57" s="15"/>
      <c r="LAP57" s="15"/>
      <c r="LAQ57" s="15"/>
      <c r="LAR57" s="15"/>
      <c r="LAS57" s="15"/>
      <c r="LAT57" s="15"/>
      <c r="LAU57" s="15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15"/>
      <c r="LBH57" s="15"/>
      <c r="LBI57" s="15"/>
      <c r="LBJ57" s="15"/>
      <c r="LBK57" s="15"/>
      <c r="LBL57" s="15"/>
      <c r="LBM57" s="15"/>
      <c r="LBN57" s="15"/>
      <c r="LBO57" s="15"/>
      <c r="LBP57" s="15"/>
      <c r="LBQ57" s="15"/>
      <c r="LBR57" s="15"/>
      <c r="LBS57" s="15"/>
      <c r="LBT57" s="15"/>
      <c r="LBU57" s="15"/>
      <c r="LBV57" s="15"/>
      <c r="LBW57" s="15"/>
      <c r="LBX57" s="15"/>
      <c r="LBY57" s="15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15"/>
      <c r="LCL57" s="15"/>
      <c r="LCM57" s="15"/>
      <c r="LCN57" s="15"/>
      <c r="LCO57" s="15"/>
      <c r="LCP57" s="15"/>
      <c r="LCQ57" s="15"/>
      <c r="LCR57" s="15"/>
      <c r="LCS57" s="15"/>
      <c r="LCT57" s="15"/>
      <c r="LCU57" s="15"/>
      <c r="LCV57" s="15"/>
      <c r="LCW57" s="15"/>
      <c r="LCX57" s="15"/>
      <c r="LCY57" s="15"/>
      <c r="LCZ57" s="15"/>
      <c r="LDA57" s="15"/>
      <c r="LDB57" s="15"/>
      <c r="LDC57" s="15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15"/>
      <c r="LDP57" s="15"/>
      <c r="LDQ57" s="15"/>
      <c r="LDR57" s="15"/>
      <c r="LDS57" s="15"/>
      <c r="LDT57" s="15"/>
      <c r="LDU57" s="15"/>
      <c r="LDV57" s="15"/>
      <c r="LDW57" s="15"/>
      <c r="LDX57" s="15"/>
      <c r="LDY57" s="15"/>
      <c r="LDZ57" s="15"/>
      <c r="LEA57" s="15"/>
      <c r="LEB57" s="15"/>
      <c r="LEC57" s="15"/>
      <c r="LED57" s="15"/>
      <c r="LEE57" s="15"/>
      <c r="LEF57" s="15"/>
      <c r="LEG57" s="15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15"/>
      <c r="LET57" s="15"/>
      <c r="LEU57" s="15"/>
      <c r="LEV57" s="15"/>
      <c r="LEW57" s="15"/>
      <c r="LEX57" s="15"/>
      <c r="LEY57" s="15"/>
      <c r="LEZ57" s="15"/>
      <c r="LFA57" s="15"/>
      <c r="LFB57" s="15"/>
      <c r="LFC57" s="15"/>
      <c r="LFD57" s="15"/>
      <c r="LFE57" s="15"/>
      <c r="LFF57" s="15"/>
      <c r="LFG57" s="15"/>
      <c r="LFH57" s="15"/>
      <c r="LFI57" s="15"/>
      <c r="LFJ57" s="15"/>
      <c r="LFK57" s="15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15"/>
      <c r="LFX57" s="15"/>
      <c r="LFY57" s="15"/>
      <c r="LFZ57" s="15"/>
      <c r="LGA57" s="15"/>
      <c r="LGB57" s="15"/>
      <c r="LGC57" s="15"/>
      <c r="LGD57" s="15"/>
      <c r="LGE57" s="15"/>
      <c r="LGF57" s="15"/>
      <c r="LGG57" s="15"/>
      <c r="LGH57" s="15"/>
      <c r="LGI57" s="15"/>
      <c r="LGJ57" s="15"/>
      <c r="LGK57" s="15"/>
      <c r="LGL57" s="15"/>
      <c r="LGM57" s="15"/>
      <c r="LGN57" s="15"/>
      <c r="LGO57" s="15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15"/>
      <c r="LHB57" s="15"/>
      <c r="LHC57" s="15"/>
      <c r="LHD57" s="15"/>
      <c r="LHE57" s="15"/>
      <c r="LHF57" s="15"/>
      <c r="LHG57" s="15"/>
      <c r="LHH57" s="15"/>
      <c r="LHI57" s="15"/>
      <c r="LHJ57" s="15"/>
      <c r="LHK57" s="15"/>
      <c r="LHL57" s="15"/>
      <c r="LHM57" s="15"/>
      <c r="LHN57" s="15"/>
      <c r="LHO57" s="15"/>
      <c r="LHP57" s="15"/>
      <c r="LHQ57" s="15"/>
      <c r="LHR57" s="15"/>
      <c r="LHS57" s="15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15"/>
      <c r="LIF57" s="15"/>
      <c r="LIG57" s="15"/>
      <c r="LIH57" s="15"/>
      <c r="LII57" s="15"/>
      <c r="LIJ57" s="15"/>
      <c r="LIK57" s="15"/>
      <c r="LIL57" s="15"/>
      <c r="LIM57" s="15"/>
      <c r="LIN57" s="15"/>
      <c r="LIO57" s="15"/>
      <c r="LIP57" s="15"/>
      <c r="LIQ57" s="15"/>
      <c r="LIR57" s="15"/>
      <c r="LIS57" s="15"/>
      <c r="LIT57" s="15"/>
      <c r="LIU57" s="15"/>
      <c r="LIV57" s="15"/>
      <c r="LIW57" s="15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15"/>
      <c r="LJJ57" s="15"/>
      <c r="LJK57" s="15"/>
      <c r="LJL57" s="15"/>
      <c r="LJM57" s="15"/>
      <c r="LJN57" s="15"/>
      <c r="LJO57" s="15"/>
      <c r="LJP57" s="15"/>
      <c r="LJQ57" s="15"/>
      <c r="LJR57" s="15"/>
      <c r="LJS57" s="15"/>
      <c r="LJT57" s="15"/>
      <c r="LJU57" s="15"/>
      <c r="LJV57" s="15"/>
      <c r="LJW57" s="15"/>
      <c r="LJX57" s="15"/>
      <c r="LJY57" s="15"/>
      <c r="LJZ57" s="15"/>
      <c r="LKA57" s="15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15"/>
      <c r="LKN57" s="15"/>
      <c r="LKO57" s="15"/>
      <c r="LKP57" s="15"/>
      <c r="LKQ57" s="15"/>
      <c r="LKR57" s="15"/>
      <c r="LKS57" s="15"/>
      <c r="LKT57" s="15"/>
      <c r="LKU57" s="15"/>
      <c r="LKV57" s="15"/>
      <c r="LKW57" s="15"/>
      <c r="LKX57" s="15"/>
      <c r="LKY57" s="15"/>
      <c r="LKZ57" s="15"/>
      <c r="LLA57" s="15"/>
      <c r="LLB57" s="15"/>
      <c r="LLC57" s="15"/>
      <c r="LLD57" s="15"/>
      <c r="LLE57" s="15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15"/>
      <c r="LLR57" s="15"/>
      <c r="LLS57" s="15"/>
      <c r="LLT57" s="15"/>
      <c r="LLU57" s="15"/>
      <c r="LLV57" s="15"/>
      <c r="LLW57" s="15"/>
      <c r="LLX57" s="15"/>
      <c r="LLY57" s="15"/>
      <c r="LLZ57" s="15"/>
      <c r="LMA57" s="15"/>
      <c r="LMB57" s="15"/>
      <c r="LMC57" s="15"/>
      <c r="LMD57" s="15"/>
      <c r="LME57" s="15"/>
      <c r="LMF57" s="15"/>
      <c r="LMG57" s="15"/>
      <c r="LMH57" s="15"/>
      <c r="LMI57" s="15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15"/>
      <c r="LMV57" s="15"/>
      <c r="LMW57" s="15"/>
      <c r="LMX57" s="15"/>
      <c r="LMY57" s="15"/>
      <c r="LMZ57" s="15"/>
      <c r="LNA57" s="15"/>
      <c r="LNB57" s="15"/>
      <c r="LNC57" s="15"/>
      <c r="LND57" s="15"/>
      <c r="LNE57" s="15"/>
      <c r="LNF57" s="15"/>
      <c r="LNG57" s="15"/>
      <c r="LNH57" s="15"/>
      <c r="LNI57" s="15"/>
      <c r="LNJ57" s="15"/>
      <c r="LNK57" s="15"/>
      <c r="LNL57" s="15"/>
      <c r="LNM57" s="15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15"/>
      <c r="LNZ57" s="15"/>
      <c r="LOA57" s="15"/>
      <c r="LOB57" s="15"/>
      <c r="LOC57" s="15"/>
      <c r="LOD57" s="15"/>
      <c r="LOE57" s="15"/>
      <c r="LOF57" s="15"/>
      <c r="LOG57" s="15"/>
      <c r="LOH57" s="15"/>
      <c r="LOI57" s="15"/>
      <c r="LOJ57" s="15"/>
      <c r="LOK57" s="15"/>
      <c r="LOL57" s="15"/>
      <c r="LOM57" s="15"/>
      <c r="LON57" s="15"/>
      <c r="LOO57" s="15"/>
      <c r="LOP57" s="15"/>
      <c r="LOQ57" s="15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15"/>
      <c r="LPD57" s="15"/>
      <c r="LPE57" s="15"/>
      <c r="LPF57" s="15"/>
      <c r="LPG57" s="15"/>
      <c r="LPH57" s="15"/>
      <c r="LPI57" s="15"/>
      <c r="LPJ57" s="15"/>
      <c r="LPK57" s="15"/>
      <c r="LPL57" s="15"/>
      <c r="LPM57" s="15"/>
      <c r="LPN57" s="15"/>
      <c r="LPO57" s="15"/>
      <c r="LPP57" s="15"/>
      <c r="LPQ57" s="15"/>
      <c r="LPR57" s="15"/>
      <c r="LPS57" s="15"/>
      <c r="LPT57" s="15"/>
      <c r="LPU57" s="15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15"/>
      <c r="LQH57" s="15"/>
      <c r="LQI57" s="15"/>
      <c r="LQJ57" s="15"/>
      <c r="LQK57" s="15"/>
      <c r="LQL57" s="15"/>
      <c r="LQM57" s="15"/>
      <c r="LQN57" s="15"/>
      <c r="LQO57" s="15"/>
      <c r="LQP57" s="15"/>
      <c r="LQQ57" s="15"/>
      <c r="LQR57" s="15"/>
      <c r="LQS57" s="15"/>
      <c r="LQT57" s="15"/>
      <c r="LQU57" s="15"/>
      <c r="LQV57" s="15"/>
      <c r="LQW57" s="15"/>
      <c r="LQX57" s="15"/>
      <c r="LQY57" s="15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15"/>
      <c r="LRL57" s="15"/>
      <c r="LRM57" s="15"/>
      <c r="LRN57" s="15"/>
      <c r="LRO57" s="15"/>
      <c r="LRP57" s="15"/>
      <c r="LRQ57" s="15"/>
      <c r="LRR57" s="15"/>
      <c r="LRS57" s="15"/>
      <c r="LRT57" s="15"/>
      <c r="LRU57" s="15"/>
      <c r="LRV57" s="15"/>
      <c r="LRW57" s="15"/>
      <c r="LRX57" s="15"/>
      <c r="LRY57" s="15"/>
      <c r="LRZ57" s="15"/>
      <c r="LSA57" s="15"/>
      <c r="LSB57" s="15"/>
      <c r="LSC57" s="15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15"/>
      <c r="LSP57" s="15"/>
      <c r="LSQ57" s="15"/>
      <c r="LSR57" s="15"/>
      <c r="LSS57" s="15"/>
      <c r="LST57" s="15"/>
      <c r="LSU57" s="15"/>
      <c r="LSV57" s="15"/>
      <c r="LSW57" s="15"/>
      <c r="LSX57" s="15"/>
      <c r="LSY57" s="15"/>
      <c r="LSZ57" s="15"/>
      <c r="LTA57" s="15"/>
      <c r="LTB57" s="15"/>
      <c r="LTC57" s="15"/>
      <c r="LTD57" s="15"/>
      <c r="LTE57" s="15"/>
      <c r="LTF57" s="15"/>
      <c r="LTG57" s="15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15"/>
      <c r="LTT57" s="15"/>
      <c r="LTU57" s="15"/>
      <c r="LTV57" s="15"/>
      <c r="LTW57" s="15"/>
      <c r="LTX57" s="15"/>
      <c r="LTY57" s="15"/>
      <c r="LTZ57" s="15"/>
      <c r="LUA57" s="15"/>
      <c r="LUB57" s="15"/>
      <c r="LUC57" s="15"/>
      <c r="LUD57" s="15"/>
      <c r="LUE57" s="15"/>
      <c r="LUF57" s="15"/>
      <c r="LUG57" s="15"/>
      <c r="LUH57" s="15"/>
      <c r="LUI57" s="15"/>
      <c r="LUJ57" s="15"/>
      <c r="LUK57" s="15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15"/>
      <c r="LUX57" s="15"/>
      <c r="LUY57" s="15"/>
      <c r="LUZ57" s="15"/>
      <c r="LVA57" s="15"/>
      <c r="LVB57" s="15"/>
      <c r="LVC57" s="15"/>
      <c r="LVD57" s="15"/>
      <c r="LVE57" s="15"/>
      <c r="LVF57" s="15"/>
      <c r="LVG57" s="15"/>
      <c r="LVH57" s="15"/>
      <c r="LVI57" s="15"/>
      <c r="LVJ57" s="15"/>
      <c r="LVK57" s="15"/>
      <c r="LVL57" s="15"/>
      <c r="LVM57" s="15"/>
      <c r="LVN57" s="15"/>
      <c r="LVO57" s="15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15"/>
      <c r="LWB57" s="15"/>
      <c r="LWC57" s="15"/>
      <c r="LWD57" s="15"/>
      <c r="LWE57" s="15"/>
      <c r="LWF57" s="15"/>
      <c r="LWG57" s="15"/>
      <c r="LWH57" s="15"/>
      <c r="LWI57" s="15"/>
      <c r="LWJ57" s="15"/>
      <c r="LWK57" s="15"/>
      <c r="LWL57" s="15"/>
      <c r="LWM57" s="15"/>
      <c r="LWN57" s="15"/>
      <c r="LWO57" s="15"/>
      <c r="LWP57" s="15"/>
      <c r="LWQ57" s="15"/>
      <c r="LWR57" s="15"/>
      <c r="LWS57" s="15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15"/>
      <c r="LXF57" s="15"/>
      <c r="LXG57" s="15"/>
      <c r="LXH57" s="15"/>
      <c r="LXI57" s="15"/>
      <c r="LXJ57" s="15"/>
      <c r="LXK57" s="15"/>
      <c r="LXL57" s="15"/>
      <c r="LXM57" s="15"/>
      <c r="LXN57" s="15"/>
      <c r="LXO57" s="15"/>
      <c r="LXP57" s="15"/>
      <c r="LXQ57" s="15"/>
      <c r="LXR57" s="15"/>
      <c r="LXS57" s="15"/>
      <c r="LXT57" s="15"/>
      <c r="LXU57" s="15"/>
      <c r="LXV57" s="15"/>
      <c r="LXW57" s="15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15"/>
      <c r="LYJ57" s="15"/>
      <c r="LYK57" s="15"/>
      <c r="LYL57" s="15"/>
      <c r="LYM57" s="15"/>
      <c r="LYN57" s="15"/>
      <c r="LYO57" s="15"/>
      <c r="LYP57" s="15"/>
      <c r="LYQ57" s="15"/>
      <c r="LYR57" s="15"/>
      <c r="LYS57" s="15"/>
      <c r="LYT57" s="15"/>
      <c r="LYU57" s="15"/>
      <c r="LYV57" s="15"/>
      <c r="LYW57" s="15"/>
      <c r="LYX57" s="15"/>
      <c r="LYY57" s="15"/>
      <c r="LYZ57" s="15"/>
      <c r="LZA57" s="15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15"/>
      <c r="LZN57" s="15"/>
      <c r="LZO57" s="15"/>
      <c r="LZP57" s="15"/>
      <c r="LZQ57" s="15"/>
      <c r="LZR57" s="15"/>
      <c r="LZS57" s="15"/>
      <c r="LZT57" s="15"/>
      <c r="LZU57" s="15"/>
      <c r="LZV57" s="15"/>
      <c r="LZW57" s="15"/>
      <c r="LZX57" s="15"/>
      <c r="LZY57" s="15"/>
      <c r="LZZ57" s="15"/>
      <c r="MAA57" s="15"/>
      <c r="MAB57" s="15"/>
      <c r="MAC57" s="15"/>
      <c r="MAD57" s="15"/>
      <c r="MAE57" s="15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15"/>
      <c r="MAR57" s="15"/>
      <c r="MAS57" s="15"/>
      <c r="MAT57" s="15"/>
      <c r="MAU57" s="15"/>
      <c r="MAV57" s="15"/>
      <c r="MAW57" s="15"/>
      <c r="MAX57" s="15"/>
      <c r="MAY57" s="15"/>
      <c r="MAZ57" s="15"/>
      <c r="MBA57" s="15"/>
      <c r="MBB57" s="15"/>
      <c r="MBC57" s="15"/>
      <c r="MBD57" s="15"/>
      <c r="MBE57" s="15"/>
      <c r="MBF57" s="15"/>
      <c r="MBG57" s="15"/>
      <c r="MBH57" s="15"/>
      <c r="MBI57" s="15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15"/>
      <c r="MBV57" s="15"/>
      <c r="MBW57" s="15"/>
      <c r="MBX57" s="15"/>
      <c r="MBY57" s="15"/>
      <c r="MBZ57" s="15"/>
      <c r="MCA57" s="15"/>
      <c r="MCB57" s="15"/>
      <c r="MCC57" s="15"/>
      <c r="MCD57" s="15"/>
      <c r="MCE57" s="15"/>
      <c r="MCF57" s="15"/>
      <c r="MCG57" s="15"/>
      <c r="MCH57" s="15"/>
      <c r="MCI57" s="15"/>
      <c r="MCJ57" s="15"/>
      <c r="MCK57" s="15"/>
      <c r="MCL57" s="15"/>
      <c r="MCM57" s="15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15"/>
      <c r="MCZ57" s="15"/>
      <c r="MDA57" s="15"/>
      <c r="MDB57" s="15"/>
      <c r="MDC57" s="15"/>
      <c r="MDD57" s="15"/>
      <c r="MDE57" s="15"/>
      <c r="MDF57" s="15"/>
      <c r="MDG57" s="15"/>
      <c r="MDH57" s="15"/>
      <c r="MDI57" s="15"/>
      <c r="MDJ57" s="15"/>
      <c r="MDK57" s="15"/>
      <c r="MDL57" s="15"/>
      <c r="MDM57" s="15"/>
      <c r="MDN57" s="15"/>
      <c r="MDO57" s="15"/>
      <c r="MDP57" s="15"/>
      <c r="MDQ57" s="15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15"/>
      <c r="MED57" s="15"/>
      <c r="MEE57" s="15"/>
      <c r="MEF57" s="15"/>
      <c r="MEG57" s="15"/>
      <c r="MEH57" s="15"/>
      <c r="MEI57" s="15"/>
      <c r="MEJ57" s="15"/>
      <c r="MEK57" s="15"/>
      <c r="MEL57" s="15"/>
      <c r="MEM57" s="15"/>
      <c r="MEN57" s="15"/>
      <c r="MEO57" s="15"/>
      <c r="MEP57" s="15"/>
      <c r="MEQ57" s="15"/>
      <c r="MER57" s="15"/>
      <c r="MES57" s="15"/>
      <c r="MET57" s="15"/>
      <c r="MEU57" s="15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15"/>
      <c r="MFH57" s="15"/>
      <c r="MFI57" s="15"/>
      <c r="MFJ57" s="15"/>
      <c r="MFK57" s="15"/>
      <c r="MFL57" s="15"/>
      <c r="MFM57" s="15"/>
      <c r="MFN57" s="15"/>
      <c r="MFO57" s="15"/>
      <c r="MFP57" s="15"/>
      <c r="MFQ57" s="15"/>
      <c r="MFR57" s="15"/>
      <c r="MFS57" s="15"/>
      <c r="MFT57" s="15"/>
      <c r="MFU57" s="15"/>
      <c r="MFV57" s="15"/>
      <c r="MFW57" s="15"/>
      <c r="MFX57" s="15"/>
      <c r="MFY57" s="15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15"/>
      <c r="MGL57" s="15"/>
      <c r="MGM57" s="15"/>
      <c r="MGN57" s="15"/>
      <c r="MGO57" s="15"/>
      <c r="MGP57" s="15"/>
      <c r="MGQ57" s="15"/>
      <c r="MGR57" s="15"/>
      <c r="MGS57" s="15"/>
      <c r="MGT57" s="15"/>
      <c r="MGU57" s="15"/>
      <c r="MGV57" s="15"/>
      <c r="MGW57" s="15"/>
      <c r="MGX57" s="15"/>
      <c r="MGY57" s="15"/>
      <c r="MGZ57" s="15"/>
      <c r="MHA57" s="15"/>
      <c r="MHB57" s="15"/>
      <c r="MHC57" s="15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15"/>
      <c r="MHP57" s="15"/>
      <c r="MHQ57" s="15"/>
      <c r="MHR57" s="15"/>
      <c r="MHS57" s="15"/>
      <c r="MHT57" s="15"/>
      <c r="MHU57" s="15"/>
      <c r="MHV57" s="15"/>
      <c r="MHW57" s="15"/>
      <c r="MHX57" s="15"/>
      <c r="MHY57" s="15"/>
      <c r="MHZ57" s="15"/>
      <c r="MIA57" s="15"/>
      <c r="MIB57" s="15"/>
      <c r="MIC57" s="15"/>
      <c r="MID57" s="15"/>
      <c r="MIE57" s="15"/>
      <c r="MIF57" s="15"/>
      <c r="MIG57" s="15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15"/>
      <c r="MIT57" s="15"/>
      <c r="MIU57" s="15"/>
      <c r="MIV57" s="15"/>
      <c r="MIW57" s="15"/>
      <c r="MIX57" s="15"/>
      <c r="MIY57" s="15"/>
      <c r="MIZ57" s="15"/>
      <c r="MJA57" s="15"/>
      <c r="MJB57" s="15"/>
      <c r="MJC57" s="15"/>
      <c r="MJD57" s="15"/>
      <c r="MJE57" s="15"/>
      <c r="MJF57" s="15"/>
      <c r="MJG57" s="15"/>
      <c r="MJH57" s="15"/>
      <c r="MJI57" s="15"/>
      <c r="MJJ57" s="15"/>
      <c r="MJK57" s="15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15"/>
      <c r="MJX57" s="15"/>
      <c r="MJY57" s="15"/>
      <c r="MJZ57" s="15"/>
      <c r="MKA57" s="15"/>
      <c r="MKB57" s="15"/>
      <c r="MKC57" s="15"/>
      <c r="MKD57" s="15"/>
      <c r="MKE57" s="15"/>
      <c r="MKF57" s="15"/>
      <c r="MKG57" s="15"/>
      <c r="MKH57" s="15"/>
      <c r="MKI57" s="15"/>
      <c r="MKJ57" s="15"/>
      <c r="MKK57" s="15"/>
      <c r="MKL57" s="15"/>
      <c r="MKM57" s="15"/>
      <c r="MKN57" s="15"/>
      <c r="MKO57" s="15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15"/>
      <c r="MLB57" s="15"/>
      <c r="MLC57" s="15"/>
      <c r="MLD57" s="15"/>
      <c r="MLE57" s="15"/>
      <c r="MLF57" s="15"/>
      <c r="MLG57" s="15"/>
      <c r="MLH57" s="15"/>
      <c r="MLI57" s="15"/>
      <c r="MLJ57" s="15"/>
      <c r="MLK57" s="15"/>
      <c r="MLL57" s="15"/>
      <c r="MLM57" s="15"/>
      <c r="MLN57" s="15"/>
      <c r="MLO57" s="15"/>
      <c r="MLP57" s="15"/>
      <c r="MLQ57" s="15"/>
      <c r="MLR57" s="15"/>
      <c r="MLS57" s="15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15"/>
      <c r="MMF57" s="15"/>
      <c r="MMG57" s="15"/>
      <c r="MMH57" s="15"/>
      <c r="MMI57" s="15"/>
      <c r="MMJ57" s="15"/>
      <c r="MMK57" s="15"/>
      <c r="MML57" s="15"/>
      <c r="MMM57" s="15"/>
      <c r="MMN57" s="15"/>
      <c r="MMO57" s="15"/>
      <c r="MMP57" s="15"/>
      <c r="MMQ57" s="15"/>
      <c r="MMR57" s="15"/>
      <c r="MMS57" s="15"/>
      <c r="MMT57" s="15"/>
      <c r="MMU57" s="15"/>
      <c r="MMV57" s="15"/>
      <c r="MMW57" s="15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15"/>
      <c r="MNJ57" s="15"/>
      <c r="MNK57" s="15"/>
      <c r="MNL57" s="15"/>
      <c r="MNM57" s="15"/>
      <c r="MNN57" s="15"/>
      <c r="MNO57" s="15"/>
      <c r="MNP57" s="15"/>
      <c r="MNQ57" s="15"/>
      <c r="MNR57" s="15"/>
      <c r="MNS57" s="15"/>
      <c r="MNT57" s="15"/>
      <c r="MNU57" s="15"/>
      <c r="MNV57" s="15"/>
      <c r="MNW57" s="15"/>
      <c r="MNX57" s="15"/>
      <c r="MNY57" s="15"/>
      <c r="MNZ57" s="15"/>
      <c r="MOA57" s="15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15"/>
      <c r="MON57" s="15"/>
      <c r="MOO57" s="15"/>
      <c r="MOP57" s="15"/>
      <c r="MOQ57" s="15"/>
      <c r="MOR57" s="15"/>
      <c r="MOS57" s="15"/>
      <c r="MOT57" s="15"/>
      <c r="MOU57" s="15"/>
      <c r="MOV57" s="15"/>
      <c r="MOW57" s="15"/>
      <c r="MOX57" s="15"/>
      <c r="MOY57" s="15"/>
      <c r="MOZ57" s="15"/>
      <c r="MPA57" s="15"/>
      <c r="MPB57" s="15"/>
      <c r="MPC57" s="15"/>
      <c r="MPD57" s="15"/>
      <c r="MPE57" s="15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15"/>
      <c r="MPR57" s="15"/>
      <c r="MPS57" s="15"/>
      <c r="MPT57" s="15"/>
      <c r="MPU57" s="15"/>
      <c r="MPV57" s="15"/>
      <c r="MPW57" s="15"/>
      <c r="MPX57" s="15"/>
      <c r="MPY57" s="15"/>
      <c r="MPZ57" s="15"/>
      <c r="MQA57" s="15"/>
      <c r="MQB57" s="15"/>
      <c r="MQC57" s="15"/>
      <c r="MQD57" s="15"/>
      <c r="MQE57" s="15"/>
      <c r="MQF57" s="15"/>
      <c r="MQG57" s="15"/>
      <c r="MQH57" s="15"/>
      <c r="MQI57" s="15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15"/>
      <c r="MQV57" s="15"/>
      <c r="MQW57" s="15"/>
      <c r="MQX57" s="15"/>
      <c r="MQY57" s="15"/>
      <c r="MQZ57" s="15"/>
      <c r="MRA57" s="15"/>
      <c r="MRB57" s="15"/>
      <c r="MRC57" s="15"/>
      <c r="MRD57" s="15"/>
      <c r="MRE57" s="15"/>
      <c r="MRF57" s="15"/>
      <c r="MRG57" s="15"/>
      <c r="MRH57" s="15"/>
      <c r="MRI57" s="15"/>
      <c r="MRJ57" s="15"/>
      <c r="MRK57" s="15"/>
      <c r="MRL57" s="15"/>
      <c r="MRM57" s="15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15"/>
      <c r="MRZ57" s="15"/>
      <c r="MSA57" s="15"/>
      <c r="MSB57" s="15"/>
      <c r="MSC57" s="15"/>
      <c r="MSD57" s="15"/>
      <c r="MSE57" s="15"/>
      <c r="MSF57" s="15"/>
      <c r="MSG57" s="15"/>
      <c r="MSH57" s="15"/>
      <c r="MSI57" s="15"/>
      <c r="MSJ57" s="15"/>
      <c r="MSK57" s="15"/>
      <c r="MSL57" s="15"/>
      <c r="MSM57" s="15"/>
      <c r="MSN57" s="15"/>
      <c r="MSO57" s="15"/>
      <c r="MSP57" s="15"/>
      <c r="MSQ57" s="15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15"/>
      <c r="MTD57" s="15"/>
      <c r="MTE57" s="15"/>
      <c r="MTF57" s="15"/>
      <c r="MTG57" s="15"/>
      <c r="MTH57" s="15"/>
      <c r="MTI57" s="15"/>
      <c r="MTJ57" s="15"/>
      <c r="MTK57" s="15"/>
      <c r="MTL57" s="15"/>
      <c r="MTM57" s="15"/>
      <c r="MTN57" s="15"/>
      <c r="MTO57" s="15"/>
      <c r="MTP57" s="15"/>
      <c r="MTQ57" s="15"/>
      <c r="MTR57" s="15"/>
      <c r="MTS57" s="15"/>
      <c r="MTT57" s="15"/>
      <c r="MTU57" s="15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15"/>
      <c r="MUH57" s="15"/>
      <c r="MUI57" s="15"/>
      <c r="MUJ57" s="15"/>
      <c r="MUK57" s="15"/>
      <c r="MUL57" s="15"/>
      <c r="MUM57" s="15"/>
      <c r="MUN57" s="15"/>
      <c r="MUO57" s="15"/>
      <c r="MUP57" s="15"/>
      <c r="MUQ57" s="15"/>
      <c r="MUR57" s="15"/>
      <c r="MUS57" s="15"/>
      <c r="MUT57" s="15"/>
      <c r="MUU57" s="15"/>
      <c r="MUV57" s="15"/>
      <c r="MUW57" s="15"/>
      <c r="MUX57" s="15"/>
      <c r="MUY57" s="15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15"/>
      <c r="MVL57" s="15"/>
      <c r="MVM57" s="15"/>
      <c r="MVN57" s="15"/>
      <c r="MVO57" s="15"/>
      <c r="MVP57" s="15"/>
      <c r="MVQ57" s="15"/>
      <c r="MVR57" s="15"/>
      <c r="MVS57" s="15"/>
      <c r="MVT57" s="15"/>
      <c r="MVU57" s="15"/>
      <c r="MVV57" s="15"/>
      <c r="MVW57" s="15"/>
      <c r="MVX57" s="15"/>
      <c r="MVY57" s="15"/>
      <c r="MVZ57" s="15"/>
      <c r="MWA57" s="15"/>
      <c r="MWB57" s="15"/>
      <c r="MWC57" s="15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15"/>
      <c r="MWP57" s="15"/>
      <c r="MWQ57" s="15"/>
      <c r="MWR57" s="15"/>
      <c r="MWS57" s="15"/>
      <c r="MWT57" s="15"/>
      <c r="MWU57" s="15"/>
      <c r="MWV57" s="15"/>
      <c r="MWW57" s="15"/>
      <c r="MWX57" s="15"/>
      <c r="MWY57" s="15"/>
      <c r="MWZ57" s="15"/>
      <c r="MXA57" s="15"/>
      <c r="MXB57" s="15"/>
      <c r="MXC57" s="15"/>
      <c r="MXD57" s="15"/>
      <c r="MXE57" s="15"/>
      <c r="MXF57" s="15"/>
      <c r="MXG57" s="15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15"/>
      <c r="MXT57" s="15"/>
      <c r="MXU57" s="15"/>
      <c r="MXV57" s="15"/>
      <c r="MXW57" s="15"/>
      <c r="MXX57" s="15"/>
      <c r="MXY57" s="15"/>
      <c r="MXZ57" s="15"/>
      <c r="MYA57" s="15"/>
      <c r="MYB57" s="15"/>
      <c r="MYC57" s="15"/>
      <c r="MYD57" s="15"/>
      <c r="MYE57" s="15"/>
      <c r="MYF57" s="15"/>
      <c r="MYG57" s="15"/>
      <c r="MYH57" s="15"/>
      <c r="MYI57" s="15"/>
      <c r="MYJ57" s="15"/>
      <c r="MYK57" s="15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15"/>
      <c r="MYX57" s="15"/>
      <c r="MYY57" s="15"/>
      <c r="MYZ57" s="15"/>
      <c r="MZA57" s="15"/>
      <c r="MZB57" s="15"/>
      <c r="MZC57" s="15"/>
      <c r="MZD57" s="15"/>
      <c r="MZE57" s="15"/>
      <c r="MZF57" s="15"/>
      <c r="MZG57" s="15"/>
      <c r="MZH57" s="15"/>
      <c r="MZI57" s="15"/>
      <c r="MZJ57" s="15"/>
      <c r="MZK57" s="15"/>
      <c r="MZL57" s="15"/>
      <c r="MZM57" s="15"/>
      <c r="MZN57" s="15"/>
      <c r="MZO57" s="15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15"/>
      <c r="NAB57" s="15"/>
      <c r="NAC57" s="15"/>
      <c r="NAD57" s="15"/>
      <c r="NAE57" s="15"/>
      <c r="NAF57" s="15"/>
      <c r="NAG57" s="15"/>
      <c r="NAH57" s="15"/>
      <c r="NAI57" s="15"/>
      <c r="NAJ57" s="15"/>
      <c r="NAK57" s="15"/>
      <c r="NAL57" s="15"/>
      <c r="NAM57" s="15"/>
      <c r="NAN57" s="15"/>
      <c r="NAO57" s="15"/>
      <c r="NAP57" s="15"/>
      <c r="NAQ57" s="15"/>
      <c r="NAR57" s="15"/>
      <c r="NAS57" s="15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15"/>
      <c r="NBF57" s="15"/>
      <c r="NBG57" s="15"/>
      <c r="NBH57" s="15"/>
      <c r="NBI57" s="15"/>
      <c r="NBJ57" s="15"/>
      <c r="NBK57" s="15"/>
      <c r="NBL57" s="15"/>
      <c r="NBM57" s="15"/>
      <c r="NBN57" s="15"/>
      <c r="NBO57" s="15"/>
      <c r="NBP57" s="15"/>
      <c r="NBQ57" s="15"/>
      <c r="NBR57" s="15"/>
      <c r="NBS57" s="15"/>
      <c r="NBT57" s="15"/>
      <c r="NBU57" s="15"/>
      <c r="NBV57" s="15"/>
      <c r="NBW57" s="15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15"/>
      <c r="NCJ57" s="15"/>
      <c r="NCK57" s="15"/>
      <c r="NCL57" s="15"/>
      <c r="NCM57" s="15"/>
      <c r="NCN57" s="15"/>
      <c r="NCO57" s="15"/>
      <c r="NCP57" s="15"/>
      <c r="NCQ57" s="15"/>
      <c r="NCR57" s="15"/>
      <c r="NCS57" s="15"/>
      <c r="NCT57" s="15"/>
      <c r="NCU57" s="15"/>
      <c r="NCV57" s="15"/>
      <c r="NCW57" s="15"/>
      <c r="NCX57" s="15"/>
      <c r="NCY57" s="15"/>
      <c r="NCZ57" s="15"/>
      <c r="NDA57" s="15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15"/>
      <c r="NDN57" s="15"/>
      <c r="NDO57" s="15"/>
      <c r="NDP57" s="15"/>
      <c r="NDQ57" s="15"/>
      <c r="NDR57" s="15"/>
      <c r="NDS57" s="15"/>
      <c r="NDT57" s="15"/>
      <c r="NDU57" s="15"/>
      <c r="NDV57" s="15"/>
      <c r="NDW57" s="15"/>
      <c r="NDX57" s="15"/>
      <c r="NDY57" s="15"/>
      <c r="NDZ57" s="15"/>
      <c r="NEA57" s="15"/>
      <c r="NEB57" s="15"/>
      <c r="NEC57" s="15"/>
      <c r="NED57" s="15"/>
      <c r="NEE57" s="15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15"/>
      <c r="NER57" s="15"/>
      <c r="NES57" s="15"/>
      <c r="NET57" s="15"/>
      <c r="NEU57" s="15"/>
      <c r="NEV57" s="15"/>
      <c r="NEW57" s="15"/>
      <c r="NEX57" s="15"/>
      <c r="NEY57" s="15"/>
      <c r="NEZ57" s="15"/>
      <c r="NFA57" s="15"/>
      <c r="NFB57" s="15"/>
      <c r="NFC57" s="15"/>
      <c r="NFD57" s="15"/>
      <c r="NFE57" s="15"/>
      <c r="NFF57" s="15"/>
      <c r="NFG57" s="15"/>
      <c r="NFH57" s="15"/>
      <c r="NFI57" s="15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15"/>
      <c r="NFV57" s="15"/>
      <c r="NFW57" s="15"/>
      <c r="NFX57" s="15"/>
      <c r="NFY57" s="15"/>
      <c r="NFZ57" s="15"/>
      <c r="NGA57" s="15"/>
      <c r="NGB57" s="15"/>
      <c r="NGC57" s="15"/>
      <c r="NGD57" s="15"/>
      <c r="NGE57" s="15"/>
      <c r="NGF57" s="15"/>
      <c r="NGG57" s="15"/>
      <c r="NGH57" s="15"/>
      <c r="NGI57" s="15"/>
      <c r="NGJ57" s="15"/>
      <c r="NGK57" s="15"/>
      <c r="NGL57" s="15"/>
      <c r="NGM57" s="15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15"/>
      <c r="NGZ57" s="15"/>
      <c r="NHA57" s="15"/>
      <c r="NHB57" s="15"/>
      <c r="NHC57" s="15"/>
      <c r="NHD57" s="15"/>
      <c r="NHE57" s="15"/>
      <c r="NHF57" s="15"/>
      <c r="NHG57" s="15"/>
      <c r="NHH57" s="15"/>
      <c r="NHI57" s="15"/>
      <c r="NHJ57" s="15"/>
      <c r="NHK57" s="15"/>
      <c r="NHL57" s="15"/>
      <c r="NHM57" s="15"/>
      <c r="NHN57" s="15"/>
      <c r="NHO57" s="15"/>
      <c r="NHP57" s="15"/>
      <c r="NHQ57" s="15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15"/>
      <c r="NID57" s="15"/>
      <c r="NIE57" s="15"/>
      <c r="NIF57" s="15"/>
      <c r="NIG57" s="15"/>
      <c r="NIH57" s="15"/>
      <c r="NII57" s="15"/>
      <c r="NIJ57" s="15"/>
      <c r="NIK57" s="15"/>
      <c r="NIL57" s="15"/>
      <c r="NIM57" s="15"/>
      <c r="NIN57" s="15"/>
      <c r="NIO57" s="15"/>
      <c r="NIP57" s="15"/>
      <c r="NIQ57" s="15"/>
      <c r="NIR57" s="15"/>
      <c r="NIS57" s="15"/>
      <c r="NIT57" s="15"/>
      <c r="NIU57" s="15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15"/>
      <c r="NJH57" s="15"/>
      <c r="NJI57" s="15"/>
      <c r="NJJ57" s="15"/>
      <c r="NJK57" s="15"/>
      <c r="NJL57" s="15"/>
      <c r="NJM57" s="15"/>
      <c r="NJN57" s="15"/>
      <c r="NJO57" s="15"/>
      <c r="NJP57" s="15"/>
      <c r="NJQ57" s="15"/>
      <c r="NJR57" s="15"/>
      <c r="NJS57" s="15"/>
      <c r="NJT57" s="15"/>
      <c r="NJU57" s="15"/>
      <c r="NJV57" s="15"/>
      <c r="NJW57" s="15"/>
      <c r="NJX57" s="15"/>
      <c r="NJY57" s="15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15"/>
      <c r="NKL57" s="15"/>
      <c r="NKM57" s="15"/>
      <c r="NKN57" s="15"/>
      <c r="NKO57" s="15"/>
      <c r="NKP57" s="15"/>
      <c r="NKQ57" s="15"/>
      <c r="NKR57" s="15"/>
      <c r="NKS57" s="15"/>
      <c r="NKT57" s="15"/>
      <c r="NKU57" s="15"/>
      <c r="NKV57" s="15"/>
      <c r="NKW57" s="15"/>
      <c r="NKX57" s="15"/>
      <c r="NKY57" s="15"/>
      <c r="NKZ57" s="15"/>
      <c r="NLA57" s="15"/>
      <c r="NLB57" s="15"/>
      <c r="NLC57" s="15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15"/>
      <c r="NLP57" s="15"/>
      <c r="NLQ57" s="15"/>
      <c r="NLR57" s="15"/>
      <c r="NLS57" s="15"/>
      <c r="NLT57" s="15"/>
      <c r="NLU57" s="15"/>
      <c r="NLV57" s="15"/>
      <c r="NLW57" s="15"/>
      <c r="NLX57" s="15"/>
      <c r="NLY57" s="15"/>
      <c r="NLZ57" s="15"/>
      <c r="NMA57" s="15"/>
      <c r="NMB57" s="15"/>
      <c r="NMC57" s="15"/>
      <c r="NMD57" s="15"/>
      <c r="NME57" s="15"/>
      <c r="NMF57" s="15"/>
      <c r="NMG57" s="15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15"/>
      <c r="NMT57" s="15"/>
      <c r="NMU57" s="15"/>
      <c r="NMV57" s="15"/>
      <c r="NMW57" s="15"/>
      <c r="NMX57" s="15"/>
      <c r="NMY57" s="15"/>
      <c r="NMZ57" s="15"/>
      <c r="NNA57" s="15"/>
      <c r="NNB57" s="15"/>
      <c r="NNC57" s="15"/>
      <c r="NND57" s="15"/>
      <c r="NNE57" s="15"/>
      <c r="NNF57" s="15"/>
      <c r="NNG57" s="15"/>
      <c r="NNH57" s="15"/>
      <c r="NNI57" s="15"/>
      <c r="NNJ57" s="15"/>
      <c r="NNK57" s="15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15"/>
      <c r="NNX57" s="15"/>
      <c r="NNY57" s="15"/>
      <c r="NNZ57" s="15"/>
      <c r="NOA57" s="15"/>
      <c r="NOB57" s="15"/>
      <c r="NOC57" s="15"/>
      <c r="NOD57" s="15"/>
      <c r="NOE57" s="15"/>
      <c r="NOF57" s="15"/>
      <c r="NOG57" s="15"/>
      <c r="NOH57" s="15"/>
      <c r="NOI57" s="15"/>
      <c r="NOJ57" s="15"/>
      <c r="NOK57" s="15"/>
      <c r="NOL57" s="15"/>
      <c r="NOM57" s="15"/>
      <c r="NON57" s="15"/>
      <c r="NOO57" s="15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15"/>
      <c r="NPB57" s="15"/>
      <c r="NPC57" s="15"/>
      <c r="NPD57" s="15"/>
      <c r="NPE57" s="15"/>
      <c r="NPF57" s="15"/>
      <c r="NPG57" s="15"/>
      <c r="NPH57" s="15"/>
      <c r="NPI57" s="15"/>
      <c r="NPJ57" s="15"/>
      <c r="NPK57" s="15"/>
      <c r="NPL57" s="15"/>
      <c r="NPM57" s="15"/>
      <c r="NPN57" s="15"/>
      <c r="NPO57" s="15"/>
      <c r="NPP57" s="15"/>
      <c r="NPQ57" s="15"/>
      <c r="NPR57" s="15"/>
      <c r="NPS57" s="15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15"/>
      <c r="NQF57" s="15"/>
      <c r="NQG57" s="15"/>
      <c r="NQH57" s="15"/>
      <c r="NQI57" s="15"/>
      <c r="NQJ57" s="15"/>
      <c r="NQK57" s="15"/>
      <c r="NQL57" s="15"/>
      <c r="NQM57" s="15"/>
      <c r="NQN57" s="15"/>
      <c r="NQO57" s="15"/>
      <c r="NQP57" s="15"/>
      <c r="NQQ57" s="15"/>
      <c r="NQR57" s="15"/>
      <c r="NQS57" s="15"/>
      <c r="NQT57" s="15"/>
      <c r="NQU57" s="15"/>
      <c r="NQV57" s="15"/>
      <c r="NQW57" s="15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15"/>
      <c r="NRJ57" s="15"/>
      <c r="NRK57" s="15"/>
      <c r="NRL57" s="15"/>
      <c r="NRM57" s="15"/>
      <c r="NRN57" s="15"/>
      <c r="NRO57" s="15"/>
      <c r="NRP57" s="15"/>
      <c r="NRQ57" s="15"/>
      <c r="NRR57" s="15"/>
      <c r="NRS57" s="15"/>
      <c r="NRT57" s="15"/>
      <c r="NRU57" s="15"/>
      <c r="NRV57" s="15"/>
      <c r="NRW57" s="15"/>
      <c r="NRX57" s="15"/>
      <c r="NRY57" s="15"/>
      <c r="NRZ57" s="15"/>
      <c r="NSA57" s="15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15"/>
      <c r="NSN57" s="15"/>
      <c r="NSO57" s="15"/>
      <c r="NSP57" s="15"/>
      <c r="NSQ57" s="15"/>
      <c r="NSR57" s="15"/>
      <c r="NSS57" s="15"/>
      <c r="NST57" s="15"/>
      <c r="NSU57" s="15"/>
      <c r="NSV57" s="15"/>
      <c r="NSW57" s="15"/>
      <c r="NSX57" s="15"/>
      <c r="NSY57" s="15"/>
      <c r="NSZ57" s="15"/>
      <c r="NTA57" s="15"/>
      <c r="NTB57" s="15"/>
      <c r="NTC57" s="15"/>
      <c r="NTD57" s="15"/>
      <c r="NTE57" s="15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15"/>
      <c r="NTR57" s="15"/>
      <c r="NTS57" s="15"/>
      <c r="NTT57" s="15"/>
      <c r="NTU57" s="15"/>
      <c r="NTV57" s="15"/>
      <c r="NTW57" s="15"/>
      <c r="NTX57" s="15"/>
      <c r="NTY57" s="15"/>
      <c r="NTZ57" s="15"/>
      <c r="NUA57" s="15"/>
      <c r="NUB57" s="15"/>
      <c r="NUC57" s="15"/>
      <c r="NUD57" s="15"/>
      <c r="NUE57" s="15"/>
      <c r="NUF57" s="15"/>
      <c r="NUG57" s="15"/>
      <c r="NUH57" s="15"/>
      <c r="NUI57" s="15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15"/>
      <c r="NUV57" s="15"/>
      <c r="NUW57" s="15"/>
      <c r="NUX57" s="15"/>
      <c r="NUY57" s="15"/>
      <c r="NUZ57" s="15"/>
      <c r="NVA57" s="15"/>
      <c r="NVB57" s="15"/>
      <c r="NVC57" s="15"/>
      <c r="NVD57" s="15"/>
      <c r="NVE57" s="15"/>
      <c r="NVF57" s="15"/>
      <c r="NVG57" s="15"/>
      <c r="NVH57" s="15"/>
      <c r="NVI57" s="15"/>
      <c r="NVJ57" s="15"/>
      <c r="NVK57" s="15"/>
      <c r="NVL57" s="15"/>
      <c r="NVM57" s="15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15"/>
      <c r="NVZ57" s="15"/>
      <c r="NWA57" s="15"/>
      <c r="NWB57" s="15"/>
      <c r="NWC57" s="15"/>
      <c r="NWD57" s="15"/>
      <c r="NWE57" s="15"/>
      <c r="NWF57" s="15"/>
      <c r="NWG57" s="15"/>
      <c r="NWH57" s="15"/>
      <c r="NWI57" s="15"/>
      <c r="NWJ57" s="15"/>
      <c r="NWK57" s="15"/>
      <c r="NWL57" s="15"/>
      <c r="NWM57" s="15"/>
      <c r="NWN57" s="15"/>
      <c r="NWO57" s="15"/>
      <c r="NWP57" s="15"/>
      <c r="NWQ57" s="15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15"/>
      <c r="NXD57" s="15"/>
      <c r="NXE57" s="15"/>
      <c r="NXF57" s="15"/>
      <c r="NXG57" s="15"/>
      <c r="NXH57" s="15"/>
      <c r="NXI57" s="15"/>
      <c r="NXJ57" s="15"/>
      <c r="NXK57" s="15"/>
      <c r="NXL57" s="15"/>
      <c r="NXM57" s="15"/>
      <c r="NXN57" s="15"/>
      <c r="NXO57" s="15"/>
      <c r="NXP57" s="15"/>
      <c r="NXQ57" s="15"/>
      <c r="NXR57" s="15"/>
      <c r="NXS57" s="15"/>
      <c r="NXT57" s="15"/>
      <c r="NXU57" s="15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15"/>
      <c r="NYH57" s="15"/>
      <c r="NYI57" s="15"/>
      <c r="NYJ57" s="15"/>
      <c r="NYK57" s="15"/>
      <c r="NYL57" s="15"/>
      <c r="NYM57" s="15"/>
      <c r="NYN57" s="15"/>
      <c r="NYO57" s="15"/>
      <c r="NYP57" s="15"/>
      <c r="NYQ57" s="15"/>
      <c r="NYR57" s="15"/>
      <c r="NYS57" s="15"/>
      <c r="NYT57" s="15"/>
      <c r="NYU57" s="15"/>
      <c r="NYV57" s="15"/>
      <c r="NYW57" s="15"/>
      <c r="NYX57" s="15"/>
      <c r="NYY57" s="15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15"/>
      <c r="NZL57" s="15"/>
      <c r="NZM57" s="15"/>
      <c r="NZN57" s="15"/>
      <c r="NZO57" s="15"/>
      <c r="NZP57" s="15"/>
      <c r="NZQ57" s="15"/>
      <c r="NZR57" s="15"/>
      <c r="NZS57" s="15"/>
      <c r="NZT57" s="15"/>
      <c r="NZU57" s="15"/>
      <c r="NZV57" s="15"/>
      <c r="NZW57" s="15"/>
      <c r="NZX57" s="15"/>
      <c r="NZY57" s="15"/>
      <c r="NZZ57" s="15"/>
      <c r="OAA57" s="15"/>
      <c r="OAB57" s="15"/>
      <c r="OAC57" s="15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15"/>
      <c r="OAP57" s="15"/>
      <c r="OAQ57" s="15"/>
      <c r="OAR57" s="15"/>
      <c r="OAS57" s="15"/>
      <c r="OAT57" s="15"/>
      <c r="OAU57" s="15"/>
      <c r="OAV57" s="15"/>
      <c r="OAW57" s="15"/>
      <c r="OAX57" s="15"/>
      <c r="OAY57" s="15"/>
      <c r="OAZ57" s="15"/>
      <c r="OBA57" s="15"/>
      <c r="OBB57" s="15"/>
      <c r="OBC57" s="15"/>
      <c r="OBD57" s="15"/>
      <c r="OBE57" s="15"/>
      <c r="OBF57" s="15"/>
      <c r="OBG57" s="15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15"/>
      <c r="OBT57" s="15"/>
      <c r="OBU57" s="15"/>
      <c r="OBV57" s="15"/>
      <c r="OBW57" s="15"/>
      <c r="OBX57" s="15"/>
      <c r="OBY57" s="15"/>
      <c r="OBZ57" s="15"/>
      <c r="OCA57" s="15"/>
      <c r="OCB57" s="15"/>
      <c r="OCC57" s="15"/>
      <c r="OCD57" s="15"/>
      <c r="OCE57" s="15"/>
      <c r="OCF57" s="15"/>
      <c r="OCG57" s="15"/>
      <c r="OCH57" s="15"/>
      <c r="OCI57" s="15"/>
      <c r="OCJ57" s="15"/>
      <c r="OCK57" s="15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15"/>
      <c r="OCX57" s="15"/>
      <c r="OCY57" s="15"/>
      <c r="OCZ57" s="15"/>
      <c r="ODA57" s="15"/>
      <c r="ODB57" s="15"/>
      <c r="ODC57" s="15"/>
      <c r="ODD57" s="15"/>
      <c r="ODE57" s="15"/>
      <c r="ODF57" s="15"/>
      <c r="ODG57" s="15"/>
      <c r="ODH57" s="15"/>
      <c r="ODI57" s="15"/>
      <c r="ODJ57" s="15"/>
      <c r="ODK57" s="15"/>
      <c r="ODL57" s="15"/>
      <c r="ODM57" s="15"/>
      <c r="ODN57" s="15"/>
      <c r="ODO57" s="15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15"/>
      <c r="OEB57" s="15"/>
      <c r="OEC57" s="15"/>
      <c r="OED57" s="15"/>
      <c r="OEE57" s="15"/>
      <c r="OEF57" s="15"/>
      <c r="OEG57" s="15"/>
      <c r="OEH57" s="15"/>
      <c r="OEI57" s="15"/>
      <c r="OEJ57" s="15"/>
      <c r="OEK57" s="15"/>
      <c r="OEL57" s="15"/>
      <c r="OEM57" s="15"/>
      <c r="OEN57" s="15"/>
      <c r="OEO57" s="15"/>
      <c r="OEP57" s="15"/>
      <c r="OEQ57" s="15"/>
      <c r="OER57" s="15"/>
      <c r="OES57" s="15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15"/>
      <c r="OFF57" s="15"/>
      <c r="OFG57" s="15"/>
      <c r="OFH57" s="15"/>
      <c r="OFI57" s="15"/>
      <c r="OFJ57" s="15"/>
      <c r="OFK57" s="15"/>
      <c r="OFL57" s="15"/>
      <c r="OFM57" s="15"/>
      <c r="OFN57" s="15"/>
      <c r="OFO57" s="15"/>
      <c r="OFP57" s="15"/>
      <c r="OFQ57" s="15"/>
      <c r="OFR57" s="15"/>
      <c r="OFS57" s="15"/>
      <c r="OFT57" s="15"/>
      <c r="OFU57" s="15"/>
      <c r="OFV57" s="15"/>
      <c r="OFW57" s="15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15"/>
      <c r="OGJ57" s="15"/>
      <c r="OGK57" s="15"/>
      <c r="OGL57" s="15"/>
      <c r="OGM57" s="15"/>
      <c r="OGN57" s="15"/>
      <c r="OGO57" s="15"/>
      <c r="OGP57" s="15"/>
      <c r="OGQ57" s="15"/>
      <c r="OGR57" s="15"/>
      <c r="OGS57" s="15"/>
      <c r="OGT57" s="15"/>
      <c r="OGU57" s="15"/>
      <c r="OGV57" s="15"/>
      <c r="OGW57" s="15"/>
      <c r="OGX57" s="15"/>
      <c r="OGY57" s="15"/>
      <c r="OGZ57" s="15"/>
      <c r="OHA57" s="15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15"/>
      <c r="OHN57" s="15"/>
      <c r="OHO57" s="15"/>
      <c r="OHP57" s="15"/>
      <c r="OHQ57" s="15"/>
      <c r="OHR57" s="15"/>
      <c r="OHS57" s="15"/>
      <c r="OHT57" s="15"/>
      <c r="OHU57" s="15"/>
      <c r="OHV57" s="15"/>
      <c r="OHW57" s="15"/>
      <c r="OHX57" s="15"/>
      <c r="OHY57" s="15"/>
      <c r="OHZ57" s="15"/>
      <c r="OIA57" s="15"/>
      <c r="OIB57" s="15"/>
      <c r="OIC57" s="15"/>
      <c r="OID57" s="15"/>
      <c r="OIE57" s="15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15"/>
      <c r="OIR57" s="15"/>
      <c r="OIS57" s="15"/>
      <c r="OIT57" s="15"/>
      <c r="OIU57" s="15"/>
      <c r="OIV57" s="15"/>
      <c r="OIW57" s="15"/>
      <c r="OIX57" s="15"/>
      <c r="OIY57" s="15"/>
      <c r="OIZ57" s="15"/>
      <c r="OJA57" s="15"/>
      <c r="OJB57" s="15"/>
      <c r="OJC57" s="15"/>
      <c r="OJD57" s="15"/>
      <c r="OJE57" s="15"/>
      <c r="OJF57" s="15"/>
      <c r="OJG57" s="15"/>
      <c r="OJH57" s="15"/>
      <c r="OJI57" s="15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15"/>
      <c r="OJV57" s="15"/>
      <c r="OJW57" s="15"/>
      <c r="OJX57" s="15"/>
      <c r="OJY57" s="15"/>
      <c r="OJZ57" s="15"/>
      <c r="OKA57" s="15"/>
      <c r="OKB57" s="15"/>
      <c r="OKC57" s="15"/>
      <c r="OKD57" s="15"/>
      <c r="OKE57" s="15"/>
      <c r="OKF57" s="15"/>
      <c r="OKG57" s="15"/>
      <c r="OKH57" s="15"/>
      <c r="OKI57" s="15"/>
      <c r="OKJ57" s="15"/>
      <c r="OKK57" s="15"/>
      <c r="OKL57" s="15"/>
      <c r="OKM57" s="15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15"/>
      <c r="OKZ57" s="15"/>
      <c r="OLA57" s="15"/>
      <c r="OLB57" s="15"/>
      <c r="OLC57" s="15"/>
      <c r="OLD57" s="15"/>
      <c r="OLE57" s="15"/>
      <c r="OLF57" s="15"/>
      <c r="OLG57" s="15"/>
      <c r="OLH57" s="15"/>
      <c r="OLI57" s="15"/>
      <c r="OLJ57" s="15"/>
      <c r="OLK57" s="15"/>
      <c r="OLL57" s="15"/>
      <c r="OLM57" s="15"/>
      <c r="OLN57" s="15"/>
      <c r="OLO57" s="15"/>
      <c r="OLP57" s="15"/>
      <c r="OLQ57" s="15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15"/>
      <c r="OMD57" s="15"/>
      <c r="OME57" s="15"/>
      <c r="OMF57" s="15"/>
      <c r="OMG57" s="15"/>
      <c r="OMH57" s="15"/>
      <c r="OMI57" s="15"/>
      <c r="OMJ57" s="15"/>
      <c r="OMK57" s="15"/>
      <c r="OML57" s="15"/>
      <c r="OMM57" s="15"/>
      <c r="OMN57" s="15"/>
      <c r="OMO57" s="15"/>
      <c r="OMP57" s="15"/>
      <c r="OMQ57" s="15"/>
      <c r="OMR57" s="15"/>
      <c r="OMS57" s="15"/>
      <c r="OMT57" s="15"/>
      <c r="OMU57" s="15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15"/>
      <c r="ONH57" s="15"/>
      <c r="ONI57" s="15"/>
      <c r="ONJ57" s="15"/>
      <c r="ONK57" s="15"/>
      <c r="ONL57" s="15"/>
      <c r="ONM57" s="15"/>
      <c r="ONN57" s="15"/>
      <c r="ONO57" s="15"/>
      <c r="ONP57" s="15"/>
      <c r="ONQ57" s="15"/>
      <c r="ONR57" s="15"/>
      <c r="ONS57" s="15"/>
      <c r="ONT57" s="15"/>
      <c r="ONU57" s="15"/>
      <c r="ONV57" s="15"/>
      <c r="ONW57" s="15"/>
      <c r="ONX57" s="15"/>
      <c r="ONY57" s="15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15"/>
      <c r="OOL57" s="15"/>
      <c r="OOM57" s="15"/>
      <c r="OON57" s="15"/>
      <c r="OOO57" s="15"/>
      <c r="OOP57" s="15"/>
      <c r="OOQ57" s="15"/>
      <c r="OOR57" s="15"/>
      <c r="OOS57" s="15"/>
      <c r="OOT57" s="15"/>
      <c r="OOU57" s="15"/>
      <c r="OOV57" s="15"/>
      <c r="OOW57" s="15"/>
      <c r="OOX57" s="15"/>
      <c r="OOY57" s="15"/>
      <c r="OOZ57" s="15"/>
      <c r="OPA57" s="15"/>
      <c r="OPB57" s="15"/>
      <c r="OPC57" s="15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15"/>
      <c r="OPP57" s="15"/>
      <c r="OPQ57" s="15"/>
      <c r="OPR57" s="15"/>
      <c r="OPS57" s="15"/>
      <c r="OPT57" s="15"/>
      <c r="OPU57" s="15"/>
      <c r="OPV57" s="15"/>
      <c r="OPW57" s="15"/>
      <c r="OPX57" s="15"/>
      <c r="OPY57" s="15"/>
      <c r="OPZ57" s="15"/>
      <c r="OQA57" s="15"/>
      <c r="OQB57" s="15"/>
      <c r="OQC57" s="15"/>
      <c r="OQD57" s="15"/>
      <c r="OQE57" s="15"/>
      <c r="OQF57" s="15"/>
      <c r="OQG57" s="15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15"/>
      <c r="OQT57" s="15"/>
      <c r="OQU57" s="15"/>
      <c r="OQV57" s="15"/>
      <c r="OQW57" s="15"/>
      <c r="OQX57" s="15"/>
      <c r="OQY57" s="15"/>
      <c r="OQZ57" s="15"/>
      <c r="ORA57" s="15"/>
      <c r="ORB57" s="15"/>
      <c r="ORC57" s="15"/>
      <c r="ORD57" s="15"/>
      <c r="ORE57" s="15"/>
      <c r="ORF57" s="15"/>
      <c r="ORG57" s="15"/>
      <c r="ORH57" s="15"/>
      <c r="ORI57" s="15"/>
      <c r="ORJ57" s="15"/>
      <c r="ORK57" s="15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15"/>
      <c r="ORX57" s="15"/>
      <c r="ORY57" s="15"/>
      <c r="ORZ57" s="15"/>
      <c r="OSA57" s="15"/>
      <c r="OSB57" s="15"/>
      <c r="OSC57" s="15"/>
      <c r="OSD57" s="15"/>
      <c r="OSE57" s="15"/>
      <c r="OSF57" s="15"/>
      <c r="OSG57" s="15"/>
      <c r="OSH57" s="15"/>
      <c r="OSI57" s="15"/>
      <c r="OSJ57" s="15"/>
      <c r="OSK57" s="15"/>
      <c r="OSL57" s="15"/>
      <c r="OSM57" s="15"/>
      <c r="OSN57" s="15"/>
      <c r="OSO57" s="15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15"/>
      <c r="OTB57" s="15"/>
      <c r="OTC57" s="15"/>
      <c r="OTD57" s="15"/>
      <c r="OTE57" s="15"/>
      <c r="OTF57" s="15"/>
      <c r="OTG57" s="15"/>
      <c r="OTH57" s="15"/>
      <c r="OTI57" s="15"/>
      <c r="OTJ57" s="15"/>
      <c r="OTK57" s="15"/>
      <c r="OTL57" s="15"/>
      <c r="OTM57" s="15"/>
      <c r="OTN57" s="15"/>
      <c r="OTO57" s="15"/>
      <c r="OTP57" s="15"/>
      <c r="OTQ57" s="15"/>
      <c r="OTR57" s="15"/>
      <c r="OTS57" s="15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15"/>
      <c r="OUF57" s="15"/>
      <c r="OUG57" s="15"/>
      <c r="OUH57" s="15"/>
      <c r="OUI57" s="15"/>
      <c r="OUJ57" s="15"/>
      <c r="OUK57" s="15"/>
      <c r="OUL57" s="15"/>
      <c r="OUM57" s="15"/>
      <c r="OUN57" s="15"/>
      <c r="OUO57" s="15"/>
      <c r="OUP57" s="15"/>
      <c r="OUQ57" s="15"/>
      <c r="OUR57" s="15"/>
      <c r="OUS57" s="15"/>
      <c r="OUT57" s="15"/>
      <c r="OUU57" s="15"/>
      <c r="OUV57" s="15"/>
      <c r="OUW57" s="15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15"/>
      <c r="OVJ57" s="15"/>
      <c r="OVK57" s="15"/>
      <c r="OVL57" s="15"/>
      <c r="OVM57" s="15"/>
      <c r="OVN57" s="15"/>
      <c r="OVO57" s="15"/>
      <c r="OVP57" s="15"/>
      <c r="OVQ57" s="15"/>
      <c r="OVR57" s="15"/>
      <c r="OVS57" s="15"/>
      <c r="OVT57" s="15"/>
      <c r="OVU57" s="15"/>
      <c r="OVV57" s="15"/>
      <c r="OVW57" s="15"/>
      <c r="OVX57" s="15"/>
      <c r="OVY57" s="15"/>
      <c r="OVZ57" s="15"/>
      <c r="OWA57" s="15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15"/>
      <c r="OWN57" s="15"/>
      <c r="OWO57" s="15"/>
      <c r="OWP57" s="15"/>
      <c r="OWQ57" s="15"/>
      <c r="OWR57" s="15"/>
      <c r="OWS57" s="15"/>
      <c r="OWT57" s="15"/>
      <c r="OWU57" s="15"/>
      <c r="OWV57" s="15"/>
      <c r="OWW57" s="15"/>
      <c r="OWX57" s="15"/>
      <c r="OWY57" s="15"/>
      <c r="OWZ57" s="15"/>
      <c r="OXA57" s="15"/>
      <c r="OXB57" s="15"/>
      <c r="OXC57" s="15"/>
      <c r="OXD57" s="15"/>
      <c r="OXE57" s="15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15"/>
      <c r="OXR57" s="15"/>
      <c r="OXS57" s="15"/>
      <c r="OXT57" s="15"/>
      <c r="OXU57" s="15"/>
      <c r="OXV57" s="15"/>
      <c r="OXW57" s="15"/>
      <c r="OXX57" s="15"/>
      <c r="OXY57" s="15"/>
      <c r="OXZ57" s="15"/>
      <c r="OYA57" s="15"/>
      <c r="OYB57" s="15"/>
      <c r="OYC57" s="15"/>
      <c r="OYD57" s="15"/>
      <c r="OYE57" s="15"/>
      <c r="OYF57" s="15"/>
      <c r="OYG57" s="15"/>
      <c r="OYH57" s="15"/>
      <c r="OYI57" s="15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15"/>
      <c r="OYV57" s="15"/>
      <c r="OYW57" s="15"/>
      <c r="OYX57" s="15"/>
      <c r="OYY57" s="15"/>
      <c r="OYZ57" s="15"/>
      <c r="OZA57" s="15"/>
      <c r="OZB57" s="15"/>
      <c r="OZC57" s="15"/>
      <c r="OZD57" s="15"/>
      <c r="OZE57" s="15"/>
      <c r="OZF57" s="15"/>
      <c r="OZG57" s="15"/>
      <c r="OZH57" s="15"/>
      <c r="OZI57" s="15"/>
      <c r="OZJ57" s="15"/>
      <c r="OZK57" s="15"/>
      <c r="OZL57" s="15"/>
      <c r="OZM57" s="15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15"/>
      <c r="OZZ57" s="15"/>
      <c r="PAA57" s="15"/>
      <c r="PAB57" s="15"/>
      <c r="PAC57" s="15"/>
      <c r="PAD57" s="15"/>
      <c r="PAE57" s="15"/>
      <c r="PAF57" s="15"/>
      <c r="PAG57" s="15"/>
      <c r="PAH57" s="15"/>
      <c r="PAI57" s="15"/>
      <c r="PAJ57" s="15"/>
      <c r="PAK57" s="15"/>
      <c r="PAL57" s="15"/>
      <c r="PAM57" s="15"/>
      <c r="PAN57" s="15"/>
      <c r="PAO57" s="15"/>
      <c r="PAP57" s="15"/>
      <c r="PAQ57" s="15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15"/>
      <c r="PBD57" s="15"/>
      <c r="PBE57" s="15"/>
      <c r="PBF57" s="15"/>
      <c r="PBG57" s="15"/>
      <c r="PBH57" s="15"/>
      <c r="PBI57" s="15"/>
      <c r="PBJ57" s="15"/>
      <c r="PBK57" s="15"/>
      <c r="PBL57" s="15"/>
      <c r="PBM57" s="15"/>
      <c r="PBN57" s="15"/>
      <c r="PBO57" s="15"/>
      <c r="PBP57" s="15"/>
      <c r="PBQ57" s="15"/>
      <c r="PBR57" s="15"/>
      <c r="PBS57" s="15"/>
      <c r="PBT57" s="15"/>
      <c r="PBU57" s="15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15"/>
      <c r="PCH57" s="15"/>
      <c r="PCI57" s="15"/>
      <c r="PCJ57" s="15"/>
      <c r="PCK57" s="15"/>
      <c r="PCL57" s="15"/>
      <c r="PCM57" s="15"/>
      <c r="PCN57" s="15"/>
      <c r="PCO57" s="15"/>
      <c r="PCP57" s="15"/>
      <c r="PCQ57" s="15"/>
      <c r="PCR57" s="15"/>
      <c r="PCS57" s="15"/>
      <c r="PCT57" s="15"/>
      <c r="PCU57" s="15"/>
      <c r="PCV57" s="15"/>
      <c r="PCW57" s="15"/>
      <c r="PCX57" s="15"/>
      <c r="PCY57" s="15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15"/>
      <c r="PDL57" s="15"/>
      <c r="PDM57" s="15"/>
      <c r="PDN57" s="15"/>
      <c r="PDO57" s="15"/>
      <c r="PDP57" s="15"/>
      <c r="PDQ57" s="15"/>
      <c r="PDR57" s="15"/>
      <c r="PDS57" s="15"/>
      <c r="PDT57" s="15"/>
      <c r="PDU57" s="15"/>
      <c r="PDV57" s="15"/>
      <c r="PDW57" s="15"/>
      <c r="PDX57" s="15"/>
      <c r="PDY57" s="15"/>
      <c r="PDZ57" s="15"/>
      <c r="PEA57" s="15"/>
      <c r="PEB57" s="15"/>
      <c r="PEC57" s="15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15"/>
      <c r="PEP57" s="15"/>
      <c r="PEQ57" s="15"/>
      <c r="PER57" s="15"/>
      <c r="PES57" s="15"/>
      <c r="PET57" s="15"/>
      <c r="PEU57" s="15"/>
      <c r="PEV57" s="15"/>
      <c r="PEW57" s="15"/>
      <c r="PEX57" s="15"/>
      <c r="PEY57" s="15"/>
      <c r="PEZ57" s="15"/>
      <c r="PFA57" s="15"/>
      <c r="PFB57" s="15"/>
      <c r="PFC57" s="15"/>
      <c r="PFD57" s="15"/>
      <c r="PFE57" s="15"/>
      <c r="PFF57" s="15"/>
      <c r="PFG57" s="15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15"/>
      <c r="PFT57" s="15"/>
      <c r="PFU57" s="15"/>
      <c r="PFV57" s="15"/>
      <c r="PFW57" s="15"/>
      <c r="PFX57" s="15"/>
      <c r="PFY57" s="15"/>
      <c r="PFZ57" s="15"/>
      <c r="PGA57" s="15"/>
      <c r="PGB57" s="15"/>
      <c r="PGC57" s="15"/>
      <c r="PGD57" s="15"/>
      <c r="PGE57" s="15"/>
      <c r="PGF57" s="15"/>
      <c r="PGG57" s="15"/>
      <c r="PGH57" s="15"/>
      <c r="PGI57" s="15"/>
      <c r="PGJ57" s="15"/>
      <c r="PGK57" s="15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15"/>
      <c r="PGX57" s="15"/>
      <c r="PGY57" s="15"/>
      <c r="PGZ57" s="15"/>
      <c r="PHA57" s="15"/>
      <c r="PHB57" s="15"/>
      <c r="PHC57" s="15"/>
      <c r="PHD57" s="15"/>
      <c r="PHE57" s="15"/>
      <c r="PHF57" s="15"/>
      <c r="PHG57" s="15"/>
      <c r="PHH57" s="15"/>
      <c r="PHI57" s="15"/>
      <c r="PHJ57" s="15"/>
      <c r="PHK57" s="15"/>
      <c r="PHL57" s="15"/>
      <c r="PHM57" s="15"/>
      <c r="PHN57" s="15"/>
      <c r="PHO57" s="15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15"/>
      <c r="PIB57" s="15"/>
      <c r="PIC57" s="15"/>
      <c r="PID57" s="15"/>
      <c r="PIE57" s="15"/>
      <c r="PIF57" s="15"/>
      <c r="PIG57" s="15"/>
      <c r="PIH57" s="15"/>
      <c r="PII57" s="15"/>
      <c r="PIJ57" s="15"/>
      <c r="PIK57" s="15"/>
      <c r="PIL57" s="15"/>
      <c r="PIM57" s="15"/>
      <c r="PIN57" s="15"/>
      <c r="PIO57" s="15"/>
      <c r="PIP57" s="15"/>
      <c r="PIQ57" s="15"/>
      <c r="PIR57" s="15"/>
      <c r="PIS57" s="15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15"/>
      <c r="PJF57" s="15"/>
      <c r="PJG57" s="15"/>
      <c r="PJH57" s="15"/>
      <c r="PJI57" s="15"/>
      <c r="PJJ57" s="15"/>
      <c r="PJK57" s="15"/>
      <c r="PJL57" s="15"/>
      <c r="PJM57" s="15"/>
      <c r="PJN57" s="15"/>
      <c r="PJO57" s="15"/>
      <c r="PJP57" s="15"/>
      <c r="PJQ57" s="15"/>
      <c r="PJR57" s="15"/>
      <c r="PJS57" s="15"/>
      <c r="PJT57" s="15"/>
      <c r="PJU57" s="15"/>
      <c r="PJV57" s="15"/>
      <c r="PJW57" s="15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15"/>
      <c r="PKJ57" s="15"/>
      <c r="PKK57" s="15"/>
      <c r="PKL57" s="15"/>
      <c r="PKM57" s="15"/>
      <c r="PKN57" s="15"/>
      <c r="PKO57" s="15"/>
      <c r="PKP57" s="15"/>
      <c r="PKQ57" s="15"/>
      <c r="PKR57" s="15"/>
      <c r="PKS57" s="15"/>
      <c r="PKT57" s="15"/>
      <c r="PKU57" s="15"/>
      <c r="PKV57" s="15"/>
      <c r="PKW57" s="15"/>
      <c r="PKX57" s="15"/>
      <c r="PKY57" s="15"/>
      <c r="PKZ57" s="15"/>
      <c r="PLA57" s="15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15"/>
      <c r="PLN57" s="15"/>
      <c r="PLO57" s="15"/>
      <c r="PLP57" s="15"/>
      <c r="PLQ57" s="15"/>
      <c r="PLR57" s="15"/>
      <c r="PLS57" s="15"/>
      <c r="PLT57" s="15"/>
      <c r="PLU57" s="15"/>
      <c r="PLV57" s="15"/>
      <c r="PLW57" s="15"/>
      <c r="PLX57" s="15"/>
      <c r="PLY57" s="15"/>
      <c r="PLZ57" s="15"/>
      <c r="PMA57" s="15"/>
      <c r="PMB57" s="15"/>
      <c r="PMC57" s="15"/>
      <c r="PMD57" s="15"/>
      <c r="PME57" s="15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15"/>
      <c r="PMR57" s="15"/>
      <c r="PMS57" s="15"/>
      <c r="PMT57" s="15"/>
      <c r="PMU57" s="15"/>
      <c r="PMV57" s="15"/>
      <c r="PMW57" s="15"/>
      <c r="PMX57" s="15"/>
      <c r="PMY57" s="15"/>
      <c r="PMZ57" s="15"/>
      <c r="PNA57" s="15"/>
      <c r="PNB57" s="15"/>
      <c r="PNC57" s="15"/>
      <c r="PND57" s="15"/>
      <c r="PNE57" s="15"/>
      <c r="PNF57" s="15"/>
      <c r="PNG57" s="15"/>
      <c r="PNH57" s="15"/>
      <c r="PNI57" s="15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15"/>
      <c r="PNV57" s="15"/>
      <c r="PNW57" s="15"/>
      <c r="PNX57" s="15"/>
      <c r="PNY57" s="15"/>
      <c r="PNZ57" s="15"/>
      <c r="POA57" s="15"/>
      <c r="POB57" s="15"/>
      <c r="POC57" s="15"/>
      <c r="POD57" s="15"/>
      <c r="POE57" s="15"/>
      <c r="POF57" s="15"/>
      <c r="POG57" s="15"/>
      <c r="POH57" s="15"/>
      <c r="POI57" s="15"/>
      <c r="POJ57" s="15"/>
      <c r="POK57" s="15"/>
      <c r="POL57" s="15"/>
      <c r="POM57" s="15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15"/>
      <c r="POZ57" s="15"/>
      <c r="PPA57" s="15"/>
      <c r="PPB57" s="15"/>
      <c r="PPC57" s="15"/>
      <c r="PPD57" s="15"/>
      <c r="PPE57" s="15"/>
      <c r="PPF57" s="15"/>
      <c r="PPG57" s="15"/>
      <c r="PPH57" s="15"/>
      <c r="PPI57" s="15"/>
      <c r="PPJ57" s="15"/>
      <c r="PPK57" s="15"/>
      <c r="PPL57" s="15"/>
      <c r="PPM57" s="15"/>
      <c r="PPN57" s="15"/>
      <c r="PPO57" s="15"/>
      <c r="PPP57" s="15"/>
      <c r="PPQ57" s="15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15"/>
      <c r="PQD57" s="15"/>
      <c r="PQE57" s="15"/>
      <c r="PQF57" s="15"/>
      <c r="PQG57" s="15"/>
      <c r="PQH57" s="15"/>
      <c r="PQI57" s="15"/>
      <c r="PQJ57" s="15"/>
      <c r="PQK57" s="15"/>
      <c r="PQL57" s="15"/>
      <c r="PQM57" s="15"/>
      <c r="PQN57" s="15"/>
      <c r="PQO57" s="15"/>
      <c r="PQP57" s="15"/>
      <c r="PQQ57" s="15"/>
      <c r="PQR57" s="15"/>
      <c r="PQS57" s="15"/>
      <c r="PQT57" s="15"/>
      <c r="PQU57" s="15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15"/>
      <c r="PRH57" s="15"/>
      <c r="PRI57" s="15"/>
      <c r="PRJ57" s="15"/>
      <c r="PRK57" s="15"/>
      <c r="PRL57" s="15"/>
      <c r="PRM57" s="15"/>
      <c r="PRN57" s="15"/>
      <c r="PRO57" s="15"/>
      <c r="PRP57" s="15"/>
      <c r="PRQ57" s="15"/>
      <c r="PRR57" s="15"/>
      <c r="PRS57" s="15"/>
      <c r="PRT57" s="15"/>
      <c r="PRU57" s="15"/>
      <c r="PRV57" s="15"/>
      <c r="PRW57" s="15"/>
      <c r="PRX57" s="15"/>
      <c r="PRY57" s="15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15"/>
      <c r="PSL57" s="15"/>
      <c r="PSM57" s="15"/>
      <c r="PSN57" s="15"/>
      <c r="PSO57" s="15"/>
      <c r="PSP57" s="15"/>
      <c r="PSQ57" s="15"/>
      <c r="PSR57" s="15"/>
      <c r="PSS57" s="15"/>
      <c r="PST57" s="15"/>
      <c r="PSU57" s="15"/>
      <c r="PSV57" s="15"/>
      <c r="PSW57" s="15"/>
      <c r="PSX57" s="15"/>
      <c r="PSY57" s="15"/>
      <c r="PSZ57" s="15"/>
      <c r="PTA57" s="15"/>
      <c r="PTB57" s="15"/>
      <c r="PTC57" s="15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15"/>
      <c r="PTP57" s="15"/>
      <c r="PTQ57" s="15"/>
      <c r="PTR57" s="15"/>
      <c r="PTS57" s="15"/>
      <c r="PTT57" s="15"/>
      <c r="PTU57" s="15"/>
      <c r="PTV57" s="15"/>
      <c r="PTW57" s="15"/>
      <c r="PTX57" s="15"/>
      <c r="PTY57" s="15"/>
      <c r="PTZ57" s="15"/>
      <c r="PUA57" s="15"/>
      <c r="PUB57" s="15"/>
      <c r="PUC57" s="15"/>
      <c r="PUD57" s="15"/>
      <c r="PUE57" s="15"/>
      <c r="PUF57" s="15"/>
      <c r="PUG57" s="15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15"/>
      <c r="PUT57" s="15"/>
      <c r="PUU57" s="15"/>
      <c r="PUV57" s="15"/>
      <c r="PUW57" s="15"/>
      <c r="PUX57" s="15"/>
      <c r="PUY57" s="15"/>
      <c r="PUZ57" s="15"/>
      <c r="PVA57" s="15"/>
      <c r="PVB57" s="15"/>
      <c r="PVC57" s="15"/>
      <c r="PVD57" s="15"/>
      <c r="PVE57" s="15"/>
      <c r="PVF57" s="15"/>
      <c r="PVG57" s="15"/>
      <c r="PVH57" s="15"/>
      <c r="PVI57" s="15"/>
      <c r="PVJ57" s="15"/>
      <c r="PVK57" s="15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15"/>
      <c r="PVX57" s="15"/>
      <c r="PVY57" s="15"/>
      <c r="PVZ57" s="15"/>
      <c r="PWA57" s="15"/>
      <c r="PWB57" s="15"/>
      <c r="PWC57" s="15"/>
      <c r="PWD57" s="15"/>
      <c r="PWE57" s="15"/>
      <c r="PWF57" s="15"/>
      <c r="PWG57" s="15"/>
      <c r="PWH57" s="15"/>
      <c r="PWI57" s="15"/>
      <c r="PWJ57" s="15"/>
      <c r="PWK57" s="15"/>
      <c r="PWL57" s="15"/>
      <c r="PWM57" s="15"/>
      <c r="PWN57" s="15"/>
      <c r="PWO57" s="15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15"/>
      <c r="PXB57" s="15"/>
      <c r="PXC57" s="15"/>
      <c r="PXD57" s="15"/>
      <c r="PXE57" s="15"/>
      <c r="PXF57" s="15"/>
      <c r="PXG57" s="15"/>
      <c r="PXH57" s="15"/>
      <c r="PXI57" s="15"/>
      <c r="PXJ57" s="15"/>
      <c r="PXK57" s="15"/>
      <c r="PXL57" s="15"/>
      <c r="PXM57" s="15"/>
      <c r="PXN57" s="15"/>
      <c r="PXO57" s="15"/>
      <c r="PXP57" s="15"/>
      <c r="PXQ57" s="15"/>
      <c r="PXR57" s="15"/>
      <c r="PXS57" s="15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15"/>
      <c r="PYF57" s="15"/>
      <c r="PYG57" s="15"/>
      <c r="PYH57" s="15"/>
      <c r="PYI57" s="15"/>
      <c r="PYJ57" s="15"/>
      <c r="PYK57" s="15"/>
      <c r="PYL57" s="15"/>
      <c r="PYM57" s="15"/>
      <c r="PYN57" s="15"/>
      <c r="PYO57" s="15"/>
      <c r="PYP57" s="15"/>
      <c r="PYQ57" s="15"/>
      <c r="PYR57" s="15"/>
      <c r="PYS57" s="15"/>
      <c r="PYT57" s="15"/>
      <c r="PYU57" s="15"/>
      <c r="PYV57" s="15"/>
      <c r="PYW57" s="15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15"/>
      <c r="PZJ57" s="15"/>
      <c r="PZK57" s="15"/>
      <c r="PZL57" s="15"/>
      <c r="PZM57" s="15"/>
      <c r="PZN57" s="15"/>
      <c r="PZO57" s="15"/>
      <c r="PZP57" s="15"/>
      <c r="PZQ57" s="15"/>
      <c r="PZR57" s="15"/>
      <c r="PZS57" s="15"/>
      <c r="PZT57" s="15"/>
      <c r="PZU57" s="15"/>
      <c r="PZV57" s="15"/>
      <c r="PZW57" s="15"/>
      <c r="PZX57" s="15"/>
      <c r="PZY57" s="15"/>
      <c r="PZZ57" s="15"/>
      <c r="QAA57" s="15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15"/>
      <c r="QAN57" s="15"/>
      <c r="QAO57" s="15"/>
      <c r="QAP57" s="15"/>
      <c r="QAQ57" s="15"/>
      <c r="QAR57" s="15"/>
      <c r="QAS57" s="15"/>
      <c r="QAT57" s="15"/>
      <c r="QAU57" s="15"/>
      <c r="QAV57" s="15"/>
      <c r="QAW57" s="15"/>
      <c r="QAX57" s="15"/>
      <c r="QAY57" s="15"/>
      <c r="QAZ57" s="15"/>
      <c r="QBA57" s="15"/>
      <c r="QBB57" s="15"/>
      <c r="QBC57" s="15"/>
      <c r="QBD57" s="15"/>
      <c r="QBE57" s="15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15"/>
      <c r="QBR57" s="15"/>
      <c r="QBS57" s="15"/>
      <c r="QBT57" s="15"/>
      <c r="QBU57" s="15"/>
      <c r="QBV57" s="15"/>
      <c r="QBW57" s="15"/>
      <c r="QBX57" s="15"/>
      <c r="QBY57" s="15"/>
      <c r="QBZ57" s="15"/>
      <c r="QCA57" s="15"/>
      <c r="QCB57" s="15"/>
      <c r="QCC57" s="15"/>
      <c r="QCD57" s="15"/>
      <c r="QCE57" s="15"/>
      <c r="QCF57" s="15"/>
      <c r="QCG57" s="15"/>
      <c r="QCH57" s="15"/>
      <c r="QCI57" s="15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15"/>
      <c r="QCV57" s="15"/>
      <c r="QCW57" s="15"/>
      <c r="QCX57" s="15"/>
      <c r="QCY57" s="15"/>
      <c r="QCZ57" s="15"/>
      <c r="QDA57" s="15"/>
      <c r="QDB57" s="15"/>
      <c r="QDC57" s="15"/>
      <c r="QDD57" s="15"/>
      <c r="QDE57" s="15"/>
      <c r="QDF57" s="15"/>
      <c r="QDG57" s="15"/>
      <c r="QDH57" s="15"/>
      <c r="QDI57" s="15"/>
      <c r="QDJ57" s="15"/>
      <c r="QDK57" s="15"/>
      <c r="QDL57" s="15"/>
      <c r="QDM57" s="15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15"/>
      <c r="QDZ57" s="15"/>
      <c r="QEA57" s="15"/>
      <c r="QEB57" s="15"/>
      <c r="QEC57" s="15"/>
      <c r="QED57" s="15"/>
      <c r="QEE57" s="15"/>
      <c r="QEF57" s="15"/>
      <c r="QEG57" s="15"/>
      <c r="QEH57" s="15"/>
      <c r="QEI57" s="15"/>
      <c r="QEJ57" s="15"/>
      <c r="QEK57" s="15"/>
      <c r="QEL57" s="15"/>
      <c r="QEM57" s="15"/>
      <c r="QEN57" s="15"/>
      <c r="QEO57" s="15"/>
      <c r="QEP57" s="15"/>
      <c r="QEQ57" s="15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15"/>
      <c r="QFD57" s="15"/>
      <c r="QFE57" s="15"/>
      <c r="QFF57" s="15"/>
      <c r="QFG57" s="15"/>
      <c r="QFH57" s="15"/>
      <c r="QFI57" s="15"/>
      <c r="QFJ57" s="15"/>
      <c r="QFK57" s="15"/>
      <c r="QFL57" s="15"/>
      <c r="QFM57" s="15"/>
      <c r="QFN57" s="15"/>
      <c r="QFO57" s="15"/>
      <c r="QFP57" s="15"/>
      <c r="QFQ57" s="15"/>
      <c r="QFR57" s="15"/>
      <c r="QFS57" s="15"/>
      <c r="QFT57" s="15"/>
      <c r="QFU57" s="15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15"/>
      <c r="QGH57" s="15"/>
      <c r="QGI57" s="15"/>
      <c r="QGJ57" s="15"/>
      <c r="QGK57" s="15"/>
      <c r="QGL57" s="15"/>
      <c r="QGM57" s="15"/>
      <c r="QGN57" s="15"/>
      <c r="QGO57" s="15"/>
      <c r="QGP57" s="15"/>
      <c r="QGQ57" s="15"/>
      <c r="QGR57" s="15"/>
      <c r="QGS57" s="15"/>
      <c r="QGT57" s="15"/>
      <c r="QGU57" s="15"/>
      <c r="QGV57" s="15"/>
      <c r="QGW57" s="15"/>
      <c r="QGX57" s="15"/>
      <c r="QGY57" s="15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15"/>
      <c r="QHL57" s="15"/>
      <c r="QHM57" s="15"/>
      <c r="QHN57" s="15"/>
      <c r="QHO57" s="15"/>
      <c r="QHP57" s="15"/>
      <c r="QHQ57" s="15"/>
      <c r="QHR57" s="15"/>
      <c r="QHS57" s="15"/>
      <c r="QHT57" s="15"/>
      <c r="QHU57" s="15"/>
      <c r="QHV57" s="15"/>
      <c r="QHW57" s="15"/>
      <c r="QHX57" s="15"/>
      <c r="QHY57" s="15"/>
      <c r="QHZ57" s="15"/>
      <c r="QIA57" s="15"/>
      <c r="QIB57" s="15"/>
      <c r="QIC57" s="15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15"/>
      <c r="QIP57" s="15"/>
      <c r="QIQ57" s="15"/>
      <c r="QIR57" s="15"/>
      <c r="QIS57" s="15"/>
      <c r="QIT57" s="15"/>
      <c r="QIU57" s="15"/>
      <c r="QIV57" s="15"/>
      <c r="QIW57" s="15"/>
      <c r="QIX57" s="15"/>
      <c r="QIY57" s="15"/>
      <c r="QIZ57" s="15"/>
      <c r="QJA57" s="15"/>
      <c r="QJB57" s="15"/>
      <c r="QJC57" s="15"/>
      <c r="QJD57" s="15"/>
      <c r="QJE57" s="15"/>
      <c r="QJF57" s="15"/>
      <c r="QJG57" s="15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15"/>
      <c r="QJT57" s="15"/>
      <c r="QJU57" s="15"/>
      <c r="QJV57" s="15"/>
      <c r="QJW57" s="15"/>
      <c r="QJX57" s="15"/>
      <c r="QJY57" s="15"/>
      <c r="QJZ57" s="15"/>
      <c r="QKA57" s="15"/>
      <c r="QKB57" s="15"/>
      <c r="QKC57" s="15"/>
      <c r="QKD57" s="15"/>
      <c r="QKE57" s="15"/>
      <c r="QKF57" s="15"/>
      <c r="QKG57" s="15"/>
      <c r="QKH57" s="15"/>
      <c r="QKI57" s="15"/>
      <c r="QKJ57" s="15"/>
      <c r="QKK57" s="15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15"/>
      <c r="QKX57" s="15"/>
      <c r="QKY57" s="15"/>
      <c r="QKZ57" s="15"/>
      <c r="QLA57" s="15"/>
      <c r="QLB57" s="15"/>
      <c r="QLC57" s="15"/>
      <c r="QLD57" s="15"/>
      <c r="QLE57" s="15"/>
      <c r="QLF57" s="15"/>
      <c r="QLG57" s="15"/>
      <c r="QLH57" s="15"/>
      <c r="QLI57" s="15"/>
      <c r="QLJ57" s="15"/>
      <c r="QLK57" s="15"/>
      <c r="QLL57" s="15"/>
      <c r="QLM57" s="15"/>
      <c r="QLN57" s="15"/>
      <c r="QLO57" s="15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15"/>
      <c r="QMB57" s="15"/>
      <c r="QMC57" s="15"/>
      <c r="QMD57" s="15"/>
      <c r="QME57" s="15"/>
      <c r="QMF57" s="15"/>
      <c r="QMG57" s="15"/>
      <c r="QMH57" s="15"/>
      <c r="QMI57" s="15"/>
      <c r="QMJ57" s="15"/>
      <c r="QMK57" s="15"/>
      <c r="QML57" s="15"/>
      <c r="QMM57" s="15"/>
      <c r="QMN57" s="15"/>
      <c r="QMO57" s="15"/>
      <c r="QMP57" s="15"/>
      <c r="QMQ57" s="15"/>
      <c r="QMR57" s="15"/>
      <c r="QMS57" s="15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15"/>
      <c r="QNF57" s="15"/>
      <c r="QNG57" s="15"/>
      <c r="QNH57" s="15"/>
      <c r="QNI57" s="15"/>
      <c r="QNJ57" s="15"/>
      <c r="QNK57" s="15"/>
      <c r="QNL57" s="15"/>
      <c r="QNM57" s="15"/>
      <c r="QNN57" s="15"/>
      <c r="QNO57" s="15"/>
      <c r="QNP57" s="15"/>
      <c r="QNQ57" s="15"/>
      <c r="QNR57" s="15"/>
      <c r="QNS57" s="15"/>
      <c r="QNT57" s="15"/>
      <c r="QNU57" s="15"/>
      <c r="QNV57" s="15"/>
      <c r="QNW57" s="15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15"/>
      <c r="QOJ57" s="15"/>
      <c r="QOK57" s="15"/>
      <c r="QOL57" s="15"/>
      <c r="QOM57" s="15"/>
      <c r="QON57" s="15"/>
      <c r="QOO57" s="15"/>
      <c r="QOP57" s="15"/>
      <c r="QOQ57" s="15"/>
      <c r="QOR57" s="15"/>
      <c r="QOS57" s="15"/>
      <c r="QOT57" s="15"/>
      <c r="QOU57" s="15"/>
      <c r="QOV57" s="15"/>
      <c r="QOW57" s="15"/>
      <c r="QOX57" s="15"/>
      <c r="QOY57" s="15"/>
      <c r="QOZ57" s="15"/>
      <c r="QPA57" s="15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15"/>
      <c r="QPN57" s="15"/>
      <c r="QPO57" s="15"/>
      <c r="QPP57" s="15"/>
      <c r="QPQ57" s="15"/>
      <c r="QPR57" s="15"/>
      <c r="QPS57" s="15"/>
      <c r="QPT57" s="15"/>
      <c r="QPU57" s="15"/>
      <c r="QPV57" s="15"/>
      <c r="QPW57" s="15"/>
      <c r="QPX57" s="15"/>
      <c r="QPY57" s="15"/>
      <c r="QPZ57" s="15"/>
      <c r="QQA57" s="15"/>
      <c r="QQB57" s="15"/>
      <c r="QQC57" s="15"/>
      <c r="QQD57" s="15"/>
      <c r="QQE57" s="15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15"/>
      <c r="QQR57" s="15"/>
      <c r="QQS57" s="15"/>
      <c r="QQT57" s="15"/>
      <c r="QQU57" s="15"/>
      <c r="QQV57" s="15"/>
      <c r="QQW57" s="15"/>
      <c r="QQX57" s="15"/>
      <c r="QQY57" s="15"/>
      <c r="QQZ57" s="15"/>
      <c r="QRA57" s="15"/>
      <c r="QRB57" s="15"/>
      <c r="QRC57" s="15"/>
      <c r="QRD57" s="15"/>
      <c r="QRE57" s="15"/>
      <c r="QRF57" s="15"/>
      <c r="QRG57" s="15"/>
      <c r="QRH57" s="15"/>
      <c r="QRI57" s="15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15"/>
      <c r="QRV57" s="15"/>
      <c r="QRW57" s="15"/>
      <c r="QRX57" s="15"/>
      <c r="QRY57" s="15"/>
      <c r="QRZ57" s="15"/>
      <c r="QSA57" s="15"/>
      <c r="QSB57" s="15"/>
      <c r="QSC57" s="15"/>
      <c r="QSD57" s="15"/>
      <c r="QSE57" s="15"/>
      <c r="QSF57" s="15"/>
      <c r="QSG57" s="15"/>
      <c r="QSH57" s="15"/>
      <c r="QSI57" s="15"/>
      <c r="QSJ57" s="15"/>
      <c r="QSK57" s="15"/>
      <c r="QSL57" s="15"/>
      <c r="QSM57" s="15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15"/>
      <c r="QSZ57" s="15"/>
      <c r="QTA57" s="15"/>
      <c r="QTB57" s="15"/>
      <c r="QTC57" s="15"/>
      <c r="QTD57" s="15"/>
      <c r="QTE57" s="15"/>
      <c r="QTF57" s="15"/>
      <c r="QTG57" s="15"/>
      <c r="QTH57" s="15"/>
      <c r="QTI57" s="15"/>
      <c r="QTJ57" s="15"/>
      <c r="QTK57" s="15"/>
      <c r="QTL57" s="15"/>
      <c r="QTM57" s="15"/>
      <c r="QTN57" s="15"/>
      <c r="QTO57" s="15"/>
      <c r="QTP57" s="15"/>
      <c r="QTQ57" s="15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15"/>
      <c r="QUD57" s="15"/>
      <c r="QUE57" s="15"/>
      <c r="QUF57" s="15"/>
      <c r="QUG57" s="15"/>
      <c r="QUH57" s="15"/>
      <c r="QUI57" s="15"/>
      <c r="QUJ57" s="15"/>
      <c r="QUK57" s="15"/>
      <c r="QUL57" s="15"/>
      <c r="QUM57" s="15"/>
      <c r="QUN57" s="15"/>
      <c r="QUO57" s="15"/>
      <c r="QUP57" s="15"/>
      <c r="QUQ57" s="15"/>
      <c r="QUR57" s="15"/>
      <c r="QUS57" s="15"/>
      <c r="QUT57" s="15"/>
      <c r="QUU57" s="15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15"/>
      <c r="QVH57" s="15"/>
      <c r="QVI57" s="15"/>
      <c r="QVJ57" s="15"/>
      <c r="QVK57" s="15"/>
      <c r="QVL57" s="15"/>
      <c r="QVM57" s="15"/>
      <c r="QVN57" s="15"/>
      <c r="QVO57" s="15"/>
      <c r="QVP57" s="15"/>
      <c r="QVQ57" s="15"/>
      <c r="QVR57" s="15"/>
      <c r="QVS57" s="15"/>
      <c r="QVT57" s="15"/>
      <c r="QVU57" s="15"/>
      <c r="QVV57" s="15"/>
      <c r="QVW57" s="15"/>
      <c r="QVX57" s="15"/>
      <c r="QVY57" s="15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15"/>
      <c r="QWL57" s="15"/>
      <c r="QWM57" s="15"/>
      <c r="QWN57" s="15"/>
      <c r="QWO57" s="15"/>
      <c r="QWP57" s="15"/>
      <c r="QWQ57" s="15"/>
      <c r="QWR57" s="15"/>
      <c r="QWS57" s="15"/>
      <c r="QWT57" s="15"/>
      <c r="QWU57" s="15"/>
      <c r="QWV57" s="15"/>
      <c r="QWW57" s="15"/>
      <c r="QWX57" s="15"/>
      <c r="QWY57" s="15"/>
      <c r="QWZ57" s="15"/>
      <c r="QXA57" s="15"/>
      <c r="QXB57" s="15"/>
      <c r="QXC57" s="15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15"/>
      <c r="QXP57" s="15"/>
      <c r="QXQ57" s="15"/>
      <c r="QXR57" s="15"/>
      <c r="QXS57" s="15"/>
      <c r="QXT57" s="15"/>
      <c r="QXU57" s="15"/>
      <c r="QXV57" s="15"/>
      <c r="QXW57" s="15"/>
      <c r="QXX57" s="15"/>
      <c r="QXY57" s="15"/>
      <c r="QXZ57" s="15"/>
      <c r="QYA57" s="15"/>
      <c r="QYB57" s="15"/>
      <c r="QYC57" s="15"/>
      <c r="QYD57" s="15"/>
      <c r="QYE57" s="15"/>
      <c r="QYF57" s="15"/>
      <c r="QYG57" s="15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15"/>
      <c r="QYT57" s="15"/>
      <c r="QYU57" s="15"/>
      <c r="QYV57" s="15"/>
      <c r="QYW57" s="15"/>
      <c r="QYX57" s="15"/>
      <c r="QYY57" s="15"/>
      <c r="QYZ57" s="15"/>
      <c r="QZA57" s="15"/>
      <c r="QZB57" s="15"/>
      <c r="QZC57" s="15"/>
      <c r="QZD57" s="15"/>
      <c r="QZE57" s="15"/>
      <c r="QZF57" s="15"/>
      <c r="QZG57" s="15"/>
      <c r="QZH57" s="15"/>
      <c r="QZI57" s="15"/>
      <c r="QZJ57" s="15"/>
      <c r="QZK57" s="15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15"/>
      <c r="QZX57" s="15"/>
      <c r="QZY57" s="15"/>
      <c r="QZZ57" s="15"/>
      <c r="RAA57" s="15"/>
      <c r="RAB57" s="15"/>
      <c r="RAC57" s="15"/>
      <c r="RAD57" s="15"/>
      <c r="RAE57" s="15"/>
      <c r="RAF57" s="15"/>
      <c r="RAG57" s="15"/>
      <c r="RAH57" s="15"/>
      <c r="RAI57" s="15"/>
      <c r="RAJ57" s="15"/>
      <c r="RAK57" s="15"/>
      <c r="RAL57" s="15"/>
      <c r="RAM57" s="15"/>
      <c r="RAN57" s="15"/>
      <c r="RAO57" s="15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15"/>
      <c r="RBB57" s="15"/>
      <c r="RBC57" s="15"/>
      <c r="RBD57" s="15"/>
      <c r="RBE57" s="15"/>
      <c r="RBF57" s="15"/>
      <c r="RBG57" s="15"/>
      <c r="RBH57" s="15"/>
      <c r="RBI57" s="15"/>
      <c r="RBJ57" s="15"/>
      <c r="RBK57" s="15"/>
      <c r="RBL57" s="15"/>
      <c r="RBM57" s="15"/>
      <c r="RBN57" s="15"/>
      <c r="RBO57" s="15"/>
      <c r="RBP57" s="15"/>
      <c r="RBQ57" s="15"/>
      <c r="RBR57" s="15"/>
      <c r="RBS57" s="15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15"/>
      <c r="RCF57" s="15"/>
      <c r="RCG57" s="15"/>
      <c r="RCH57" s="15"/>
      <c r="RCI57" s="15"/>
      <c r="RCJ57" s="15"/>
      <c r="RCK57" s="15"/>
      <c r="RCL57" s="15"/>
      <c r="RCM57" s="15"/>
      <c r="RCN57" s="15"/>
      <c r="RCO57" s="15"/>
      <c r="RCP57" s="15"/>
      <c r="RCQ57" s="15"/>
      <c r="RCR57" s="15"/>
      <c r="RCS57" s="15"/>
      <c r="RCT57" s="15"/>
      <c r="RCU57" s="15"/>
      <c r="RCV57" s="15"/>
      <c r="RCW57" s="15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15"/>
      <c r="RDJ57" s="15"/>
      <c r="RDK57" s="15"/>
      <c r="RDL57" s="15"/>
      <c r="RDM57" s="15"/>
      <c r="RDN57" s="15"/>
      <c r="RDO57" s="15"/>
      <c r="RDP57" s="15"/>
      <c r="RDQ57" s="15"/>
      <c r="RDR57" s="15"/>
      <c r="RDS57" s="15"/>
      <c r="RDT57" s="15"/>
      <c r="RDU57" s="15"/>
      <c r="RDV57" s="15"/>
      <c r="RDW57" s="15"/>
      <c r="RDX57" s="15"/>
      <c r="RDY57" s="15"/>
      <c r="RDZ57" s="15"/>
      <c r="REA57" s="15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15"/>
      <c r="REN57" s="15"/>
      <c r="REO57" s="15"/>
      <c r="REP57" s="15"/>
      <c r="REQ57" s="15"/>
      <c r="RER57" s="15"/>
      <c r="RES57" s="15"/>
      <c r="RET57" s="15"/>
      <c r="REU57" s="15"/>
      <c r="REV57" s="15"/>
      <c r="REW57" s="15"/>
      <c r="REX57" s="15"/>
      <c r="REY57" s="15"/>
      <c r="REZ57" s="15"/>
      <c r="RFA57" s="15"/>
      <c r="RFB57" s="15"/>
      <c r="RFC57" s="15"/>
      <c r="RFD57" s="15"/>
      <c r="RFE57" s="15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15"/>
      <c r="RFR57" s="15"/>
      <c r="RFS57" s="15"/>
      <c r="RFT57" s="15"/>
      <c r="RFU57" s="15"/>
      <c r="RFV57" s="15"/>
      <c r="RFW57" s="15"/>
      <c r="RFX57" s="15"/>
      <c r="RFY57" s="15"/>
      <c r="RFZ57" s="15"/>
      <c r="RGA57" s="15"/>
      <c r="RGB57" s="15"/>
      <c r="RGC57" s="15"/>
      <c r="RGD57" s="15"/>
      <c r="RGE57" s="15"/>
      <c r="RGF57" s="15"/>
      <c r="RGG57" s="15"/>
      <c r="RGH57" s="15"/>
      <c r="RGI57" s="15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15"/>
      <c r="RGV57" s="15"/>
      <c r="RGW57" s="15"/>
      <c r="RGX57" s="15"/>
      <c r="RGY57" s="15"/>
      <c r="RGZ57" s="15"/>
      <c r="RHA57" s="15"/>
      <c r="RHB57" s="15"/>
      <c r="RHC57" s="15"/>
      <c r="RHD57" s="15"/>
      <c r="RHE57" s="15"/>
      <c r="RHF57" s="15"/>
      <c r="RHG57" s="15"/>
      <c r="RHH57" s="15"/>
      <c r="RHI57" s="15"/>
      <c r="RHJ57" s="15"/>
      <c r="RHK57" s="15"/>
      <c r="RHL57" s="15"/>
      <c r="RHM57" s="15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15"/>
      <c r="RHZ57" s="15"/>
      <c r="RIA57" s="15"/>
      <c r="RIB57" s="15"/>
      <c r="RIC57" s="15"/>
      <c r="RID57" s="15"/>
      <c r="RIE57" s="15"/>
      <c r="RIF57" s="15"/>
      <c r="RIG57" s="15"/>
      <c r="RIH57" s="15"/>
      <c r="RII57" s="15"/>
      <c r="RIJ57" s="15"/>
      <c r="RIK57" s="15"/>
      <c r="RIL57" s="15"/>
      <c r="RIM57" s="15"/>
      <c r="RIN57" s="15"/>
      <c r="RIO57" s="15"/>
      <c r="RIP57" s="15"/>
      <c r="RIQ57" s="15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15"/>
      <c r="RJD57" s="15"/>
      <c r="RJE57" s="15"/>
      <c r="RJF57" s="15"/>
      <c r="RJG57" s="15"/>
      <c r="RJH57" s="15"/>
      <c r="RJI57" s="15"/>
      <c r="RJJ57" s="15"/>
      <c r="RJK57" s="15"/>
      <c r="RJL57" s="15"/>
      <c r="RJM57" s="15"/>
      <c r="RJN57" s="15"/>
      <c r="RJO57" s="15"/>
      <c r="RJP57" s="15"/>
      <c r="RJQ57" s="15"/>
      <c r="RJR57" s="15"/>
      <c r="RJS57" s="15"/>
      <c r="RJT57" s="15"/>
      <c r="RJU57" s="15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15"/>
      <c r="RKH57" s="15"/>
      <c r="RKI57" s="15"/>
      <c r="RKJ57" s="15"/>
      <c r="RKK57" s="15"/>
      <c r="RKL57" s="15"/>
      <c r="RKM57" s="15"/>
      <c r="RKN57" s="15"/>
      <c r="RKO57" s="15"/>
      <c r="RKP57" s="15"/>
      <c r="RKQ57" s="15"/>
      <c r="RKR57" s="15"/>
      <c r="RKS57" s="15"/>
      <c r="RKT57" s="15"/>
      <c r="RKU57" s="15"/>
      <c r="RKV57" s="15"/>
      <c r="RKW57" s="15"/>
      <c r="RKX57" s="15"/>
      <c r="RKY57" s="15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15"/>
      <c r="RLL57" s="15"/>
      <c r="RLM57" s="15"/>
      <c r="RLN57" s="15"/>
      <c r="RLO57" s="15"/>
      <c r="RLP57" s="15"/>
      <c r="RLQ57" s="15"/>
      <c r="RLR57" s="15"/>
      <c r="RLS57" s="15"/>
      <c r="RLT57" s="15"/>
      <c r="RLU57" s="15"/>
      <c r="RLV57" s="15"/>
      <c r="RLW57" s="15"/>
      <c r="RLX57" s="15"/>
      <c r="RLY57" s="15"/>
      <c r="RLZ57" s="15"/>
      <c r="RMA57" s="15"/>
      <c r="RMB57" s="15"/>
      <c r="RMC57" s="15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15"/>
      <c r="RMP57" s="15"/>
      <c r="RMQ57" s="15"/>
      <c r="RMR57" s="15"/>
      <c r="RMS57" s="15"/>
      <c r="RMT57" s="15"/>
      <c r="RMU57" s="15"/>
      <c r="RMV57" s="15"/>
      <c r="RMW57" s="15"/>
      <c r="RMX57" s="15"/>
      <c r="RMY57" s="15"/>
      <c r="RMZ57" s="15"/>
      <c r="RNA57" s="15"/>
      <c r="RNB57" s="15"/>
      <c r="RNC57" s="15"/>
      <c r="RND57" s="15"/>
      <c r="RNE57" s="15"/>
      <c r="RNF57" s="15"/>
      <c r="RNG57" s="15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15"/>
      <c r="RNT57" s="15"/>
      <c r="RNU57" s="15"/>
      <c r="RNV57" s="15"/>
      <c r="RNW57" s="15"/>
      <c r="RNX57" s="15"/>
      <c r="RNY57" s="15"/>
      <c r="RNZ57" s="15"/>
      <c r="ROA57" s="15"/>
      <c r="ROB57" s="15"/>
      <c r="ROC57" s="15"/>
      <c r="ROD57" s="15"/>
      <c r="ROE57" s="15"/>
      <c r="ROF57" s="15"/>
      <c r="ROG57" s="15"/>
      <c r="ROH57" s="15"/>
      <c r="ROI57" s="15"/>
      <c r="ROJ57" s="15"/>
      <c r="ROK57" s="15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15"/>
      <c r="ROX57" s="15"/>
      <c r="ROY57" s="15"/>
      <c r="ROZ57" s="15"/>
      <c r="RPA57" s="15"/>
      <c r="RPB57" s="15"/>
      <c r="RPC57" s="15"/>
      <c r="RPD57" s="15"/>
      <c r="RPE57" s="15"/>
      <c r="RPF57" s="15"/>
      <c r="RPG57" s="15"/>
      <c r="RPH57" s="15"/>
      <c r="RPI57" s="15"/>
      <c r="RPJ57" s="15"/>
      <c r="RPK57" s="15"/>
      <c r="RPL57" s="15"/>
      <c r="RPM57" s="15"/>
      <c r="RPN57" s="15"/>
      <c r="RPO57" s="15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15"/>
      <c r="RQB57" s="15"/>
      <c r="RQC57" s="15"/>
      <c r="RQD57" s="15"/>
      <c r="RQE57" s="15"/>
      <c r="RQF57" s="15"/>
      <c r="RQG57" s="15"/>
      <c r="RQH57" s="15"/>
      <c r="RQI57" s="15"/>
      <c r="RQJ57" s="15"/>
      <c r="RQK57" s="15"/>
      <c r="RQL57" s="15"/>
      <c r="RQM57" s="15"/>
      <c r="RQN57" s="15"/>
      <c r="RQO57" s="15"/>
      <c r="RQP57" s="15"/>
      <c r="RQQ57" s="15"/>
      <c r="RQR57" s="15"/>
      <c r="RQS57" s="15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15"/>
      <c r="RRF57" s="15"/>
      <c r="RRG57" s="15"/>
      <c r="RRH57" s="15"/>
      <c r="RRI57" s="15"/>
      <c r="RRJ57" s="15"/>
      <c r="RRK57" s="15"/>
      <c r="RRL57" s="15"/>
      <c r="RRM57" s="15"/>
      <c r="RRN57" s="15"/>
      <c r="RRO57" s="15"/>
      <c r="RRP57" s="15"/>
      <c r="RRQ57" s="15"/>
      <c r="RRR57" s="15"/>
      <c r="RRS57" s="15"/>
      <c r="RRT57" s="15"/>
      <c r="RRU57" s="15"/>
      <c r="RRV57" s="15"/>
      <c r="RRW57" s="15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15"/>
      <c r="RSJ57" s="15"/>
      <c r="RSK57" s="15"/>
      <c r="RSL57" s="15"/>
      <c r="RSM57" s="15"/>
      <c r="RSN57" s="15"/>
      <c r="RSO57" s="15"/>
      <c r="RSP57" s="15"/>
      <c r="RSQ57" s="15"/>
      <c r="RSR57" s="15"/>
      <c r="RSS57" s="15"/>
      <c r="RST57" s="15"/>
      <c r="RSU57" s="15"/>
      <c r="RSV57" s="15"/>
      <c r="RSW57" s="15"/>
      <c r="RSX57" s="15"/>
      <c r="RSY57" s="15"/>
      <c r="RSZ57" s="15"/>
      <c r="RTA57" s="15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15"/>
      <c r="RTN57" s="15"/>
      <c r="RTO57" s="15"/>
      <c r="RTP57" s="15"/>
      <c r="RTQ57" s="15"/>
      <c r="RTR57" s="15"/>
      <c r="RTS57" s="15"/>
      <c r="RTT57" s="15"/>
      <c r="RTU57" s="15"/>
      <c r="RTV57" s="15"/>
      <c r="RTW57" s="15"/>
      <c r="RTX57" s="15"/>
      <c r="RTY57" s="15"/>
      <c r="RTZ57" s="15"/>
      <c r="RUA57" s="15"/>
      <c r="RUB57" s="15"/>
      <c r="RUC57" s="15"/>
      <c r="RUD57" s="15"/>
      <c r="RUE57" s="15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15"/>
      <c r="RUR57" s="15"/>
      <c r="RUS57" s="15"/>
      <c r="RUT57" s="15"/>
      <c r="RUU57" s="15"/>
      <c r="RUV57" s="15"/>
      <c r="RUW57" s="15"/>
      <c r="RUX57" s="15"/>
      <c r="RUY57" s="15"/>
      <c r="RUZ57" s="15"/>
      <c r="RVA57" s="15"/>
      <c r="RVB57" s="15"/>
      <c r="RVC57" s="15"/>
      <c r="RVD57" s="15"/>
      <c r="RVE57" s="15"/>
      <c r="RVF57" s="15"/>
      <c r="RVG57" s="15"/>
      <c r="RVH57" s="15"/>
      <c r="RVI57" s="15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15"/>
      <c r="RVV57" s="15"/>
      <c r="RVW57" s="15"/>
      <c r="RVX57" s="15"/>
      <c r="RVY57" s="15"/>
      <c r="RVZ57" s="15"/>
      <c r="RWA57" s="15"/>
      <c r="RWB57" s="15"/>
      <c r="RWC57" s="15"/>
      <c r="RWD57" s="15"/>
      <c r="RWE57" s="15"/>
      <c r="RWF57" s="15"/>
      <c r="RWG57" s="15"/>
      <c r="RWH57" s="15"/>
      <c r="RWI57" s="15"/>
      <c r="RWJ57" s="15"/>
      <c r="RWK57" s="15"/>
      <c r="RWL57" s="15"/>
      <c r="RWM57" s="15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15"/>
      <c r="RWZ57" s="15"/>
      <c r="RXA57" s="15"/>
      <c r="RXB57" s="15"/>
      <c r="RXC57" s="15"/>
      <c r="RXD57" s="15"/>
      <c r="RXE57" s="15"/>
      <c r="RXF57" s="15"/>
      <c r="RXG57" s="15"/>
      <c r="RXH57" s="15"/>
      <c r="RXI57" s="15"/>
      <c r="RXJ57" s="15"/>
      <c r="RXK57" s="15"/>
      <c r="RXL57" s="15"/>
      <c r="RXM57" s="15"/>
      <c r="RXN57" s="15"/>
      <c r="RXO57" s="15"/>
      <c r="RXP57" s="15"/>
      <c r="RXQ57" s="15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15"/>
      <c r="RYD57" s="15"/>
      <c r="RYE57" s="15"/>
      <c r="RYF57" s="15"/>
      <c r="RYG57" s="15"/>
      <c r="RYH57" s="15"/>
      <c r="RYI57" s="15"/>
      <c r="RYJ57" s="15"/>
      <c r="RYK57" s="15"/>
      <c r="RYL57" s="15"/>
      <c r="RYM57" s="15"/>
      <c r="RYN57" s="15"/>
      <c r="RYO57" s="15"/>
      <c r="RYP57" s="15"/>
      <c r="RYQ57" s="15"/>
      <c r="RYR57" s="15"/>
      <c r="RYS57" s="15"/>
      <c r="RYT57" s="15"/>
      <c r="RYU57" s="15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15"/>
      <c r="RZH57" s="15"/>
      <c r="RZI57" s="15"/>
      <c r="RZJ57" s="15"/>
      <c r="RZK57" s="15"/>
      <c r="RZL57" s="15"/>
      <c r="RZM57" s="15"/>
      <c r="RZN57" s="15"/>
      <c r="RZO57" s="15"/>
      <c r="RZP57" s="15"/>
      <c r="RZQ57" s="15"/>
      <c r="RZR57" s="15"/>
      <c r="RZS57" s="15"/>
      <c r="RZT57" s="15"/>
      <c r="RZU57" s="15"/>
      <c r="RZV57" s="15"/>
      <c r="RZW57" s="15"/>
      <c r="RZX57" s="15"/>
      <c r="RZY57" s="15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15"/>
      <c r="SAL57" s="15"/>
      <c r="SAM57" s="15"/>
      <c r="SAN57" s="15"/>
      <c r="SAO57" s="15"/>
      <c r="SAP57" s="15"/>
      <c r="SAQ57" s="15"/>
      <c r="SAR57" s="15"/>
      <c r="SAS57" s="15"/>
      <c r="SAT57" s="15"/>
      <c r="SAU57" s="15"/>
      <c r="SAV57" s="15"/>
      <c r="SAW57" s="15"/>
      <c r="SAX57" s="15"/>
      <c r="SAY57" s="15"/>
      <c r="SAZ57" s="15"/>
      <c r="SBA57" s="15"/>
      <c r="SBB57" s="15"/>
      <c r="SBC57" s="15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15"/>
      <c r="SBP57" s="15"/>
      <c r="SBQ57" s="15"/>
      <c r="SBR57" s="15"/>
      <c r="SBS57" s="15"/>
      <c r="SBT57" s="15"/>
      <c r="SBU57" s="15"/>
      <c r="SBV57" s="15"/>
      <c r="SBW57" s="15"/>
      <c r="SBX57" s="15"/>
      <c r="SBY57" s="15"/>
      <c r="SBZ57" s="15"/>
      <c r="SCA57" s="15"/>
      <c r="SCB57" s="15"/>
      <c r="SCC57" s="15"/>
      <c r="SCD57" s="15"/>
      <c r="SCE57" s="15"/>
      <c r="SCF57" s="15"/>
      <c r="SCG57" s="15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15"/>
      <c r="SCT57" s="15"/>
      <c r="SCU57" s="15"/>
      <c r="SCV57" s="15"/>
      <c r="SCW57" s="15"/>
      <c r="SCX57" s="15"/>
      <c r="SCY57" s="15"/>
      <c r="SCZ57" s="15"/>
      <c r="SDA57" s="15"/>
      <c r="SDB57" s="15"/>
      <c r="SDC57" s="15"/>
      <c r="SDD57" s="15"/>
      <c r="SDE57" s="15"/>
      <c r="SDF57" s="15"/>
      <c r="SDG57" s="15"/>
      <c r="SDH57" s="15"/>
      <c r="SDI57" s="15"/>
      <c r="SDJ57" s="15"/>
      <c r="SDK57" s="15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15"/>
      <c r="SDX57" s="15"/>
      <c r="SDY57" s="15"/>
      <c r="SDZ57" s="15"/>
      <c r="SEA57" s="15"/>
      <c r="SEB57" s="15"/>
      <c r="SEC57" s="15"/>
      <c r="SED57" s="15"/>
      <c r="SEE57" s="15"/>
      <c r="SEF57" s="15"/>
      <c r="SEG57" s="15"/>
      <c r="SEH57" s="15"/>
      <c r="SEI57" s="15"/>
      <c r="SEJ57" s="15"/>
      <c r="SEK57" s="15"/>
      <c r="SEL57" s="15"/>
      <c r="SEM57" s="15"/>
      <c r="SEN57" s="15"/>
      <c r="SEO57" s="15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15"/>
      <c r="SFB57" s="15"/>
      <c r="SFC57" s="15"/>
      <c r="SFD57" s="15"/>
      <c r="SFE57" s="15"/>
      <c r="SFF57" s="15"/>
      <c r="SFG57" s="15"/>
      <c r="SFH57" s="15"/>
      <c r="SFI57" s="15"/>
      <c r="SFJ57" s="15"/>
      <c r="SFK57" s="15"/>
      <c r="SFL57" s="15"/>
      <c r="SFM57" s="15"/>
      <c r="SFN57" s="15"/>
      <c r="SFO57" s="15"/>
      <c r="SFP57" s="15"/>
      <c r="SFQ57" s="15"/>
      <c r="SFR57" s="15"/>
      <c r="SFS57" s="15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15"/>
      <c r="SGF57" s="15"/>
      <c r="SGG57" s="15"/>
      <c r="SGH57" s="15"/>
      <c r="SGI57" s="15"/>
      <c r="SGJ57" s="15"/>
      <c r="SGK57" s="15"/>
      <c r="SGL57" s="15"/>
      <c r="SGM57" s="15"/>
      <c r="SGN57" s="15"/>
      <c r="SGO57" s="15"/>
      <c r="SGP57" s="15"/>
      <c r="SGQ57" s="15"/>
      <c r="SGR57" s="15"/>
      <c r="SGS57" s="15"/>
      <c r="SGT57" s="15"/>
      <c r="SGU57" s="15"/>
      <c r="SGV57" s="15"/>
      <c r="SGW57" s="15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15"/>
      <c r="SHJ57" s="15"/>
      <c r="SHK57" s="15"/>
      <c r="SHL57" s="15"/>
      <c r="SHM57" s="15"/>
      <c r="SHN57" s="15"/>
      <c r="SHO57" s="15"/>
      <c r="SHP57" s="15"/>
      <c r="SHQ57" s="15"/>
      <c r="SHR57" s="15"/>
      <c r="SHS57" s="15"/>
      <c r="SHT57" s="15"/>
      <c r="SHU57" s="15"/>
      <c r="SHV57" s="15"/>
      <c r="SHW57" s="15"/>
      <c r="SHX57" s="15"/>
      <c r="SHY57" s="15"/>
      <c r="SHZ57" s="15"/>
      <c r="SIA57" s="15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15"/>
      <c r="SIN57" s="15"/>
      <c r="SIO57" s="15"/>
      <c r="SIP57" s="15"/>
      <c r="SIQ57" s="15"/>
      <c r="SIR57" s="15"/>
      <c r="SIS57" s="15"/>
      <c r="SIT57" s="15"/>
      <c r="SIU57" s="15"/>
      <c r="SIV57" s="15"/>
      <c r="SIW57" s="15"/>
      <c r="SIX57" s="15"/>
      <c r="SIY57" s="15"/>
      <c r="SIZ57" s="15"/>
      <c r="SJA57" s="15"/>
      <c r="SJB57" s="15"/>
      <c r="SJC57" s="15"/>
      <c r="SJD57" s="15"/>
      <c r="SJE57" s="15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15"/>
      <c r="SJR57" s="15"/>
      <c r="SJS57" s="15"/>
      <c r="SJT57" s="15"/>
      <c r="SJU57" s="15"/>
      <c r="SJV57" s="15"/>
      <c r="SJW57" s="15"/>
      <c r="SJX57" s="15"/>
      <c r="SJY57" s="15"/>
      <c r="SJZ57" s="15"/>
      <c r="SKA57" s="15"/>
      <c r="SKB57" s="15"/>
      <c r="SKC57" s="15"/>
      <c r="SKD57" s="15"/>
      <c r="SKE57" s="15"/>
      <c r="SKF57" s="15"/>
      <c r="SKG57" s="15"/>
      <c r="SKH57" s="15"/>
      <c r="SKI57" s="15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15"/>
      <c r="SKV57" s="15"/>
      <c r="SKW57" s="15"/>
      <c r="SKX57" s="15"/>
      <c r="SKY57" s="15"/>
      <c r="SKZ57" s="15"/>
      <c r="SLA57" s="15"/>
      <c r="SLB57" s="15"/>
      <c r="SLC57" s="15"/>
      <c r="SLD57" s="15"/>
      <c r="SLE57" s="15"/>
      <c r="SLF57" s="15"/>
      <c r="SLG57" s="15"/>
      <c r="SLH57" s="15"/>
      <c r="SLI57" s="15"/>
      <c r="SLJ57" s="15"/>
      <c r="SLK57" s="15"/>
      <c r="SLL57" s="15"/>
      <c r="SLM57" s="15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15"/>
      <c r="SLZ57" s="15"/>
      <c r="SMA57" s="15"/>
      <c r="SMB57" s="15"/>
      <c r="SMC57" s="15"/>
      <c r="SMD57" s="15"/>
      <c r="SME57" s="15"/>
      <c r="SMF57" s="15"/>
      <c r="SMG57" s="15"/>
      <c r="SMH57" s="15"/>
      <c r="SMI57" s="15"/>
      <c r="SMJ57" s="15"/>
      <c r="SMK57" s="15"/>
      <c r="SML57" s="15"/>
      <c r="SMM57" s="15"/>
      <c r="SMN57" s="15"/>
      <c r="SMO57" s="15"/>
      <c r="SMP57" s="15"/>
      <c r="SMQ57" s="15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15"/>
      <c r="SND57" s="15"/>
      <c r="SNE57" s="15"/>
      <c r="SNF57" s="15"/>
      <c r="SNG57" s="15"/>
      <c r="SNH57" s="15"/>
      <c r="SNI57" s="15"/>
      <c r="SNJ57" s="15"/>
      <c r="SNK57" s="15"/>
      <c r="SNL57" s="15"/>
      <c r="SNM57" s="15"/>
      <c r="SNN57" s="15"/>
      <c r="SNO57" s="15"/>
      <c r="SNP57" s="15"/>
      <c r="SNQ57" s="15"/>
      <c r="SNR57" s="15"/>
      <c r="SNS57" s="15"/>
      <c r="SNT57" s="15"/>
      <c r="SNU57" s="15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15"/>
      <c r="SOH57" s="15"/>
      <c r="SOI57" s="15"/>
      <c r="SOJ57" s="15"/>
      <c r="SOK57" s="15"/>
      <c r="SOL57" s="15"/>
      <c r="SOM57" s="15"/>
      <c r="SON57" s="15"/>
      <c r="SOO57" s="15"/>
      <c r="SOP57" s="15"/>
      <c r="SOQ57" s="15"/>
      <c r="SOR57" s="15"/>
      <c r="SOS57" s="15"/>
      <c r="SOT57" s="15"/>
      <c r="SOU57" s="15"/>
      <c r="SOV57" s="15"/>
      <c r="SOW57" s="15"/>
      <c r="SOX57" s="15"/>
      <c r="SOY57" s="15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15"/>
      <c r="SPL57" s="15"/>
      <c r="SPM57" s="15"/>
      <c r="SPN57" s="15"/>
      <c r="SPO57" s="15"/>
      <c r="SPP57" s="15"/>
      <c r="SPQ57" s="15"/>
      <c r="SPR57" s="15"/>
      <c r="SPS57" s="15"/>
      <c r="SPT57" s="15"/>
      <c r="SPU57" s="15"/>
      <c r="SPV57" s="15"/>
      <c r="SPW57" s="15"/>
      <c r="SPX57" s="15"/>
      <c r="SPY57" s="15"/>
      <c r="SPZ57" s="15"/>
      <c r="SQA57" s="15"/>
      <c r="SQB57" s="15"/>
      <c r="SQC57" s="15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15"/>
      <c r="SQP57" s="15"/>
      <c r="SQQ57" s="15"/>
      <c r="SQR57" s="15"/>
      <c r="SQS57" s="15"/>
      <c r="SQT57" s="15"/>
      <c r="SQU57" s="15"/>
      <c r="SQV57" s="15"/>
      <c r="SQW57" s="15"/>
      <c r="SQX57" s="15"/>
      <c r="SQY57" s="15"/>
      <c r="SQZ57" s="15"/>
      <c r="SRA57" s="15"/>
      <c r="SRB57" s="15"/>
      <c r="SRC57" s="15"/>
      <c r="SRD57" s="15"/>
      <c r="SRE57" s="15"/>
      <c r="SRF57" s="15"/>
      <c r="SRG57" s="15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15"/>
      <c r="SRT57" s="15"/>
      <c r="SRU57" s="15"/>
      <c r="SRV57" s="15"/>
      <c r="SRW57" s="15"/>
      <c r="SRX57" s="15"/>
      <c r="SRY57" s="15"/>
      <c r="SRZ57" s="15"/>
      <c r="SSA57" s="15"/>
      <c r="SSB57" s="15"/>
      <c r="SSC57" s="15"/>
      <c r="SSD57" s="15"/>
      <c r="SSE57" s="15"/>
      <c r="SSF57" s="15"/>
      <c r="SSG57" s="15"/>
      <c r="SSH57" s="15"/>
      <c r="SSI57" s="15"/>
      <c r="SSJ57" s="15"/>
      <c r="SSK57" s="15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15"/>
      <c r="SSX57" s="15"/>
      <c r="SSY57" s="15"/>
      <c r="SSZ57" s="15"/>
      <c r="STA57" s="15"/>
      <c r="STB57" s="15"/>
      <c r="STC57" s="15"/>
      <c r="STD57" s="15"/>
      <c r="STE57" s="15"/>
      <c r="STF57" s="15"/>
      <c r="STG57" s="15"/>
      <c r="STH57" s="15"/>
      <c r="STI57" s="15"/>
      <c r="STJ57" s="15"/>
      <c r="STK57" s="15"/>
      <c r="STL57" s="15"/>
      <c r="STM57" s="15"/>
      <c r="STN57" s="15"/>
      <c r="STO57" s="15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15"/>
      <c r="SUB57" s="15"/>
      <c r="SUC57" s="15"/>
      <c r="SUD57" s="15"/>
      <c r="SUE57" s="15"/>
      <c r="SUF57" s="15"/>
      <c r="SUG57" s="15"/>
      <c r="SUH57" s="15"/>
      <c r="SUI57" s="15"/>
      <c r="SUJ57" s="15"/>
      <c r="SUK57" s="15"/>
      <c r="SUL57" s="15"/>
      <c r="SUM57" s="15"/>
      <c r="SUN57" s="15"/>
      <c r="SUO57" s="15"/>
      <c r="SUP57" s="15"/>
      <c r="SUQ57" s="15"/>
      <c r="SUR57" s="15"/>
      <c r="SUS57" s="15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15"/>
      <c r="SVF57" s="15"/>
      <c r="SVG57" s="15"/>
      <c r="SVH57" s="15"/>
      <c r="SVI57" s="15"/>
      <c r="SVJ57" s="15"/>
      <c r="SVK57" s="15"/>
      <c r="SVL57" s="15"/>
      <c r="SVM57" s="15"/>
      <c r="SVN57" s="15"/>
      <c r="SVO57" s="15"/>
      <c r="SVP57" s="15"/>
      <c r="SVQ57" s="15"/>
      <c r="SVR57" s="15"/>
      <c r="SVS57" s="15"/>
      <c r="SVT57" s="15"/>
      <c r="SVU57" s="15"/>
      <c r="SVV57" s="15"/>
      <c r="SVW57" s="15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15"/>
      <c r="SWJ57" s="15"/>
      <c r="SWK57" s="15"/>
      <c r="SWL57" s="15"/>
      <c r="SWM57" s="15"/>
      <c r="SWN57" s="15"/>
      <c r="SWO57" s="15"/>
      <c r="SWP57" s="15"/>
      <c r="SWQ57" s="15"/>
      <c r="SWR57" s="15"/>
      <c r="SWS57" s="15"/>
      <c r="SWT57" s="15"/>
      <c r="SWU57" s="15"/>
      <c r="SWV57" s="15"/>
      <c r="SWW57" s="15"/>
      <c r="SWX57" s="15"/>
      <c r="SWY57" s="15"/>
      <c r="SWZ57" s="15"/>
      <c r="SXA57" s="15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15"/>
      <c r="SXN57" s="15"/>
      <c r="SXO57" s="15"/>
      <c r="SXP57" s="15"/>
      <c r="SXQ57" s="15"/>
      <c r="SXR57" s="15"/>
      <c r="SXS57" s="15"/>
      <c r="SXT57" s="15"/>
      <c r="SXU57" s="15"/>
      <c r="SXV57" s="15"/>
      <c r="SXW57" s="15"/>
      <c r="SXX57" s="15"/>
      <c r="SXY57" s="15"/>
      <c r="SXZ57" s="15"/>
      <c r="SYA57" s="15"/>
      <c r="SYB57" s="15"/>
      <c r="SYC57" s="15"/>
      <c r="SYD57" s="15"/>
      <c r="SYE57" s="15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15"/>
      <c r="SYR57" s="15"/>
      <c r="SYS57" s="15"/>
      <c r="SYT57" s="15"/>
      <c r="SYU57" s="15"/>
      <c r="SYV57" s="15"/>
      <c r="SYW57" s="15"/>
      <c r="SYX57" s="15"/>
      <c r="SYY57" s="15"/>
      <c r="SYZ57" s="15"/>
      <c r="SZA57" s="15"/>
      <c r="SZB57" s="15"/>
      <c r="SZC57" s="15"/>
      <c r="SZD57" s="15"/>
      <c r="SZE57" s="15"/>
      <c r="SZF57" s="15"/>
      <c r="SZG57" s="15"/>
      <c r="SZH57" s="15"/>
      <c r="SZI57" s="15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15"/>
      <c r="SZV57" s="15"/>
      <c r="SZW57" s="15"/>
      <c r="SZX57" s="15"/>
      <c r="SZY57" s="15"/>
      <c r="SZZ57" s="15"/>
      <c r="TAA57" s="15"/>
      <c r="TAB57" s="15"/>
      <c r="TAC57" s="15"/>
      <c r="TAD57" s="15"/>
      <c r="TAE57" s="15"/>
      <c r="TAF57" s="15"/>
      <c r="TAG57" s="15"/>
      <c r="TAH57" s="15"/>
      <c r="TAI57" s="15"/>
      <c r="TAJ57" s="15"/>
      <c r="TAK57" s="15"/>
      <c r="TAL57" s="15"/>
      <c r="TAM57" s="15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15"/>
      <c r="TAZ57" s="15"/>
      <c r="TBA57" s="15"/>
      <c r="TBB57" s="15"/>
      <c r="TBC57" s="15"/>
      <c r="TBD57" s="15"/>
      <c r="TBE57" s="15"/>
      <c r="TBF57" s="15"/>
      <c r="TBG57" s="15"/>
      <c r="TBH57" s="15"/>
      <c r="TBI57" s="15"/>
      <c r="TBJ57" s="15"/>
      <c r="TBK57" s="15"/>
      <c r="TBL57" s="15"/>
      <c r="TBM57" s="15"/>
      <c r="TBN57" s="15"/>
      <c r="TBO57" s="15"/>
      <c r="TBP57" s="15"/>
      <c r="TBQ57" s="15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15"/>
      <c r="TCD57" s="15"/>
      <c r="TCE57" s="15"/>
      <c r="TCF57" s="15"/>
      <c r="TCG57" s="15"/>
      <c r="TCH57" s="15"/>
      <c r="TCI57" s="15"/>
      <c r="TCJ57" s="15"/>
      <c r="TCK57" s="15"/>
      <c r="TCL57" s="15"/>
      <c r="TCM57" s="15"/>
      <c r="TCN57" s="15"/>
      <c r="TCO57" s="15"/>
      <c r="TCP57" s="15"/>
      <c r="TCQ57" s="15"/>
      <c r="TCR57" s="15"/>
      <c r="TCS57" s="15"/>
      <c r="TCT57" s="15"/>
      <c r="TCU57" s="15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15"/>
      <c r="TDH57" s="15"/>
      <c r="TDI57" s="15"/>
      <c r="TDJ57" s="15"/>
      <c r="TDK57" s="15"/>
      <c r="TDL57" s="15"/>
      <c r="TDM57" s="15"/>
      <c r="TDN57" s="15"/>
      <c r="TDO57" s="15"/>
      <c r="TDP57" s="15"/>
      <c r="TDQ57" s="15"/>
      <c r="TDR57" s="15"/>
      <c r="TDS57" s="15"/>
      <c r="TDT57" s="15"/>
      <c r="TDU57" s="15"/>
      <c r="TDV57" s="15"/>
      <c r="TDW57" s="15"/>
      <c r="TDX57" s="15"/>
      <c r="TDY57" s="15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15"/>
      <c r="TEL57" s="15"/>
      <c r="TEM57" s="15"/>
      <c r="TEN57" s="15"/>
      <c r="TEO57" s="15"/>
      <c r="TEP57" s="15"/>
      <c r="TEQ57" s="15"/>
      <c r="TER57" s="15"/>
      <c r="TES57" s="15"/>
      <c r="TET57" s="15"/>
      <c r="TEU57" s="15"/>
      <c r="TEV57" s="15"/>
      <c r="TEW57" s="15"/>
      <c r="TEX57" s="15"/>
      <c r="TEY57" s="15"/>
      <c r="TEZ57" s="15"/>
      <c r="TFA57" s="15"/>
      <c r="TFB57" s="15"/>
      <c r="TFC57" s="15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15"/>
      <c r="TFP57" s="15"/>
      <c r="TFQ57" s="15"/>
      <c r="TFR57" s="15"/>
      <c r="TFS57" s="15"/>
      <c r="TFT57" s="15"/>
      <c r="TFU57" s="15"/>
      <c r="TFV57" s="15"/>
      <c r="TFW57" s="15"/>
      <c r="TFX57" s="15"/>
      <c r="TFY57" s="15"/>
      <c r="TFZ57" s="15"/>
      <c r="TGA57" s="15"/>
      <c r="TGB57" s="15"/>
      <c r="TGC57" s="15"/>
      <c r="TGD57" s="15"/>
      <c r="TGE57" s="15"/>
      <c r="TGF57" s="15"/>
      <c r="TGG57" s="15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15"/>
      <c r="TGT57" s="15"/>
      <c r="TGU57" s="15"/>
      <c r="TGV57" s="15"/>
      <c r="TGW57" s="15"/>
      <c r="TGX57" s="15"/>
      <c r="TGY57" s="15"/>
      <c r="TGZ57" s="15"/>
      <c r="THA57" s="15"/>
      <c r="THB57" s="15"/>
      <c r="THC57" s="15"/>
      <c r="THD57" s="15"/>
      <c r="THE57" s="15"/>
      <c r="THF57" s="15"/>
      <c r="THG57" s="15"/>
      <c r="THH57" s="15"/>
      <c r="THI57" s="15"/>
      <c r="THJ57" s="15"/>
      <c r="THK57" s="15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15"/>
      <c r="THX57" s="15"/>
      <c r="THY57" s="15"/>
      <c r="THZ57" s="15"/>
      <c r="TIA57" s="15"/>
      <c r="TIB57" s="15"/>
      <c r="TIC57" s="15"/>
      <c r="TID57" s="15"/>
      <c r="TIE57" s="15"/>
      <c r="TIF57" s="15"/>
      <c r="TIG57" s="15"/>
      <c r="TIH57" s="15"/>
      <c r="TII57" s="15"/>
      <c r="TIJ57" s="15"/>
      <c r="TIK57" s="15"/>
      <c r="TIL57" s="15"/>
      <c r="TIM57" s="15"/>
      <c r="TIN57" s="15"/>
      <c r="TIO57" s="15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15"/>
      <c r="TJB57" s="15"/>
      <c r="TJC57" s="15"/>
      <c r="TJD57" s="15"/>
      <c r="TJE57" s="15"/>
      <c r="TJF57" s="15"/>
      <c r="TJG57" s="15"/>
      <c r="TJH57" s="15"/>
      <c r="TJI57" s="15"/>
      <c r="TJJ57" s="15"/>
      <c r="TJK57" s="15"/>
      <c r="TJL57" s="15"/>
      <c r="TJM57" s="15"/>
      <c r="TJN57" s="15"/>
      <c r="TJO57" s="15"/>
      <c r="TJP57" s="15"/>
      <c r="TJQ57" s="15"/>
      <c r="TJR57" s="15"/>
      <c r="TJS57" s="15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15"/>
      <c r="TKF57" s="15"/>
      <c r="TKG57" s="15"/>
      <c r="TKH57" s="15"/>
      <c r="TKI57" s="15"/>
      <c r="TKJ57" s="15"/>
      <c r="TKK57" s="15"/>
      <c r="TKL57" s="15"/>
      <c r="TKM57" s="15"/>
      <c r="TKN57" s="15"/>
      <c r="TKO57" s="15"/>
      <c r="TKP57" s="15"/>
      <c r="TKQ57" s="15"/>
      <c r="TKR57" s="15"/>
      <c r="TKS57" s="15"/>
      <c r="TKT57" s="15"/>
      <c r="TKU57" s="15"/>
      <c r="TKV57" s="15"/>
      <c r="TKW57" s="15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15"/>
      <c r="TLJ57" s="15"/>
      <c r="TLK57" s="15"/>
      <c r="TLL57" s="15"/>
      <c r="TLM57" s="15"/>
      <c r="TLN57" s="15"/>
      <c r="TLO57" s="15"/>
      <c r="TLP57" s="15"/>
      <c r="TLQ57" s="15"/>
      <c r="TLR57" s="15"/>
      <c r="TLS57" s="15"/>
      <c r="TLT57" s="15"/>
      <c r="TLU57" s="15"/>
      <c r="TLV57" s="15"/>
      <c r="TLW57" s="15"/>
      <c r="TLX57" s="15"/>
      <c r="TLY57" s="15"/>
      <c r="TLZ57" s="15"/>
      <c r="TMA57" s="15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15"/>
      <c r="TMN57" s="15"/>
      <c r="TMO57" s="15"/>
      <c r="TMP57" s="15"/>
      <c r="TMQ57" s="15"/>
      <c r="TMR57" s="15"/>
      <c r="TMS57" s="15"/>
      <c r="TMT57" s="15"/>
      <c r="TMU57" s="15"/>
      <c r="TMV57" s="15"/>
      <c r="TMW57" s="15"/>
      <c r="TMX57" s="15"/>
      <c r="TMY57" s="15"/>
      <c r="TMZ57" s="15"/>
      <c r="TNA57" s="15"/>
      <c r="TNB57" s="15"/>
      <c r="TNC57" s="15"/>
      <c r="TND57" s="15"/>
      <c r="TNE57" s="15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15"/>
      <c r="TNR57" s="15"/>
      <c r="TNS57" s="15"/>
      <c r="TNT57" s="15"/>
      <c r="TNU57" s="15"/>
      <c r="TNV57" s="15"/>
      <c r="TNW57" s="15"/>
      <c r="TNX57" s="15"/>
      <c r="TNY57" s="15"/>
      <c r="TNZ57" s="15"/>
      <c r="TOA57" s="15"/>
      <c r="TOB57" s="15"/>
      <c r="TOC57" s="15"/>
      <c r="TOD57" s="15"/>
      <c r="TOE57" s="15"/>
      <c r="TOF57" s="15"/>
      <c r="TOG57" s="15"/>
      <c r="TOH57" s="15"/>
      <c r="TOI57" s="15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15"/>
      <c r="TOV57" s="15"/>
      <c r="TOW57" s="15"/>
      <c r="TOX57" s="15"/>
      <c r="TOY57" s="15"/>
      <c r="TOZ57" s="15"/>
      <c r="TPA57" s="15"/>
      <c r="TPB57" s="15"/>
      <c r="TPC57" s="15"/>
      <c r="TPD57" s="15"/>
      <c r="TPE57" s="15"/>
      <c r="TPF57" s="15"/>
      <c r="TPG57" s="15"/>
      <c r="TPH57" s="15"/>
      <c r="TPI57" s="15"/>
      <c r="TPJ57" s="15"/>
      <c r="TPK57" s="15"/>
      <c r="TPL57" s="15"/>
      <c r="TPM57" s="15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15"/>
      <c r="TPZ57" s="15"/>
      <c r="TQA57" s="15"/>
      <c r="TQB57" s="15"/>
      <c r="TQC57" s="15"/>
      <c r="TQD57" s="15"/>
      <c r="TQE57" s="15"/>
      <c r="TQF57" s="15"/>
      <c r="TQG57" s="15"/>
      <c r="TQH57" s="15"/>
      <c r="TQI57" s="15"/>
      <c r="TQJ57" s="15"/>
      <c r="TQK57" s="15"/>
      <c r="TQL57" s="15"/>
      <c r="TQM57" s="15"/>
      <c r="TQN57" s="15"/>
      <c r="TQO57" s="15"/>
      <c r="TQP57" s="15"/>
      <c r="TQQ57" s="15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15"/>
      <c r="TRD57" s="15"/>
      <c r="TRE57" s="15"/>
      <c r="TRF57" s="15"/>
      <c r="TRG57" s="15"/>
      <c r="TRH57" s="15"/>
      <c r="TRI57" s="15"/>
      <c r="TRJ57" s="15"/>
      <c r="TRK57" s="15"/>
      <c r="TRL57" s="15"/>
      <c r="TRM57" s="15"/>
      <c r="TRN57" s="15"/>
      <c r="TRO57" s="15"/>
      <c r="TRP57" s="15"/>
      <c r="TRQ57" s="15"/>
      <c r="TRR57" s="15"/>
      <c r="TRS57" s="15"/>
      <c r="TRT57" s="15"/>
      <c r="TRU57" s="15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15"/>
      <c r="TSH57" s="15"/>
      <c r="TSI57" s="15"/>
      <c r="TSJ57" s="15"/>
      <c r="TSK57" s="15"/>
      <c r="TSL57" s="15"/>
      <c r="TSM57" s="15"/>
      <c r="TSN57" s="15"/>
      <c r="TSO57" s="15"/>
      <c r="TSP57" s="15"/>
      <c r="TSQ57" s="15"/>
      <c r="TSR57" s="15"/>
      <c r="TSS57" s="15"/>
      <c r="TST57" s="15"/>
      <c r="TSU57" s="15"/>
      <c r="TSV57" s="15"/>
      <c r="TSW57" s="15"/>
      <c r="TSX57" s="15"/>
      <c r="TSY57" s="15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15"/>
      <c r="TTL57" s="15"/>
      <c r="TTM57" s="15"/>
      <c r="TTN57" s="15"/>
      <c r="TTO57" s="15"/>
      <c r="TTP57" s="15"/>
      <c r="TTQ57" s="15"/>
      <c r="TTR57" s="15"/>
      <c r="TTS57" s="15"/>
      <c r="TTT57" s="15"/>
      <c r="TTU57" s="15"/>
      <c r="TTV57" s="15"/>
      <c r="TTW57" s="15"/>
      <c r="TTX57" s="15"/>
      <c r="TTY57" s="15"/>
      <c r="TTZ57" s="15"/>
      <c r="TUA57" s="15"/>
      <c r="TUB57" s="15"/>
      <c r="TUC57" s="15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15"/>
      <c r="TUP57" s="15"/>
      <c r="TUQ57" s="15"/>
      <c r="TUR57" s="15"/>
      <c r="TUS57" s="15"/>
      <c r="TUT57" s="15"/>
      <c r="TUU57" s="15"/>
      <c r="TUV57" s="15"/>
      <c r="TUW57" s="15"/>
      <c r="TUX57" s="15"/>
      <c r="TUY57" s="15"/>
      <c r="TUZ57" s="15"/>
      <c r="TVA57" s="15"/>
      <c r="TVB57" s="15"/>
      <c r="TVC57" s="15"/>
      <c r="TVD57" s="15"/>
      <c r="TVE57" s="15"/>
      <c r="TVF57" s="15"/>
      <c r="TVG57" s="15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15"/>
      <c r="TVT57" s="15"/>
      <c r="TVU57" s="15"/>
      <c r="TVV57" s="15"/>
      <c r="TVW57" s="15"/>
      <c r="TVX57" s="15"/>
      <c r="TVY57" s="15"/>
      <c r="TVZ57" s="15"/>
      <c r="TWA57" s="15"/>
      <c r="TWB57" s="15"/>
      <c r="TWC57" s="15"/>
      <c r="TWD57" s="15"/>
      <c r="TWE57" s="15"/>
      <c r="TWF57" s="15"/>
      <c r="TWG57" s="15"/>
      <c r="TWH57" s="15"/>
      <c r="TWI57" s="15"/>
      <c r="TWJ57" s="15"/>
      <c r="TWK57" s="15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15"/>
      <c r="TWX57" s="15"/>
      <c r="TWY57" s="15"/>
      <c r="TWZ57" s="15"/>
      <c r="TXA57" s="15"/>
      <c r="TXB57" s="15"/>
      <c r="TXC57" s="15"/>
      <c r="TXD57" s="15"/>
      <c r="TXE57" s="15"/>
      <c r="TXF57" s="15"/>
      <c r="TXG57" s="15"/>
      <c r="TXH57" s="15"/>
      <c r="TXI57" s="15"/>
      <c r="TXJ57" s="15"/>
      <c r="TXK57" s="15"/>
      <c r="TXL57" s="15"/>
      <c r="TXM57" s="15"/>
      <c r="TXN57" s="15"/>
      <c r="TXO57" s="15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15"/>
      <c r="TYB57" s="15"/>
      <c r="TYC57" s="15"/>
      <c r="TYD57" s="15"/>
      <c r="TYE57" s="15"/>
      <c r="TYF57" s="15"/>
      <c r="TYG57" s="15"/>
      <c r="TYH57" s="15"/>
      <c r="TYI57" s="15"/>
      <c r="TYJ57" s="15"/>
      <c r="TYK57" s="15"/>
      <c r="TYL57" s="15"/>
      <c r="TYM57" s="15"/>
      <c r="TYN57" s="15"/>
      <c r="TYO57" s="15"/>
      <c r="TYP57" s="15"/>
      <c r="TYQ57" s="15"/>
      <c r="TYR57" s="15"/>
      <c r="TYS57" s="15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15"/>
      <c r="TZF57" s="15"/>
      <c r="TZG57" s="15"/>
      <c r="TZH57" s="15"/>
      <c r="TZI57" s="15"/>
      <c r="TZJ57" s="15"/>
      <c r="TZK57" s="15"/>
      <c r="TZL57" s="15"/>
      <c r="TZM57" s="15"/>
      <c r="TZN57" s="15"/>
      <c r="TZO57" s="15"/>
      <c r="TZP57" s="15"/>
      <c r="TZQ57" s="15"/>
      <c r="TZR57" s="15"/>
      <c r="TZS57" s="15"/>
      <c r="TZT57" s="15"/>
      <c r="TZU57" s="15"/>
      <c r="TZV57" s="15"/>
      <c r="TZW57" s="15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15"/>
      <c r="UAJ57" s="15"/>
      <c r="UAK57" s="15"/>
      <c r="UAL57" s="15"/>
      <c r="UAM57" s="15"/>
      <c r="UAN57" s="15"/>
      <c r="UAO57" s="15"/>
      <c r="UAP57" s="15"/>
      <c r="UAQ57" s="15"/>
      <c r="UAR57" s="15"/>
      <c r="UAS57" s="15"/>
      <c r="UAT57" s="15"/>
      <c r="UAU57" s="15"/>
      <c r="UAV57" s="15"/>
      <c r="UAW57" s="15"/>
      <c r="UAX57" s="15"/>
      <c r="UAY57" s="15"/>
      <c r="UAZ57" s="15"/>
      <c r="UBA57" s="15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15"/>
      <c r="UBN57" s="15"/>
      <c r="UBO57" s="15"/>
      <c r="UBP57" s="15"/>
      <c r="UBQ57" s="15"/>
      <c r="UBR57" s="15"/>
      <c r="UBS57" s="15"/>
      <c r="UBT57" s="15"/>
      <c r="UBU57" s="15"/>
      <c r="UBV57" s="15"/>
      <c r="UBW57" s="15"/>
      <c r="UBX57" s="15"/>
      <c r="UBY57" s="15"/>
      <c r="UBZ57" s="15"/>
      <c r="UCA57" s="15"/>
      <c r="UCB57" s="15"/>
      <c r="UCC57" s="15"/>
      <c r="UCD57" s="15"/>
      <c r="UCE57" s="15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15"/>
      <c r="UCR57" s="15"/>
      <c r="UCS57" s="15"/>
      <c r="UCT57" s="15"/>
      <c r="UCU57" s="15"/>
      <c r="UCV57" s="15"/>
      <c r="UCW57" s="15"/>
      <c r="UCX57" s="15"/>
      <c r="UCY57" s="15"/>
      <c r="UCZ57" s="15"/>
      <c r="UDA57" s="15"/>
      <c r="UDB57" s="15"/>
      <c r="UDC57" s="15"/>
      <c r="UDD57" s="15"/>
      <c r="UDE57" s="15"/>
      <c r="UDF57" s="15"/>
      <c r="UDG57" s="15"/>
      <c r="UDH57" s="15"/>
      <c r="UDI57" s="15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15"/>
      <c r="UDV57" s="15"/>
      <c r="UDW57" s="15"/>
      <c r="UDX57" s="15"/>
      <c r="UDY57" s="15"/>
      <c r="UDZ57" s="15"/>
      <c r="UEA57" s="15"/>
      <c r="UEB57" s="15"/>
      <c r="UEC57" s="15"/>
      <c r="UED57" s="15"/>
      <c r="UEE57" s="15"/>
      <c r="UEF57" s="15"/>
      <c r="UEG57" s="15"/>
      <c r="UEH57" s="15"/>
      <c r="UEI57" s="15"/>
      <c r="UEJ57" s="15"/>
      <c r="UEK57" s="15"/>
      <c r="UEL57" s="15"/>
      <c r="UEM57" s="15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15"/>
      <c r="UEZ57" s="15"/>
      <c r="UFA57" s="15"/>
      <c r="UFB57" s="15"/>
      <c r="UFC57" s="15"/>
      <c r="UFD57" s="15"/>
      <c r="UFE57" s="15"/>
      <c r="UFF57" s="15"/>
      <c r="UFG57" s="15"/>
      <c r="UFH57" s="15"/>
      <c r="UFI57" s="15"/>
      <c r="UFJ57" s="15"/>
      <c r="UFK57" s="15"/>
      <c r="UFL57" s="15"/>
      <c r="UFM57" s="15"/>
      <c r="UFN57" s="15"/>
      <c r="UFO57" s="15"/>
      <c r="UFP57" s="15"/>
      <c r="UFQ57" s="15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15"/>
      <c r="UGD57" s="15"/>
      <c r="UGE57" s="15"/>
      <c r="UGF57" s="15"/>
      <c r="UGG57" s="15"/>
      <c r="UGH57" s="15"/>
      <c r="UGI57" s="15"/>
      <c r="UGJ57" s="15"/>
      <c r="UGK57" s="15"/>
      <c r="UGL57" s="15"/>
      <c r="UGM57" s="15"/>
      <c r="UGN57" s="15"/>
      <c r="UGO57" s="15"/>
      <c r="UGP57" s="15"/>
      <c r="UGQ57" s="15"/>
      <c r="UGR57" s="15"/>
      <c r="UGS57" s="15"/>
      <c r="UGT57" s="15"/>
      <c r="UGU57" s="15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15"/>
      <c r="UHH57" s="15"/>
      <c r="UHI57" s="15"/>
      <c r="UHJ57" s="15"/>
      <c r="UHK57" s="15"/>
      <c r="UHL57" s="15"/>
      <c r="UHM57" s="15"/>
      <c r="UHN57" s="15"/>
      <c r="UHO57" s="15"/>
      <c r="UHP57" s="15"/>
      <c r="UHQ57" s="15"/>
      <c r="UHR57" s="15"/>
      <c r="UHS57" s="15"/>
      <c r="UHT57" s="15"/>
      <c r="UHU57" s="15"/>
      <c r="UHV57" s="15"/>
      <c r="UHW57" s="15"/>
      <c r="UHX57" s="15"/>
      <c r="UHY57" s="15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15"/>
      <c r="UIL57" s="15"/>
      <c r="UIM57" s="15"/>
      <c r="UIN57" s="15"/>
      <c r="UIO57" s="15"/>
      <c r="UIP57" s="15"/>
      <c r="UIQ57" s="15"/>
      <c r="UIR57" s="15"/>
      <c r="UIS57" s="15"/>
      <c r="UIT57" s="15"/>
      <c r="UIU57" s="15"/>
      <c r="UIV57" s="15"/>
      <c r="UIW57" s="15"/>
      <c r="UIX57" s="15"/>
      <c r="UIY57" s="15"/>
      <c r="UIZ57" s="15"/>
      <c r="UJA57" s="15"/>
      <c r="UJB57" s="15"/>
      <c r="UJC57" s="15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15"/>
      <c r="UJP57" s="15"/>
      <c r="UJQ57" s="15"/>
      <c r="UJR57" s="15"/>
      <c r="UJS57" s="15"/>
      <c r="UJT57" s="15"/>
      <c r="UJU57" s="15"/>
      <c r="UJV57" s="15"/>
      <c r="UJW57" s="15"/>
      <c r="UJX57" s="15"/>
      <c r="UJY57" s="15"/>
      <c r="UJZ57" s="15"/>
      <c r="UKA57" s="15"/>
      <c r="UKB57" s="15"/>
      <c r="UKC57" s="15"/>
      <c r="UKD57" s="15"/>
      <c r="UKE57" s="15"/>
      <c r="UKF57" s="15"/>
      <c r="UKG57" s="15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15"/>
      <c r="UKT57" s="15"/>
      <c r="UKU57" s="15"/>
      <c r="UKV57" s="15"/>
      <c r="UKW57" s="15"/>
      <c r="UKX57" s="15"/>
      <c r="UKY57" s="15"/>
      <c r="UKZ57" s="15"/>
      <c r="ULA57" s="15"/>
      <c r="ULB57" s="15"/>
      <c r="ULC57" s="15"/>
      <c r="ULD57" s="15"/>
      <c r="ULE57" s="15"/>
      <c r="ULF57" s="15"/>
      <c r="ULG57" s="15"/>
      <c r="ULH57" s="15"/>
      <c r="ULI57" s="15"/>
      <c r="ULJ57" s="15"/>
      <c r="ULK57" s="15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15"/>
      <c r="ULX57" s="15"/>
      <c r="ULY57" s="15"/>
      <c r="ULZ57" s="15"/>
      <c r="UMA57" s="15"/>
      <c r="UMB57" s="15"/>
      <c r="UMC57" s="15"/>
      <c r="UMD57" s="15"/>
      <c r="UME57" s="15"/>
      <c r="UMF57" s="15"/>
      <c r="UMG57" s="15"/>
      <c r="UMH57" s="15"/>
      <c r="UMI57" s="15"/>
      <c r="UMJ57" s="15"/>
      <c r="UMK57" s="15"/>
      <c r="UML57" s="15"/>
      <c r="UMM57" s="15"/>
      <c r="UMN57" s="15"/>
      <c r="UMO57" s="15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15"/>
      <c r="UNB57" s="15"/>
      <c r="UNC57" s="15"/>
      <c r="UND57" s="15"/>
      <c r="UNE57" s="15"/>
      <c r="UNF57" s="15"/>
      <c r="UNG57" s="15"/>
      <c r="UNH57" s="15"/>
      <c r="UNI57" s="15"/>
      <c r="UNJ57" s="15"/>
      <c r="UNK57" s="15"/>
      <c r="UNL57" s="15"/>
      <c r="UNM57" s="15"/>
      <c r="UNN57" s="15"/>
      <c r="UNO57" s="15"/>
      <c r="UNP57" s="15"/>
      <c r="UNQ57" s="15"/>
      <c r="UNR57" s="15"/>
      <c r="UNS57" s="15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15"/>
      <c r="UOF57" s="15"/>
      <c r="UOG57" s="15"/>
      <c r="UOH57" s="15"/>
      <c r="UOI57" s="15"/>
      <c r="UOJ57" s="15"/>
      <c r="UOK57" s="15"/>
      <c r="UOL57" s="15"/>
      <c r="UOM57" s="15"/>
      <c r="UON57" s="15"/>
      <c r="UOO57" s="15"/>
      <c r="UOP57" s="15"/>
      <c r="UOQ57" s="15"/>
      <c r="UOR57" s="15"/>
      <c r="UOS57" s="15"/>
      <c r="UOT57" s="15"/>
      <c r="UOU57" s="15"/>
      <c r="UOV57" s="15"/>
      <c r="UOW57" s="15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15"/>
      <c r="UPJ57" s="15"/>
      <c r="UPK57" s="15"/>
      <c r="UPL57" s="15"/>
      <c r="UPM57" s="15"/>
      <c r="UPN57" s="15"/>
      <c r="UPO57" s="15"/>
      <c r="UPP57" s="15"/>
      <c r="UPQ57" s="15"/>
      <c r="UPR57" s="15"/>
      <c r="UPS57" s="15"/>
      <c r="UPT57" s="15"/>
      <c r="UPU57" s="15"/>
      <c r="UPV57" s="15"/>
      <c r="UPW57" s="15"/>
      <c r="UPX57" s="15"/>
      <c r="UPY57" s="15"/>
      <c r="UPZ57" s="15"/>
      <c r="UQA57" s="15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15"/>
      <c r="UQN57" s="15"/>
      <c r="UQO57" s="15"/>
      <c r="UQP57" s="15"/>
      <c r="UQQ57" s="15"/>
      <c r="UQR57" s="15"/>
      <c r="UQS57" s="15"/>
      <c r="UQT57" s="15"/>
      <c r="UQU57" s="15"/>
      <c r="UQV57" s="15"/>
      <c r="UQW57" s="15"/>
      <c r="UQX57" s="15"/>
      <c r="UQY57" s="15"/>
      <c r="UQZ57" s="15"/>
      <c r="URA57" s="15"/>
      <c r="URB57" s="15"/>
      <c r="URC57" s="15"/>
      <c r="URD57" s="15"/>
      <c r="URE57" s="15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15"/>
      <c r="URR57" s="15"/>
      <c r="URS57" s="15"/>
      <c r="URT57" s="15"/>
      <c r="URU57" s="15"/>
      <c r="URV57" s="15"/>
      <c r="URW57" s="15"/>
      <c r="URX57" s="15"/>
      <c r="URY57" s="15"/>
      <c r="URZ57" s="15"/>
      <c r="USA57" s="15"/>
      <c r="USB57" s="15"/>
      <c r="USC57" s="15"/>
      <c r="USD57" s="15"/>
      <c r="USE57" s="15"/>
      <c r="USF57" s="15"/>
      <c r="USG57" s="15"/>
      <c r="USH57" s="15"/>
      <c r="USI57" s="15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15"/>
      <c r="USV57" s="15"/>
      <c r="USW57" s="15"/>
      <c r="USX57" s="15"/>
      <c r="USY57" s="15"/>
      <c r="USZ57" s="15"/>
      <c r="UTA57" s="15"/>
      <c r="UTB57" s="15"/>
      <c r="UTC57" s="15"/>
      <c r="UTD57" s="15"/>
      <c r="UTE57" s="15"/>
      <c r="UTF57" s="15"/>
      <c r="UTG57" s="15"/>
      <c r="UTH57" s="15"/>
      <c r="UTI57" s="15"/>
      <c r="UTJ57" s="15"/>
      <c r="UTK57" s="15"/>
      <c r="UTL57" s="15"/>
      <c r="UTM57" s="15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15"/>
      <c r="UTZ57" s="15"/>
      <c r="UUA57" s="15"/>
      <c r="UUB57" s="15"/>
      <c r="UUC57" s="15"/>
      <c r="UUD57" s="15"/>
      <c r="UUE57" s="15"/>
      <c r="UUF57" s="15"/>
      <c r="UUG57" s="15"/>
      <c r="UUH57" s="15"/>
      <c r="UUI57" s="15"/>
      <c r="UUJ57" s="15"/>
      <c r="UUK57" s="15"/>
      <c r="UUL57" s="15"/>
      <c r="UUM57" s="15"/>
      <c r="UUN57" s="15"/>
      <c r="UUO57" s="15"/>
      <c r="UUP57" s="15"/>
      <c r="UUQ57" s="15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15"/>
      <c r="UVD57" s="15"/>
      <c r="UVE57" s="15"/>
      <c r="UVF57" s="15"/>
      <c r="UVG57" s="15"/>
      <c r="UVH57" s="15"/>
      <c r="UVI57" s="15"/>
      <c r="UVJ57" s="15"/>
      <c r="UVK57" s="15"/>
      <c r="UVL57" s="15"/>
      <c r="UVM57" s="15"/>
      <c r="UVN57" s="15"/>
      <c r="UVO57" s="15"/>
      <c r="UVP57" s="15"/>
      <c r="UVQ57" s="15"/>
      <c r="UVR57" s="15"/>
      <c r="UVS57" s="15"/>
      <c r="UVT57" s="15"/>
      <c r="UVU57" s="15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15"/>
      <c r="UWH57" s="15"/>
      <c r="UWI57" s="15"/>
      <c r="UWJ57" s="15"/>
      <c r="UWK57" s="15"/>
      <c r="UWL57" s="15"/>
      <c r="UWM57" s="15"/>
      <c r="UWN57" s="15"/>
      <c r="UWO57" s="15"/>
      <c r="UWP57" s="15"/>
      <c r="UWQ57" s="15"/>
      <c r="UWR57" s="15"/>
      <c r="UWS57" s="15"/>
      <c r="UWT57" s="15"/>
      <c r="UWU57" s="15"/>
      <c r="UWV57" s="15"/>
      <c r="UWW57" s="15"/>
      <c r="UWX57" s="15"/>
      <c r="UWY57" s="15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15"/>
      <c r="UXL57" s="15"/>
      <c r="UXM57" s="15"/>
      <c r="UXN57" s="15"/>
      <c r="UXO57" s="15"/>
      <c r="UXP57" s="15"/>
      <c r="UXQ57" s="15"/>
      <c r="UXR57" s="15"/>
      <c r="UXS57" s="15"/>
      <c r="UXT57" s="15"/>
      <c r="UXU57" s="15"/>
      <c r="UXV57" s="15"/>
      <c r="UXW57" s="15"/>
      <c r="UXX57" s="15"/>
      <c r="UXY57" s="15"/>
      <c r="UXZ57" s="15"/>
      <c r="UYA57" s="15"/>
      <c r="UYB57" s="15"/>
      <c r="UYC57" s="15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15"/>
      <c r="UYP57" s="15"/>
      <c r="UYQ57" s="15"/>
      <c r="UYR57" s="15"/>
      <c r="UYS57" s="15"/>
      <c r="UYT57" s="15"/>
      <c r="UYU57" s="15"/>
      <c r="UYV57" s="15"/>
      <c r="UYW57" s="15"/>
      <c r="UYX57" s="15"/>
      <c r="UYY57" s="15"/>
      <c r="UYZ57" s="15"/>
      <c r="UZA57" s="15"/>
      <c r="UZB57" s="15"/>
      <c r="UZC57" s="15"/>
      <c r="UZD57" s="15"/>
      <c r="UZE57" s="15"/>
      <c r="UZF57" s="15"/>
      <c r="UZG57" s="15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15"/>
      <c r="UZT57" s="15"/>
      <c r="UZU57" s="15"/>
      <c r="UZV57" s="15"/>
      <c r="UZW57" s="15"/>
      <c r="UZX57" s="15"/>
      <c r="UZY57" s="15"/>
      <c r="UZZ57" s="15"/>
      <c r="VAA57" s="15"/>
      <c r="VAB57" s="15"/>
      <c r="VAC57" s="15"/>
      <c r="VAD57" s="15"/>
      <c r="VAE57" s="15"/>
      <c r="VAF57" s="15"/>
      <c r="VAG57" s="15"/>
      <c r="VAH57" s="15"/>
      <c r="VAI57" s="15"/>
      <c r="VAJ57" s="15"/>
      <c r="VAK57" s="15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15"/>
      <c r="VAX57" s="15"/>
      <c r="VAY57" s="15"/>
      <c r="VAZ57" s="15"/>
      <c r="VBA57" s="15"/>
      <c r="VBB57" s="15"/>
      <c r="VBC57" s="15"/>
      <c r="VBD57" s="15"/>
      <c r="VBE57" s="15"/>
      <c r="VBF57" s="15"/>
      <c r="VBG57" s="15"/>
      <c r="VBH57" s="15"/>
      <c r="VBI57" s="15"/>
      <c r="VBJ57" s="15"/>
      <c r="VBK57" s="15"/>
      <c r="VBL57" s="15"/>
      <c r="VBM57" s="15"/>
      <c r="VBN57" s="15"/>
      <c r="VBO57" s="15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15"/>
      <c r="VCB57" s="15"/>
      <c r="VCC57" s="15"/>
      <c r="VCD57" s="15"/>
      <c r="VCE57" s="15"/>
      <c r="VCF57" s="15"/>
      <c r="VCG57" s="15"/>
      <c r="VCH57" s="15"/>
      <c r="VCI57" s="15"/>
      <c r="VCJ57" s="15"/>
      <c r="VCK57" s="15"/>
      <c r="VCL57" s="15"/>
      <c r="VCM57" s="15"/>
      <c r="VCN57" s="15"/>
      <c r="VCO57" s="15"/>
      <c r="VCP57" s="15"/>
      <c r="VCQ57" s="15"/>
      <c r="VCR57" s="15"/>
      <c r="VCS57" s="15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15"/>
      <c r="VDF57" s="15"/>
      <c r="VDG57" s="15"/>
      <c r="VDH57" s="15"/>
      <c r="VDI57" s="15"/>
      <c r="VDJ57" s="15"/>
      <c r="VDK57" s="15"/>
      <c r="VDL57" s="15"/>
      <c r="VDM57" s="15"/>
      <c r="VDN57" s="15"/>
      <c r="VDO57" s="15"/>
      <c r="VDP57" s="15"/>
      <c r="VDQ57" s="15"/>
      <c r="VDR57" s="15"/>
      <c r="VDS57" s="15"/>
      <c r="VDT57" s="15"/>
      <c r="VDU57" s="15"/>
      <c r="VDV57" s="15"/>
      <c r="VDW57" s="15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15"/>
      <c r="VEJ57" s="15"/>
      <c r="VEK57" s="15"/>
      <c r="VEL57" s="15"/>
      <c r="VEM57" s="15"/>
      <c r="VEN57" s="15"/>
      <c r="VEO57" s="15"/>
      <c r="VEP57" s="15"/>
      <c r="VEQ57" s="15"/>
      <c r="VER57" s="15"/>
      <c r="VES57" s="15"/>
      <c r="VET57" s="15"/>
      <c r="VEU57" s="15"/>
      <c r="VEV57" s="15"/>
      <c r="VEW57" s="15"/>
      <c r="VEX57" s="15"/>
      <c r="VEY57" s="15"/>
      <c r="VEZ57" s="15"/>
      <c r="VFA57" s="15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15"/>
      <c r="VFN57" s="15"/>
      <c r="VFO57" s="15"/>
      <c r="VFP57" s="15"/>
      <c r="VFQ57" s="15"/>
      <c r="VFR57" s="15"/>
      <c r="VFS57" s="15"/>
      <c r="VFT57" s="15"/>
      <c r="VFU57" s="15"/>
      <c r="VFV57" s="15"/>
      <c r="VFW57" s="15"/>
      <c r="VFX57" s="15"/>
      <c r="VFY57" s="15"/>
      <c r="VFZ57" s="15"/>
      <c r="VGA57" s="15"/>
      <c r="VGB57" s="15"/>
      <c r="VGC57" s="15"/>
      <c r="VGD57" s="15"/>
      <c r="VGE57" s="15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15"/>
      <c r="VGR57" s="15"/>
      <c r="VGS57" s="15"/>
      <c r="VGT57" s="15"/>
      <c r="VGU57" s="15"/>
      <c r="VGV57" s="15"/>
      <c r="VGW57" s="15"/>
      <c r="VGX57" s="15"/>
      <c r="VGY57" s="15"/>
      <c r="VGZ57" s="15"/>
      <c r="VHA57" s="15"/>
      <c r="VHB57" s="15"/>
      <c r="VHC57" s="15"/>
      <c r="VHD57" s="15"/>
      <c r="VHE57" s="15"/>
      <c r="VHF57" s="15"/>
      <c r="VHG57" s="15"/>
      <c r="VHH57" s="15"/>
      <c r="VHI57" s="15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15"/>
      <c r="VHV57" s="15"/>
      <c r="VHW57" s="15"/>
      <c r="VHX57" s="15"/>
      <c r="VHY57" s="15"/>
      <c r="VHZ57" s="15"/>
      <c r="VIA57" s="15"/>
      <c r="VIB57" s="15"/>
      <c r="VIC57" s="15"/>
      <c r="VID57" s="15"/>
      <c r="VIE57" s="15"/>
      <c r="VIF57" s="15"/>
      <c r="VIG57" s="15"/>
      <c r="VIH57" s="15"/>
      <c r="VII57" s="15"/>
      <c r="VIJ57" s="15"/>
      <c r="VIK57" s="15"/>
      <c r="VIL57" s="15"/>
      <c r="VIM57" s="15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15"/>
      <c r="VIZ57" s="15"/>
      <c r="VJA57" s="15"/>
      <c r="VJB57" s="15"/>
      <c r="VJC57" s="15"/>
      <c r="VJD57" s="15"/>
      <c r="VJE57" s="15"/>
      <c r="VJF57" s="15"/>
      <c r="VJG57" s="15"/>
      <c r="VJH57" s="15"/>
      <c r="VJI57" s="15"/>
      <c r="VJJ57" s="15"/>
      <c r="VJK57" s="15"/>
      <c r="VJL57" s="15"/>
      <c r="VJM57" s="15"/>
      <c r="VJN57" s="15"/>
      <c r="VJO57" s="15"/>
      <c r="VJP57" s="15"/>
      <c r="VJQ57" s="15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15"/>
      <c r="VKD57" s="15"/>
      <c r="VKE57" s="15"/>
      <c r="VKF57" s="15"/>
      <c r="VKG57" s="15"/>
      <c r="VKH57" s="15"/>
      <c r="VKI57" s="15"/>
      <c r="VKJ57" s="15"/>
      <c r="VKK57" s="15"/>
      <c r="VKL57" s="15"/>
      <c r="VKM57" s="15"/>
      <c r="VKN57" s="15"/>
      <c r="VKO57" s="15"/>
      <c r="VKP57" s="15"/>
      <c r="VKQ57" s="15"/>
      <c r="VKR57" s="15"/>
      <c r="VKS57" s="15"/>
      <c r="VKT57" s="15"/>
      <c r="VKU57" s="15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15"/>
      <c r="VLH57" s="15"/>
      <c r="VLI57" s="15"/>
      <c r="VLJ57" s="15"/>
      <c r="VLK57" s="15"/>
      <c r="VLL57" s="15"/>
      <c r="VLM57" s="15"/>
      <c r="VLN57" s="15"/>
      <c r="VLO57" s="15"/>
      <c r="VLP57" s="15"/>
      <c r="VLQ57" s="15"/>
      <c r="VLR57" s="15"/>
      <c r="VLS57" s="15"/>
      <c r="VLT57" s="15"/>
      <c r="VLU57" s="15"/>
      <c r="VLV57" s="15"/>
      <c r="VLW57" s="15"/>
      <c r="VLX57" s="15"/>
      <c r="VLY57" s="15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15"/>
      <c r="VML57" s="15"/>
      <c r="VMM57" s="15"/>
      <c r="VMN57" s="15"/>
      <c r="VMO57" s="15"/>
      <c r="VMP57" s="15"/>
      <c r="VMQ57" s="15"/>
      <c r="VMR57" s="15"/>
      <c r="VMS57" s="15"/>
      <c r="VMT57" s="15"/>
      <c r="VMU57" s="15"/>
      <c r="VMV57" s="15"/>
      <c r="VMW57" s="15"/>
      <c r="VMX57" s="15"/>
      <c r="VMY57" s="15"/>
      <c r="VMZ57" s="15"/>
      <c r="VNA57" s="15"/>
      <c r="VNB57" s="15"/>
      <c r="VNC57" s="15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15"/>
      <c r="VNP57" s="15"/>
      <c r="VNQ57" s="15"/>
      <c r="VNR57" s="15"/>
      <c r="VNS57" s="15"/>
      <c r="VNT57" s="15"/>
      <c r="VNU57" s="15"/>
      <c r="VNV57" s="15"/>
      <c r="VNW57" s="15"/>
      <c r="VNX57" s="15"/>
      <c r="VNY57" s="15"/>
      <c r="VNZ57" s="15"/>
      <c r="VOA57" s="15"/>
      <c r="VOB57" s="15"/>
      <c r="VOC57" s="15"/>
      <c r="VOD57" s="15"/>
      <c r="VOE57" s="15"/>
      <c r="VOF57" s="15"/>
      <c r="VOG57" s="15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15"/>
      <c r="VOT57" s="15"/>
      <c r="VOU57" s="15"/>
      <c r="VOV57" s="15"/>
      <c r="VOW57" s="15"/>
      <c r="VOX57" s="15"/>
      <c r="VOY57" s="15"/>
      <c r="VOZ57" s="15"/>
      <c r="VPA57" s="15"/>
      <c r="VPB57" s="15"/>
      <c r="VPC57" s="15"/>
      <c r="VPD57" s="15"/>
      <c r="VPE57" s="15"/>
      <c r="VPF57" s="15"/>
      <c r="VPG57" s="15"/>
      <c r="VPH57" s="15"/>
      <c r="VPI57" s="15"/>
      <c r="VPJ57" s="15"/>
      <c r="VPK57" s="15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15"/>
      <c r="VPX57" s="15"/>
      <c r="VPY57" s="15"/>
      <c r="VPZ57" s="15"/>
      <c r="VQA57" s="15"/>
      <c r="VQB57" s="15"/>
      <c r="VQC57" s="15"/>
      <c r="VQD57" s="15"/>
      <c r="VQE57" s="15"/>
      <c r="VQF57" s="15"/>
      <c r="VQG57" s="15"/>
      <c r="VQH57" s="15"/>
      <c r="VQI57" s="15"/>
      <c r="VQJ57" s="15"/>
      <c r="VQK57" s="15"/>
      <c r="VQL57" s="15"/>
      <c r="VQM57" s="15"/>
      <c r="VQN57" s="15"/>
      <c r="VQO57" s="15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15"/>
      <c r="VRB57" s="15"/>
      <c r="VRC57" s="15"/>
      <c r="VRD57" s="15"/>
      <c r="VRE57" s="15"/>
      <c r="VRF57" s="15"/>
      <c r="VRG57" s="15"/>
      <c r="VRH57" s="15"/>
      <c r="VRI57" s="15"/>
      <c r="VRJ57" s="15"/>
      <c r="VRK57" s="15"/>
      <c r="VRL57" s="15"/>
      <c r="VRM57" s="15"/>
      <c r="VRN57" s="15"/>
      <c r="VRO57" s="15"/>
      <c r="VRP57" s="15"/>
      <c r="VRQ57" s="15"/>
      <c r="VRR57" s="15"/>
      <c r="VRS57" s="15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15"/>
      <c r="VSF57" s="15"/>
      <c r="VSG57" s="15"/>
      <c r="VSH57" s="15"/>
      <c r="VSI57" s="15"/>
      <c r="VSJ57" s="15"/>
      <c r="VSK57" s="15"/>
      <c r="VSL57" s="15"/>
      <c r="VSM57" s="15"/>
      <c r="VSN57" s="15"/>
      <c r="VSO57" s="15"/>
      <c r="VSP57" s="15"/>
      <c r="VSQ57" s="15"/>
      <c r="VSR57" s="15"/>
      <c r="VSS57" s="15"/>
      <c r="VST57" s="15"/>
      <c r="VSU57" s="15"/>
      <c r="VSV57" s="15"/>
      <c r="VSW57" s="15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15"/>
      <c r="VTJ57" s="15"/>
      <c r="VTK57" s="15"/>
      <c r="VTL57" s="15"/>
      <c r="VTM57" s="15"/>
      <c r="VTN57" s="15"/>
      <c r="VTO57" s="15"/>
      <c r="VTP57" s="15"/>
      <c r="VTQ57" s="15"/>
      <c r="VTR57" s="15"/>
      <c r="VTS57" s="15"/>
      <c r="VTT57" s="15"/>
      <c r="VTU57" s="15"/>
      <c r="VTV57" s="15"/>
      <c r="VTW57" s="15"/>
      <c r="VTX57" s="15"/>
      <c r="VTY57" s="15"/>
      <c r="VTZ57" s="15"/>
      <c r="VUA57" s="15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15"/>
      <c r="VUN57" s="15"/>
      <c r="VUO57" s="15"/>
      <c r="VUP57" s="15"/>
      <c r="VUQ57" s="15"/>
      <c r="VUR57" s="15"/>
      <c r="VUS57" s="15"/>
      <c r="VUT57" s="15"/>
      <c r="VUU57" s="15"/>
      <c r="VUV57" s="15"/>
      <c r="VUW57" s="15"/>
      <c r="VUX57" s="15"/>
      <c r="VUY57" s="15"/>
      <c r="VUZ57" s="15"/>
      <c r="VVA57" s="15"/>
      <c r="VVB57" s="15"/>
      <c r="VVC57" s="15"/>
      <c r="VVD57" s="15"/>
      <c r="VVE57" s="15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15"/>
      <c r="VVR57" s="15"/>
      <c r="VVS57" s="15"/>
      <c r="VVT57" s="15"/>
      <c r="VVU57" s="15"/>
      <c r="VVV57" s="15"/>
      <c r="VVW57" s="15"/>
      <c r="VVX57" s="15"/>
      <c r="VVY57" s="15"/>
      <c r="VVZ57" s="15"/>
      <c r="VWA57" s="15"/>
      <c r="VWB57" s="15"/>
      <c r="VWC57" s="15"/>
      <c r="VWD57" s="15"/>
      <c r="VWE57" s="15"/>
      <c r="VWF57" s="15"/>
      <c r="VWG57" s="15"/>
      <c r="VWH57" s="15"/>
      <c r="VWI57" s="15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15"/>
      <c r="VWV57" s="15"/>
      <c r="VWW57" s="15"/>
      <c r="VWX57" s="15"/>
      <c r="VWY57" s="15"/>
      <c r="VWZ57" s="15"/>
      <c r="VXA57" s="15"/>
      <c r="VXB57" s="15"/>
      <c r="VXC57" s="15"/>
      <c r="VXD57" s="15"/>
      <c r="VXE57" s="15"/>
      <c r="VXF57" s="15"/>
      <c r="VXG57" s="15"/>
      <c r="VXH57" s="15"/>
      <c r="VXI57" s="15"/>
      <c r="VXJ57" s="15"/>
      <c r="VXK57" s="15"/>
      <c r="VXL57" s="15"/>
      <c r="VXM57" s="15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15"/>
      <c r="VXZ57" s="15"/>
      <c r="VYA57" s="15"/>
      <c r="VYB57" s="15"/>
      <c r="VYC57" s="15"/>
      <c r="VYD57" s="15"/>
      <c r="VYE57" s="15"/>
      <c r="VYF57" s="15"/>
      <c r="VYG57" s="15"/>
      <c r="VYH57" s="15"/>
      <c r="VYI57" s="15"/>
      <c r="VYJ57" s="15"/>
      <c r="VYK57" s="15"/>
      <c r="VYL57" s="15"/>
      <c r="VYM57" s="15"/>
      <c r="VYN57" s="15"/>
      <c r="VYO57" s="15"/>
      <c r="VYP57" s="15"/>
      <c r="VYQ57" s="15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15"/>
      <c r="VZD57" s="15"/>
      <c r="VZE57" s="15"/>
      <c r="VZF57" s="15"/>
      <c r="VZG57" s="15"/>
      <c r="VZH57" s="15"/>
      <c r="VZI57" s="15"/>
      <c r="VZJ57" s="15"/>
      <c r="VZK57" s="15"/>
      <c r="VZL57" s="15"/>
      <c r="VZM57" s="15"/>
      <c r="VZN57" s="15"/>
      <c r="VZO57" s="15"/>
      <c r="VZP57" s="15"/>
      <c r="VZQ57" s="15"/>
      <c r="VZR57" s="15"/>
      <c r="VZS57" s="15"/>
      <c r="VZT57" s="15"/>
      <c r="VZU57" s="15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15"/>
      <c r="WAH57" s="15"/>
      <c r="WAI57" s="15"/>
      <c r="WAJ57" s="15"/>
      <c r="WAK57" s="15"/>
      <c r="WAL57" s="15"/>
      <c r="WAM57" s="15"/>
      <c r="WAN57" s="15"/>
      <c r="WAO57" s="15"/>
      <c r="WAP57" s="15"/>
      <c r="WAQ57" s="15"/>
      <c r="WAR57" s="15"/>
      <c r="WAS57" s="15"/>
      <c r="WAT57" s="15"/>
      <c r="WAU57" s="15"/>
      <c r="WAV57" s="15"/>
      <c r="WAW57" s="15"/>
      <c r="WAX57" s="15"/>
      <c r="WAY57" s="15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15"/>
      <c r="WBL57" s="15"/>
      <c r="WBM57" s="15"/>
      <c r="WBN57" s="15"/>
      <c r="WBO57" s="15"/>
      <c r="WBP57" s="15"/>
      <c r="WBQ57" s="15"/>
      <c r="WBR57" s="15"/>
      <c r="WBS57" s="15"/>
      <c r="WBT57" s="15"/>
      <c r="WBU57" s="15"/>
      <c r="WBV57" s="15"/>
      <c r="WBW57" s="15"/>
      <c r="WBX57" s="15"/>
      <c r="WBY57" s="15"/>
      <c r="WBZ57" s="15"/>
      <c r="WCA57" s="15"/>
      <c r="WCB57" s="15"/>
      <c r="WCC57" s="15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15"/>
      <c r="WCP57" s="15"/>
      <c r="WCQ57" s="15"/>
      <c r="WCR57" s="15"/>
      <c r="WCS57" s="15"/>
      <c r="WCT57" s="15"/>
      <c r="WCU57" s="15"/>
      <c r="WCV57" s="15"/>
      <c r="WCW57" s="15"/>
      <c r="WCX57" s="15"/>
      <c r="WCY57" s="15"/>
      <c r="WCZ57" s="15"/>
      <c r="WDA57" s="15"/>
      <c r="WDB57" s="15"/>
      <c r="WDC57" s="15"/>
      <c r="WDD57" s="15"/>
      <c r="WDE57" s="15"/>
      <c r="WDF57" s="15"/>
      <c r="WDG57" s="15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15"/>
      <c r="WDT57" s="15"/>
      <c r="WDU57" s="15"/>
      <c r="WDV57" s="15"/>
      <c r="WDW57" s="15"/>
      <c r="WDX57" s="15"/>
      <c r="WDY57" s="15"/>
      <c r="WDZ57" s="15"/>
      <c r="WEA57" s="15"/>
      <c r="WEB57" s="15"/>
      <c r="WEC57" s="15"/>
      <c r="WED57" s="15"/>
      <c r="WEE57" s="15"/>
      <c r="WEF57" s="15"/>
      <c r="WEG57" s="15"/>
      <c r="WEH57" s="15"/>
      <c r="WEI57" s="15"/>
      <c r="WEJ57" s="15"/>
      <c r="WEK57" s="15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15"/>
      <c r="WEX57" s="15"/>
      <c r="WEY57" s="15"/>
      <c r="WEZ57" s="15"/>
      <c r="WFA57" s="15"/>
      <c r="WFB57" s="15"/>
      <c r="WFC57" s="15"/>
      <c r="WFD57" s="15"/>
      <c r="WFE57" s="15"/>
      <c r="WFF57" s="15"/>
      <c r="WFG57" s="15"/>
      <c r="WFH57" s="15"/>
      <c r="WFI57" s="15"/>
      <c r="WFJ57" s="15"/>
      <c r="WFK57" s="15"/>
      <c r="WFL57" s="15"/>
      <c r="WFM57" s="15"/>
      <c r="WFN57" s="15"/>
      <c r="WFO57" s="15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15"/>
      <c r="WGB57" s="15"/>
      <c r="WGC57" s="15"/>
      <c r="WGD57" s="15"/>
      <c r="WGE57" s="15"/>
      <c r="WGF57" s="15"/>
      <c r="WGG57" s="15"/>
      <c r="WGH57" s="15"/>
      <c r="WGI57" s="15"/>
      <c r="WGJ57" s="15"/>
      <c r="WGK57" s="15"/>
      <c r="WGL57" s="15"/>
      <c r="WGM57" s="15"/>
      <c r="WGN57" s="15"/>
      <c r="WGO57" s="15"/>
      <c r="WGP57" s="15"/>
      <c r="WGQ57" s="15"/>
      <c r="WGR57" s="15"/>
      <c r="WGS57" s="15"/>
      <c r="WGT57" s="15"/>
      <c r="WGU57" s="15"/>
      <c r="WGV57" s="15"/>
      <c r="WGW57" s="15"/>
      <c r="WGX57" s="15"/>
      <c r="WGY57" s="15"/>
      <c r="WGZ57" s="15"/>
      <c r="WHA57" s="15"/>
      <c r="WHB57" s="15"/>
      <c r="WHC57" s="15"/>
      <c r="WHD57" s="15"/>
      <c r="WHE57" s="15"/>
      <c r="WHF57" s="15"/>
      <c r="WHG57" s="15"/>
      <c r="WHH57" s="15"/>
      <c r="WHI57" s="15"/>
      <c r="WHJ57" s="15"/>
      <c r="WHK57" s="15"/>
      <c r="WHL57" s="15"/>
      <c r="WHM57" s="15"/>
      <c r="WHN57" s="15"/>
      <c r="WHO57" s="15"/>
      <c r="WHP57" s="15"/>
      <c r="WHQ57" s="15"/>
      <c r="WHR57" s="15"/>
      <c r="WHS57" s="15"/>
      <c r="WHT57" s="15"/>
      <c r="WHU57" s="15"/>
      <c r="WHV57" s="15"/>
      <c r="WHW57" s="15"/>
      <c r="WHX57" s="15"/>
      <c r="WHY57" s="15"/>
      <c r="WHZ57" s="15"/>
      <c r="WIA57" s="15"/>
      <c r="WIB57" s="15"/>
      <c r="WIC57" s="15"/>
      <c r="WID57" s="15"/>
      <c r="WIE57" s="15"/>
      <c r="WIF57" s="15"/>
      <c r="WIG57" s="15"/>
      <c r="WIH57" s="15"/>
      <c r="WII57" s="15"/>
      <c r="WIJ57" s="15"/>
      <c r="WIK57" s="15"/>
      <c r="WIL57" s="15"/>
      <c r="WIM57" s="15"/>
      <c r="WIN57" s="15"/>
      <c r="WIO57" s="15"/>
      <c r="WIP57" s="15"/>
      <c r="WIQ57" s="15"/>
      <c r="WIR57" s="15"/>
      <c r="WIS57" s="15"/>
      <c r="WIT57" s="15"/>
      <c r="WIU57" s="15"/>
      <c r="WIV57" s="15"/>
      <c r="WIW57" s="15"/>
      <c r="WIX57" s="15"/>
      <c r="WIY57" s="15"/>
      <c r="WIZ57" s="15"/>
      <c r="WJA57" s="15"/>
      <c r="WJB57" s="15"/>
      <c r="WJC57" s="15"/>
      <c r="WJD57" s="15"/>
      <c r="WJE57" s="15"/>
      <c r="WJF57" s="15"/>
      <c r="WJG57" s="15"/>
      <c r="WJH57" s="15"/>
      <c r="WJI57" s="15"/>
      <c r="WJJ57" s="15"/>
      <c r="WJK57" s="15"/>
      <c r="WJL57" s="15"/>
      <c r="WJM57" s="15"/>
      <c r="WJN57" s="15"/>
      <c r="WJO57" s="15"/>
      <c r="WJP57" s="15"/>
      <c r="WJQ57" s="15"/>
      <c r="WJR57" s="15"/>
      <c r="WJS57" s="15"/>
      <c r="WJT57" s="15"/>
      <c r="WJU57" s="15"/>
      <c r="WJV57" s="15"/>
      <c r="WJW57" s="15"/>
      <c r="WJX57" s="15"/>
      <c r="WJY57" s="15"/>
      <c r="WJZ57" s="15"/>
      <c r="WKA57" s="15"/>
      <c r="WKB57" s="15"/>
      <c r="WKC57" s="15"/>
      <c r="WKD57" s="15"/>
      <c r="WKE57" s="15"/>
      <c r="WKF57" s="15"/>
      <c r="WKG57" s="15"/>
      <c r="WKH57" s="15"/>
      <c r="WKI57" s="15"/>
      <c r="WKJ57" s="15"/>
      <c r="WKK57" s="15"/>
      <c r="WKL57" s="15"/>
      <c r="WKM57" s="15"/>
      <c r="WKN57" s="15"/>
      <c r="WKO57" s="15"/>
      <c r="WKP57" s="15"/>
      <c r="WKQ57" s="15"/>
      <c r="WKR57" s="15"/>
      <c r="WKS57" s="15"/>
      <c r="WKT57" s="15"/>
      <c r="WKU57" s="15"/>
      <c r="WKV57" s="15"/>
      <c r="WKW57" s="15"/>
      <c r="WKX57" s="15"/>
      <c r="WKY57" s="15"/>
      <c r="WKZ57" s="15"/>
      <c r="WLA57" s="15"/>
      <c r="WLB57" s="15"/>
      <c r="WLC57" s="15"/>
      <c r="WLD57" s="15"/>
      <c r="WLE57" s="15"/>
      <c r="WLF57" s="15"/>
      <c r="WLG57" s="15"/>
      <c r="WLH57" s="15"/>
      <c r="WLI57" s="15"/>
      <c r="WLJ57" s="15"/>
      <c r="WLK57" s="15"/>
      <c r="WLL57" s="15"/>
      <c r="WLM57" s="15"/>
      <c r="WLN57" s="15"/>
      <c r="WLO57" s="15"/>
      <c r="WLP57" s="15"/>
      <c r="WLQ57" s="15"/>
      <c r="WLR57" s="15"/>
      <c r="WLS57" s="15"/>
      <c r="WLT57" s="15"/>
      <c r="WLU57" s="15"/>
      <c r="WLV57" s="15"/>
      <c r="WLW57" s="15"/>
      <c r="WLX57" s="15"/>
      <c r="WLY57" s="15"/>
      <c r="WLZ57" s="15"/>
      <c r="WMA57" s="15"/>
      <c r="WMB57" s="15"/>
      <c r="WMC57" s="15"/>
      <c r="WMD57" s="15"/>
      <c r="WME57" s="15"/>
      <c r="WMF57" s="15"/>
      <c r="WMG57" s="15"/>
      <c r="WMH57" s="15"/>
      <c r="WMI57" s="15"/>
      <c r="WMJ57" s="15"/>
      <c r="WMK57" s="15"/>
      <c r="WML57" s="15"/>
      <c r="WMM57" s="15"/>
      <c r="WMN57" s="15"/>
      <c r="WMO57" s="15"/>
      <c r="WMP57" s="15"/>
      <c r="WMQ57" s="15"/>
      <c r="WMR57" s="15"/>
      <c r="WMS57" s="15"/>
      <c r="WMT57" s="15"/>
      <c r="WMU57" s="15"/>
      <c r="WMV57" s="15"/>
      <c r="WMW57" s="15"/>
      <c r="WMX57" s="15"/>
      <c r="WMY57" s="15"/>
      <c r="WMZ57" s="15"/>
      <c r="WNA57" s="15"/>
      <c r="WNB57" s="15"/>
      <c r="WNC57" s="15"/>
      <c r="WND57" s="15"/>
      <c r="WNE57" s="15"/>
      <c r="WNF57" s="15"/>
      <c r="WNG57" s="15"/>
      <c r="WNH57" s="15"/>
      <c r="WNI57" s="15"/>
      <c r="WNJ57" s="15"/>
      <c r="WNK57" s="15"/>
      <c r="WNL57" s="15"/>
      <c r="WNM57" s="15"/>
      <c r="WNN57" s="15"/>
      <c r="WNO57" s="15"/>
      <c r="WNP57" s="15"/>
      <c r="WNQ57" s="15"/>
      <c r="WNR57" s="15"/>
      <c r="WNS57" s="15"/>
      <c r="WNT57" s="15"/>
      <c r="WNU57" s="15"/>
      <c r="WNV57" s="15"/>
      <c r="WNW57" s="15"/>
      <c r="WNX57" s="15"/>
      <c r="WNY57" s="15"/>
      <c r="WNZ57" s="15"/>
      <c r="WOA57" s="15"/>
      <c r="WOB57" s="15"/>
      <c r="WOC57" s="15"/>
      <c r="WOD57" s="15"/>
      <c r="WOE57" s="15"/>
      <c r="WOF57" s="15"/>
      <c r="WOG57" s="15"/>
      <c r="WOH57" s="15"/>
      <c r="WOI57" s="15"/>
      <c r="WOJ57" s="15"/>
      <c r="WOK57" s="15"/>
      <c r="WOL57" s="15"/>
      <c r="WOM57" s="15"/>
      <c r="WON57" s="15"/>
      <c r="WOO57" s="15"/>
      <c r="WOP57" s="15"/>
      <c r="WOQ57" s="15"/>
      <c r="WOR57" s="15"/>
      <c r="WOS57" s="15"/>
      <c r="WOT57" s="15"/>
      <c r="WOU57" s="15"/>
      <c r="WOV57" s="15"/>
      <c r="WOW57" s="15"/>
      <c r="WOX57" s="15"/>
      <c r="WOY57" s="15"/>
      <c r="WOZ57" s="15"/>
      <c r="WPA57" s="15"/>
      <c r="WPB57" s="15"/>
      <c r="WPC57" s="15"/>
      <c r="WPD57" s="15"/>
      <c r="WPE57" s="15"/>
      <c r="WPF57" s="15"/>
      <c r="WPG57" s="15"/>
      <c r="WPH57" s="15"/>
      <c r="WPI57" s="15"/>
      <c r="WPJ57" s="15"/>
      <c r="WPK57" s="15"/>
      <c r="WPL57" s="15"/>
      <c r="WPM57" s="15"/>
      <c r="WPN57" s="15"/>
      <c r="WPO57" s="15"/>
      <c r="WPP57" s="15"/>
      <c r="WPQ57" s="15"/>
      <c r="WPR57" s="15"/>
      <c r="WPS57" s="15"/>
      <c r="WPT57" s="15"/>
      <c r="WPU57" s="15"/>
      <c r="WPV57" s="15"/>
      <c r="WPW57" s="15"/>
      <c r="WPX57" s="15"/>
      <c r="WPY57" s="15"/>
      <c r="WPZ57" s="15"/>
      <c r="WQA57" s="15"/>
      <c r="WQB57" s="15"/>
      <c r="WQC57" s="15"/>
      <c r="WQD57" s="15"/>
      <c r="WQE57" s="15"/>
      <c r="WQF57" s="15"/>
      <c r="WQG57" s="15"/>
      <c r="WQH57" s="15"/>
      <c r="WQI57" s="15"/>
      <c r="WQJ57" s="15"/>
      <c r="WQK57" s="15"/>
      <c r="WQL57" s="15"/>
      <c r="WQM57" s="15"/>
      <c r="WQN57" s="15"/>
      <c r="WQO57" s="15"/>
      <c r="WQP57" s="15"/>
      <c r="WQQ57" s="15"/>
      <c r="WQR57" s="15"/>
      <c r="WQS57" s="15"/>
      <c r="WQT57" s="15"/>
      <c r="WQU57" s="15"/>
      <c r="WQV57" s="15"/>
      <c r="WQW57" s="15"/>
      <c r="WQX57" s="15"/>
      <c r="WQY57" s="15"/>
      <c r="WQZ57" s="15"/>
      <c r="WRA57" s="15"/>
      <c r="WRB57" s="15"/>
      <c r="WRC57" s="15"/>
      <c r="WRD57" s="15"/>
      <c r="WRE57" s="15"/>
      <c r="WRF57" s="15"/>
      <c r="WRG57" s="15"/>
      <c r="WRH57" s="15"/>
      <c r="WRI57" s="15"/>
      <c r="WRJ57" s="15"/>
      <c r="WRK57" s="15"/>
      <c r="WRL57" s="15"/>
      <c r="WRM57" s="15"/>
      <c r="WRN57" s="15"/>
      <c r="WRO57" s="15"/>
      <c r="WRP57" s="15"/>
      <c r="WRQ57" s="15"/>
      <c r="WRR57" s="15"/>
      <c r="WRS57" s="15"/>
      <c r="WRT57" s="15"/>
      <c r="WRU57" s="15"/>
      <c r="WRV57" s="15"/>
      <c r="WRW57" s="15"/>
      <c r="WRX57" s="15"/>
      <c r="WRY57" s="15"/>
      <c r="WRZ57" s="15"/>
      <c r="WSA57" s="15"/>
      <c r="WSB57" s="15"/>
      <c r="WSC57" s="15"/>
      <c r="WSD57" s="15"/>
      <c r="WSE57" s="15"/>
      <c r="WSF57" s="15"/>
      <c r="WSG57" s="15"/>
      <c r="WSH57" s="15"/>
      <c r="WSI57" s="15"/>
      <c r="WSJ57" s="15"/>
      <c r="WSK57" s="15"/>
      <c r="WSL57" s="15"/>
      <c r="WSM57" s="15"/>
      <c r="WSN57" s="15"/>
      <c r="WSO57" s="15"/>
      <c r="WSP57" s="15"/>
      <c r="WSQ57" s="15"/>
      <c r="WSR57" s="15"/>
      <c r="WSS57" s="15"/>
      <c r="WST57" s="15"/>
      <c r="WSU57" s="15"/>
      <c r="WSV57" s="15"/>
      <c r="WSW57" s="15"/>
      <c r="WSX57" s="15"/>
      <c r="WSY57" s="15"/>
      <c r="WSZ57" s="15"/>
      <c r="WTA57" s="15"/>
      <c r="WTB57" s="15"/>
      <c r="WTC57" s="15"/>
      <c r="WTD57" s="15"/>
      <c r="WTE57" s="15"/>
      <c r="WTF57" s="15"/>
      <c r="WTG57" s="15"/>
      <c r="WTH57" s="15"/>
      <c r="WTI57" s="15"/>
      <c r="WTJ57" s="15"/>
      <c r="WTK57" s="15"/>
      <c r="WTL57" s="15"/>
      <c r="WTM57" s="15"/>
      <c r="WTN57" s="15"/>
      <c r="WTO57" s="15"/>
      <c r="WTP57" s="15"/>
      <c r="WTQ57" s="15"/>
      <c r="WTR57" s="15"/>
      <c r="WTS57" s="15"/>
      <c r="WTT57" s="15"/>
      <c r="WTU57" s="15"/>
      <c r="WTV57" s="15"/>
      <c r="WTW57" s="15"/>
      <c r="WTX57" s="15"/>
      <c r="WTY57" s="15"/>
      <c r="WTZ57" s="15"/>
      <c r="WUA57" s="15"/>
      <c r="WUB57" s="15"/>
      <c r="WUC57" s="15"/>
      <c r="WUD57" s="15"/>
      <c r="WUE57" s="15"/>
      <c r="WUF57" s="15"/>
      <c r="WUG57" s="15"/>
      <c r="WUH57" s="15"/>
      <c r="WUI57" s="15"/>
      <c r="WUJ57" s="15"/>
      <c r="WUK57" s="15"/>
      <c r="WUL57" s="15"/>
      <c r="WUM57" s="15"/>
      <c r="WUN57" s="15"/>
      <c r="WUO57" s="15"/>
      <c r="WUP57" s="15"/>
      <c r="WUQ57" s="15"/>
      <c r="WUR57" s="15"/>
      <c r="WUS57" s="15"/>
      <c r="WUT57" s="15"/>
      <c r="WUU57" s="15"/>
      <c r="WUV57" s="15"/>
      <c r="WUW57" s="15"/>
      <c r="WUX57" s="15"/>
      <c r="WUY57" s="15"/>
      <c r="WUZ57" s="15"/>
      <c r="WVA57" s="15"/>
      <c r="WVB57" s="15"/>
      <c r="WVC57" s="15"/>
      <c r="WVD57" s="15"/>
      <c r="WVE57" s="15"/>
      <c r="WVF57" s="15"/>
      <c r="WVG57" s="15"/>
      <c r="WVH57" s="15"/>
      <c r="WVI57" s="15"/>
      <c r="WVJ57" s="15"/>
      <c r="WVK57" s="15"/>
      <c r="WVL57" s="15"/>
      <c r="WVM57" s="15"/>
      <c r="WVN57" s="15"/>
      <c r="WVO57" s="15"/>
      <c r="WVP57" s="15"/>
      <c r="WVQ57" s="15"/>
      <c r="WVR57" s="15"/>
      <c r="WVS57" s="15"/>
      <c r="WVT57" s="15"/>
      <c r="WVU57" s="15"/>
      <c r="WVV57" s="15"/>
      <c r="WVW57" s="15"/>
      <c r="WVX57" s="15"/>
      <c r="WVY57" s="15"/>
      <c r="WVZ57" s="15"/>
      <c r="WWA57" s="15"/>
      <c r="WWB57" s="15"/>
      <c r="WWC57" s="15"/>
      <c r="WWD57" s="15"/>
      <c r="WWE57" s="15"/>
      <c r="WWF57" s="15"/>
      <c r="WWG57" s="15"/>
      <c r="WWH57" s="15"/>
      <c r="WWI57" s="15"/>
      <c r="WWJ57" s="15"/>
      <c r="WWK57" s="15"/>
      <c r="WWL57" s="15"/>
      <c r="WWM57" s="15"/>
      <c r="WWN57" s="15"/>
      <c r="WWO57" s="15"/>
      <c r="WWP57" s="15"/>
      <c r="WWQ57" s="15"/>
      <c r="WWR57" s="15"/>
      <c r="WWS57" s="15"/>
      <c r="WWT57" s="15"/>
      <c r="WWU57" s="15"/>
      <c r="WWV57" s="15"/>
      <c r="WWW57" s="15"/>
      <c r="WWX57" s="15"/>
      <c r="WWY57" s="15"/>
      <c r="WWZ57" s="15"/>
      <c r="WXA57" s="15"/>
      <c r="WXB57" s="15"/>
      <c r="WXC57" s="15"/>
      <c r="WXD57" s="15"/>
      <c r="WXE57" s="15"/>
      <c r="WXF57" s="15"/>
      <c r="WXG57" s="15"/>
      <c r="WXH57" s="15"/>
      <c r="WXI57" s="15"/>
      <c r="WXJ57" s="15"/>
      <c r="WXK57" s="15"/>
      <c r="WXL57" s="15"/>
      <c r="WXM57" s="15"/>
      <c r="WXN57" s="15"/>
      <c r="WXO57" s="15"/>
      <c r="WXP57" s="15"/>
      <c r="WXQ57" s="15"/>
      <c r="WXR57" s="15"/>
      <c r="WXS57" s="15"/>
      <c r="WXT57" s="15"/>
      <c r="WXU57" s="15"/>
      <c r="WXV57" s="15"/>
      <c r="WXW57" s="15"/>
      <c r="WXX57" s="15"/>
      <c r="WXY57" s="15"/>
      <c r="WXZ57" s="15"/>
      <c r="WYA57" s="15"/>
      <c r="WYB57" s="15"/>
      <c r="WYC57" s="15"/>
      <c r="WYD57" s="15"/>
      <c r="WYE57" s="15"/>
      <c r="WYF57" s="15"/>
      <c r="WYG57" s="15"/>
      <c r="WYH57" s="15"/>
      <c r="WYI57" s="15"/>
      <c r="WYJ57" s="15"/>
      <c r="WYK57" s="15"/>
      <c r="WYL57" s="15"/>
      <c r="WYM57" s="15"/>
      <c r="WYN57" s="15"/>
      <c r="WYO57" s="15"/>
      <c r="WYP57" s="15"/>
      <c r="WYQ57" s="15"/>
      <c r="WYR57" s="15"/>
      <c r="WYS57" s="15"/>
      <c r="WYT57" s="15"/>
      <c r="WYU57" s="15"/>
      <c r="WYV57" s="15"/>
      <c r="WYW57" s="15"/>
      <c r="WYX57" s="15"/>
      <c r="WYY57" s="15"/>
      <c r="WYZ57" s="15"/>
      <c r="WZA57" s="15"/>
      <c r="WZB57" s="15"/>
      <c r="WZC57" s="15"/>
      <c r="WZD57" s="15"/>
      <c r="WZE57" s="15"/>
      <c r="WZF57" s="15"/>
      <c r="WZG57" s="15"/>
      <c r="WZH57" s="15"/>
      <c r="WZI57" s="15"/>
      <c r="WZJ57" s="15"/>
      <c r="WZK57" s="15"/>
      <c r="WZL57" s="15"/>
      <c r="WZM57" s="15"/>
      <c r="WZN57" s="15"/>
      <c r="WZO57" s="15"/>
      <c r="WZP57" s="15"/>
      <c r="WZQ57" s="15"/>
      <c r="WZR57" s="15"/>
      <c r="WZS57" s="15"/>
      <c r="WZT57" s="15"/>
      <c r="WZU57" s="15"/>
      <c r="WZV57" s="15"/>
      <c r="WZW57" s="15"/>
      <c r="WZX57" s="15"/>
      <c r="WZY57" s="15"/>
      <c r="WZZ57" s="15"/>
      <c r="XAA57" s="15"/>
      <c r="XAB57" s="15"/>
      <c r="XAC57" s="15"/>
      <c r="XAD57" s="15"/>
      <c r="XAE57" s="15"/>
      <c r="XAF57" s="15"/>
      <c r="XAG57" s="15"/>
      <c r="XAH57" s="15"/>
      <c r="XAI57" s="15"/>
      <c r="XAJ57" s="15"/>
      <c r="XAK57" s="15"/>
      <c r="XAL57" s="15"/>
      <c r="XAM57" s="15"/>
      <c r="XAN57" s="15"/>
      <c r="XAO57" s="15"/>
      <c r="XAP57" s="15"/>
      <c r="XAQ57" s="15"/>
      <c r="XAR57" s="15"/>
      <c r="XAS57" s="15"/>
      <c r="XAT57" s="15"/>
      <c r="XAU57" s="15"/>
      <c r="XAV57" s="15"/>
      <c r="XAW57" s="15"/>
      <c r="XAX57" s="15"/>
      <c r="XAY57" s="15"/>
      <c r="XAZ57" s="15"/>
      <c r="XBA57" s="15"/>
      <c r="XBB57" s="15"/>
      <c r="XBC57" s="15"/>
      <c r="XBD57" s="15"/>
      <c r="XBE57" s="15"/>
      <c r="XBF57" s="15"/>
      <c r="XBG57" s="15"/>
      <c r="XBH57" s="15"/>
      <c r="XBI57" s="15"/>
      <c r="XBJ57" s="15"/>
      <c r="XBK57" s="15"/>
      <c r="XBL57" s="15"/>
      <c r="XBM57" s="15"/>
      <c r="XBN57" s="15"/>
      <c r="XBO57" s="15"/>
      <c r="XBP57" s="15"/>
      <c r="XBQ57" s="15"/>
      <c r="XBR57" s="15"/>
      <c r="XBS57" s="15"/>
      <c r="XBT57" s="15"/>
      <c r="XBU57" s="15"/>
      <c r="XBV57" s="15"/>
      <c r="XBW57" s="15"/>
      <c r="XBX57" s="15"/>
      <c r="XBY57" s="15"/>
      <c r="XBZ57" s="15"/>
      <c r="XCA57" s="15"/>
      <c r="XCB57" s="15"/>
      <c r="XCC57" s="15"/>
      <c r="XCD57" s="15"/>
      <c r="XCE57" s="15"/>
      <c r="XCF57" s="15"/>
      <c r="XCG57" s="15"/>
      <c r="XCH57" s="15"/>
      <c r="XCI57" s="15"/>
      <c r="XCJ57" s="15"/>
      <c r="XCK57" s="15"/>
      <c r="XCL57" s="15"/>
      <c r="XCM57" s="15"/>
      <c r="XCN57" s="15"/>
      <c r="XCO57" s="15"/>
      <c r="XCP57" s="15"/>
      <c r="XCQ57" s="15"/>
      <c r="XCR57" s="15"/>
      <c r="XCS57" s="15"/>
      <c r="XCT57" s="15"/>
      <c r="XCU57" s="15"/>
      <c r="XCV57" s="15"/>
      <c r="XCW57" s="15"/>
      <c r="XCX57" s="15"/>
      <c r="XCY57" s="15"/>
      <c r="XCZ57" s="15"/>
      <c r="XDA57" s="15"/>
      <c r="XDB57" s="15"/>
      <c r="XDC57" s="15"/>
      <c r="XDD57" s="15"/>
      <c r="XDE57" s="15"/>
      <c r="XDF57" s="15"/>
      <c r="XDG57" s="15"/>
      <c r="XDH57" s="15"/>
      <c r="XDI57" s="15"/>
      <c r="XDJ57" s="15"/>
      <c r="XDK57" s="15"/>
      <c r="XDL57" s="15"/>
      <c r="XDM57" s="15"/>
      <c r="XDN57" s="15"/>
      <c r="XDO57" s="15"/>
      <c r="XDP57" s="15"/>
      <c r="XDQ57" s="15"/>
      <c r="XDR57" s="15"/>
      <c r="XDS57" s="15"/>
      <c r="XDT57" s="15"/>
      <c r="XDU57" s="15"/>
      <c r="XDV57" s="15"/>
      <c r="XDW57" s="15"/>
      <c r="XDX57" s="15"/>
      <c r="XDY57" s="15"/>
      <c r="XDZ57" s="15"/>
      <c r="XEA57" s="15"/>
      <c r="XEB57" s="15"/>
      <c r="XEC57" s="15"/>
      <c r="XED57" s="15"/>
      <c r="XEE57" s="15"/>
      <c r="XEF57" s="15"/>
      <c r="XEG57" s="15"/>
      <c r="XEH57" s="15"/>
      <c r="XEI57" s="15"/>
      <c r="XEJ57" s="15"/>
      <c r="XEK57" s="15"/>
      <c r="XEL57" s="15"/>
      <c r="XEM57" s="15"/>
      <c r="XEN57" s="15"/>
      <c r="XEO57" s="15"/>
      <c r="XEP57" s="15"/>
      <c r="XEQ57" s="15"/>
      <c r="XER57" s="15"/>
      <c r="XES57" s="15"/>
      <c r="XET57" s="15"/>
      <c r="XEU57" s="15"/>
      <c r="XEV57" s="15"/>
      <c r="XEW57" s="15"/>
      <c r="XEX57" s="15"/>
      <c r="XEY57" s="15"/>
      <c r="XEZ57" s="15"/>
      <c r="XFA57" s="15"/>
      <c r="XFB57" s="15"/>
      <c r="XFC57" s="15"/>
    </row>
    <row r="58" spans="2:16383" s="15" customFormat="1">
      <c r="B58" s="148" t="s">
        <v>214</v>
      </c>
      <c r="C58" s="121"/>
      <c r="D58" s="123">
        <f t="shared" ref="D58:M58" ca="1" si="18">IFERROR(D57/C57-1,"na")</f>
        <v>-0.86397403040722298</v>
      </c>
      <c r="E58" s="123">
        <f t="shared" ca="1" si="18"/>
        <v>-7.418205196050538</v>
      </c>
      <c r="F58" s="123">
        <f t="shared" ca="1" si="18"/>
        <v>1.5761896982691184</v>
      </c>
      <c r="G58" s="123">
        <f t="shared" ca="1" si="18"/>
        <v>0.76961847418578166</v>
      </c>
      <c r="H58" s="123">
        <f t="shared" ca="1" si="18"/>
        <v>0.54311262583230646</v>
      </c>
      <c r="I58" s="123">
        <f t="shared" ca="1" si="18"/>
        <v>0.43617742238716972</v>
      </c>
      <c r="J58" s="123">
        <f t="shared" ca="1" si="18"/>
        <v>0.33773618820142159</v>
      </c>
      <c r="K58" s="123">
        <f t="shared" ca="1" si="18"/>
        <v>0.28958621108219673</v>
      </c>
      <c r="L58" s="123">
        <f t="shared" ca="1" si="18"/>
        <v>0.26000883645174877</v>
      </c>
      <c r="M58" s="123">
        <f t="shared" ca="1" si="18"/>
        <v>4.0000000000000036E-2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</row>
    <row r="59" spans="2:16383" s="15" customFormat="1">
      <c r="B59" s="148" t="s">
        <v>211</v>
      </c>
      <c r="C59" s="123">
        <f>IFERROR(C57/C55,"na")</f>
        <v>-2.2651800693246057E-2</v>
      </c>
      <c r="D59" s="123">
        <f t="shared" ref="D59:M59" ca="1" si="19">IFERROR(D57/D55,"na")</f>
        <v>-2.1604216113448355E-3</v>
      </c>
      <c r="E59" s="123">
        <f t="shared" ca="1" si="19"/>
        <v>1.0822539666854068E-2</v>
      </c>
      <c r="F59" s="123">
        <f t="shared" ca="1" si="19"/>
        <v>2.2659924630150152E-2</v>
      </c>
      <c r="G59" s="123">
        <f t="shared" ca="1" si="19"/>
        <v>3.3508697729875976E-2</v>
      </c>
      <c r="H59" s="123">
        <f t="shared" ca="1" si="19"/>
        <v>4.47273055334243E-2</v>
      </c>
      <c r="I59" s="123">
        <f t="shared" ca="1" si="19"/>
        <v>5.6242410893324386E-2</v>
      </c>
      <c r="J59" s="123">
        <f t="shared" ca="1" si="19"/>
        <v>6.655440153257175E-2</v>
      </c>
      <c r="K59" s="123">
        <f t="shared" ca="1" si="19"/>
        <v>7.6540043363743773E-2</v>
      </c>
      <c r="L59" s="123">
        <f t="shared" ca="1" si="19"/>
        <v>8.658289741754728E-2</v>
      </c>
      <c r="M59" s="123">
        <f t="shared" ca="1" si="19"/>
        <v>8.658289741754728E-2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</row>
    <row r="60" spans="2:16383" ht="5.15" customHeight="1">
      <c r="B60" s="9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</row>
    <row r="61" spans="2:16383">
      <c r="B61" t="s">
        <v>4</v>
      </c>
      <c r="C61" s="122">
        <f>+INDEX(Model!$A:$AP,MATCH("EBIT",Model!$A:$A,0),MATCH(DCF!C$51,Model!$3:$3,0))</f>
        <v>-343.36100530987557</v>
      </c>
      <c r="D61" s="122">
        <f ca="1">+INDEX(Model!$A:$AP,MATCH("EBIT",Model!$A:$A,0),MATCH(DCF!D$51,Model!$3:$3,0))</f>
        <v>-197.11207430740325</v>
      </c>
      <c r="E61" s="122">
        <f ca="1">+INDEX(Model!$A:$AP,MATCH("EBIT",Model!$A:$A,0),MATCH(DCF!E$51,Model!$3:$3,0))</f>
        <v>-26.605921829661611</v>
      </c>
      <c r="F61" s="122">
        <f ca="1">+INDEX(Model!$A:$AP,MATCH("EBIT",Model!$A:$A,0),MATCH(DCF!F$51,Model!$3:$3,0))</f>
        <v>234.25288433592459</v>
      </c>
      <c r="G61" s="122">
        <f ca="1">+INDEX(Model!$A:$AP,MATCH("EBIT",Model!$A:$A,0),MATCH(DCF!G$51,Model!$3:$3,0))</f>
        <v>571.30059745698929</v>
      </c>
      <c r="H61" s="122">
        <f ca="1">+INDEX(Model!$A:$AP,MATCH("EBIT",Model!$A:$A,0),MATCH(DCF!H$51,Model!$3:$3,0))</f>
        <v>1000.487249054733</v>
      </c>
      <c r="I61" s="122">
        <f ca="1">+INDEX(Model!$A:$AP,MATCH("EBIT",Model!$A:$A,0),MATCH(DCF!I$51,Model!$3:$3,0))</f>
        <v>1536.6487566090527</v>
      </c>
      <c r="J61" s="122">
        <f ca="1">+INDEX(Model!$A:$AP,MATCH("EBIT",Model!$A:$A,0),MATCH(DCF!J$51,Model!$3:$3,0))</f>
        <v>2138.5376667922292</v>
      </c>
      <c r="K61" s="122">
        <f ca="1">+INDEX(Model!$A:$AP,MATCH("EBIT",Model!$A:$A,0),MATCH(DCF!K$51,Model!$3:$3,0))</f>
        <v>2834.862270792466</v>
      </c>
      <c r="L61" s="122">
        <f ca="1">+INDEX(Model!$A:$AP,MATCH("EBIT",Model!$A:$A,0),MATCH(DCF!L$51,Model!$3:$3,0))</f>
        <v>3647.6954092466221</v>
      </c>
      <c r="M61" s="175">
        <f ca="1">+L61*(1+$K$36)</f>
        <v>3793.6032256164872</v>
      </c>
    </row>
    <row r="62" spans="2:16383" s="15" customFormat="1">
      <c r="B62" s="148" t="s">
        <v>5</v>
      </c>
      <c r="C62" s="123">
        <f>-IFERROR(-INDEX(Model!$A:$AP,MATCH("Current Tax Rate",Model!$A:$A,0),MATCH(DCF!C$51,Model!$3:$3,0))-INDEX(Model!$A:$AP,MATCH("Deferred Tax Rate",Model!$A:$A,0),MATCH(DCF!C$51,Model!$3:$3,0)),"na")</f>
        <v>0</v>
      </c>
      <c r="D62" s="123">
        <f>-IFERROR(-INDEX(Model!$A:$AP,MATCH("Current Tax Rate",Model!$A:$A,0),MATCH(DCF!D$51,Model!$3:$3,0))-INDEX(Model!$A:$AP,MATCH("Deferred Tax Rate",Model!$A:$A,0),MATCH(DCF!D$51,Model!$3:$3,0)),"na")</f>
        <v>0</v>
      </c>
      <c r="E62" s="123">
        <f>-IFERROR(-INDEX(Model!$A:$AP,MATCH("Current Tax Rate",Model!$A:$A,0),MATCH(DCF!E$51,Model!$3:$3,0))-INDEX(Model!$A:$AP,MATCH("Deferred Tax Rate",Model!$A:$A,0),MATCH(DCF!E$51,Model!$3:$3,0)),"na")</f>
        <v>0</v>
      </c>
      <c r="F62" s="123">
        <f>-IFERROR(-INDEX(Model!$A:$AP,MATCH("Current Tax Rate",Model!$A:$A,0),MATCH(DCF!F$51,Model!$3:$3,0))-INDEX(Model!$A:$AP,MATCH("Deferred Tax Rate",Model!$A:$A,0),MATCH(DCF!F$51,Model!$3:$3,0)),"na")</f>
        <v>-0.23</v>
      </c>
      <c r="G62" s="123">
        <f>-IFERROR(-INDEX(Model!$A:$AP,MATCH("Current Tax Rate",Model!$A:$A,0),MATCH(DCF!G$51,Model!$3:$3,0))-INDEX(Model!$A:$AP,MATCH("Deferred Tax Rate",Model!$A:$A,0),MATCH(DCF!G$51,Model!$3:$3,0)),"na")</f>
        <v>-0.23</v>
      </c>
      <c r="H62" s="123">
        <f>-IFERROR(-INDEX(Model!$A:$AP,MATCH("Current Tax Rate",Model!$A:$A,0),MATCH(DCF!H$51,Model!$3:$3,0))-INDEX(Model!$A:$AP,MATCH("Deferred Tax Rate",Model!$A:$A,0),MATCH(DCF!H$51,Model!$3:$3,0)),"na")</f>
        <v>-0.23</v>
      </c>
      <c r="I62" s="123">
        <f>-IFERROR(-INDEX(Model!$A:$AP,MATCH("Current Tax Rate",Model!$A:$A,0),MATCH(DCF!I$51,Model!$3:$3,0))-INDEX(Model!$A:$AP,MATCH("Deferred Tax Rate",Model!$A:$A,0),MATCH(DCF!I$51,Model!$3:$3,0)),"na")</f>
        <v>-0.23</v>
      </c>
      <c r="J62" s="123">
        <f>-IFERROR(-INDEX(Model!$A:$AP,MATCH("Current Tax Rate",Model!$A:$A,0),MATCH(DCF!J$51,Model!$3:$3,0))-INDEX(Model!$A:$AP,MATCH("Deferred Tax Rate",Model!$A:$A,0),MATCH(DCF!J$51,Model!$3:$3,0)),"na")</f>
        <v>-0.23</v>
      </c>
      <c r="K62" s="123">
        <f>-IFERROR(-INDEX(Model!$A:$AP,MATCH("Current Tax Rate",Model!$A:$A,0),MATCH(DCF!K$51,Model!$3:$3,0))-INDEX(Model!$A:$AP,MATCH("Deferred Tax Rate",Model!$A:$A,0),MATCH(DCF!K$51,Model!$3:$3,0)),"na")</f>
        <v>-0.23</v>
      </c>
      <c r="L62" s="123">
        <f>-IFERROR(-INDEX(Model!$A:$AP,MATCH("Current Tax Rate",Model!$A:$A,0),MATCH(DCF!L$51,Model!$3:$3,0))-INDEX(Model!$A:$AP,MATCH("Deferred Tax Rate",Model!$A:$A,0),MATCH(DCF!L$51,Model!$3:$3,0)),"na")</f>
        <v>-0.23</v>
      </c>
      <c r="M62" s="123">
        <f>-IFERROR(-INDEX(Model!$A:$AP,MATCH("Current Tax Rate",Model!$A:$A,0),MATCH(DCF!M$51,Model!$3:$3,0))-INDEX(Model!$A:$AP,MATCH("Deferred Tax Rate",Model!$A:$A,0),MATCH(DCF!M$51,Model!$3:$3,0)),"na")</f>
        <v>-0.23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</row>
    <row r="63" spans="2:16383">
      <c r="B63" t="s">
        <v>6</v>
      </c>
      <c r="C63" s="159">
        <f>IFERROR(C61*(1+C62),0)</f>
        <v>-343.36100530987557</v>
      </c>
      <c r="D63" s="159">
        <f t="shared" ref="D63:M63" ca="1" si="20">IFERROR(D61*(1+D62),0)</f>
        <v>-197.11207430740325</v>
      </c>
      <c r="E63" s="159">
        <f t="shared" ca="1" si="20"/>
        <v>-26.605921829661611</v>
      </c>
      <c r="F63" s="159">
        <f t="shared" ca="1" si="20"/>
        <v>180.37472093866194</v>
      </c>
      <c r="G63" s="159">
        <f t="shared" ca="1" si="20"/>
        <v>439.90146004188176</v>
      </c>
      <c r="H63" s="159">
        <f t="shared" ca="1" si="20"/>
        <v>770.3751817721444</v>
      </c>
      <c r="I63" s="159">
        <f t="shared" ca="1" si="20"/>
        <v>1183.2195425889706</v>
      </c>
      <c r="J63" s="159">
        <f t="shared" ca="1" si="20"/>
        <v>1646.6740034300165</v>
      </c>
      <c r="K63" s="159">
        <f t="shared" ca="1" si="20"/>
        <v>2182.843948510199</v>
      </c>
      <c r="L63" s="159">
        <f t="shared" ca="1" si="20"/>
        <v>2808.7254651198991</v>
      </c>
      <c r="M63" s="159">
        <f t="shared" ca="1" si="20"/>
        <v>2921.0744837246953</v>
      </c>
    </row>
    <row r="64" spans="2:16383">
      <c r="B64" s="27" t="s">
        <v>7</v>
      </c>
      <c r="C64" s="122">
        <f>-INDEX(Model!$A:$AP,MATCH("DD&amp;A",Model!$A:$A,0),MATCH(DCF!C$51,Model!$3:$3,0))</f>
        <v>122.82525833333335</v>
      </c>
      <c r="D64" s="122">
        <f>-INDEX(Model!$A:$AP,MATCH("DD&amp;A",Model!$A:$A,0),MATCH(DCF!D$51,Model!$3:$3,0))</f>
        <v>167.11348549505175</v>
      </c>
      <c r="E64" s="122">
        <f>-INDEX(Model!$A:$AP,MATCH("DD&amp;A",Model!$A:$A,0),MATCH(DCF!E$51,Model!$3:$3,0))</f>
        <v>219.14302041927954</v>
      </c>
      <c r="F64" s="122">
        <f ca="1">-INDEX(Model!$A:$AP,MATCH("DD&amp;A",Model!$A:$A,0),MATCH(DCF!F$51,Model!$3:$3,0))</f>
        <v>261.75920558527469</v>
      </c>
      <c r="G64" s="122">
        <f ca="1">-INDEX(Model!$A:$AP,MATCH("DD&amp;A",Model!$A:$A,0),MATCH(DCF!G$51,Model!$3:$3,0))</f>
        <v>306.45156028706413</v>
      </c>
      <c r="H64" s="122">
        <f ca="1">-INDEX(Model!$A:$AP,MATCH("DD&amp;A",Model!$A:$A,0),MATCH(DCF!H$51,Model!$3:$3,0))</f>
        <v>353.98318791166622</v>
      </c>
      <c r="I64" s="122">
        <f ca="1">-INDEX(Model!$A:$AP,MATCH("DD&amp;A",Model!$A:$A,0),MATCH(DCF!I$51,Model!$3:$3,0))</f>
        <v>408.61110425297369</v>
      </c>
      <c r="J64" s="122">
        <f ca="1">-INDEX(Model!$A:$AP,MATCH("DD&amp;A",Model!$A:$A,0),MATCH(DCF!J$51,Model!$3:$3,0))</f>
        <v>463.70684453856592</v>
      </c>
      <c r="K64" s="122">
        <f ca="1">-INDEX(Model!$A:$AP,MATCH("DD&amp;A",Model!$A:$A,0),MATCH(DCF!K$51,Model!$3:$3,0))</f>
        <v>520.95636888405625</v>
      </c>
      <c r="L64" s="122">
        <f ca="1">-INDEX(Model!$A:$AP,MATCH("DD&amp;A",Model!$A:$A,0),MATCH(DCF!L$51,Model!$3:$3,0))</f>
        <v>580.66573027528307</v>
      </c>
      <c r="M64" s="122">
        <f ca="1">-INDEX(Model!$A:$AP,MATCH("DD&amp;A",Model!$A:$A,0),MATCH(DCF!M$51,Model!$3:$3,0))</f>
        <v>633.84409844640163</v>
      </c>
    </row>
    <row r="65" spans="2:16383">
      <c r="B65" s="27" t="s">
        <v>212</v>
      </c>
      <c r="C65" s="122">
        <f ca="1">+INDEX(Model!$A:$AP,MATCH("Capex",Model!$A:$A,0),MATCH(DCF!C$51,Model!$3:$3,0))+INDEX(Model!$A:$AP,MATCH("M&amp;A",Model!$A:$A,0),MATCH(DCF!C$51,Model!$3:$3,0))</f>
        <v>-374.69738598861261</v>
      </c>
      <c r="D65" s="122">
        <f ca="1">+INDEX(Model!$A:$AP,MATCH("Capex",Model!$A:$A,0),MATCH(DCF!D$51,Model!$3:$3,0))+INDEX(Model!$A:$AP,MATCH("M&amp;A",Model!$A:$A,0),MATCH(DCF!D$51,Model!$3:$3,0))</f>
        <v>-459.28253919566953</v>
      </c>
      <c r="E65" s="122">
        <f ca="1">+INDEX(Model!$A:$AP,MATCH("Capex",Model!$A:$A,0),MATCH(DCF!E$51,Model!$3:$3,0))+INDEX(Model!$A:$AP,MATCH("M&amp;A",Model!$A:$A,0),MATCH(DCF!E$51,Model!$3:$3,0))</f>
        <v>-448.70457368945728</v>
      </c>
      <c r="F65" s="122">
        <f ca="1">+INDEX(Model!$A:$AP,MATCH("Capex",Model!$A:$A,0),MATCH(DCF!F$51,Model!$3:$3,0))+INDEX(Model!$A:$AP,MATCH("M&amp;A",Model!$A:$A,0),MATCH(DCF!F$51,Model!$3:$3,0))</f>
        <v>-497.82680028817805</v>
      </c>
      <c r="G65" s="122">
        <f ca="1">+INDEX(Model!$A:$AP,MATCH("Capex",Model!$A:$A,0),MATCH(DCF!G$51,Model!$3:$3,0))+INDEX(Model!$A:$AP,MATCH("M&amp;A",Model!$A:$A,0),MATCH(DCF!G$51,Model!$3:$3,0))</f>
        <v>-518.62846998381281</v>
      </c>
      <c r="H65" s="122">
        <f ca="1">+INDEX(Model!$A:$AP,MATCH("Capex",Model!$A:$A,0),MATCH(DCF!H$51,Model!$3:$3,0))+INDEX(Model!$A:$AP,MATCH("M&amp;A",Model!$A:$A,0),MATCH(DCF!H$51,Model!$3:$3,0))</f>
        <v>-592.86665984466435</v>
      </c>
      <c r="I65" s="122">
        <f ca="1">+INDEX(Model!$A:$AP,MATCH("Capex",Model!$A:$A,0),MATCH(DCF!I$51,Model!$3:$3,0))+INDEX(Model!$A:$AP,MATCH("M&amp;A",Model!$A:$A,0),MATCH(DCF!I$51,Model!$3:$3,0))</f>
        <v>-631.76803626771959</v>
      </c>
      <c r="J65" s="122">
        <f ca="1">+INDEX(Model!$A:$AP,MATCH("Capex",Model!$A:$A,0),MATCH(DCF!J$51,Model!$3:$3,0))+INDEX(Model!$A:$AP,MATCH("M&amp;A",Model!$A:$A,0),MATCH(DCF!J$51,Model!$3:$3,0))</f>
        <v>-680.83287846090207</v>
      </c>
      <c r="K65" s="122">
        <f ca="1">+INDEX(Model!$A:$AP,MATCH("Capex",Model!$A:$A,0),MATCH(DCF!K$51,Model!$3:$3,0))+INDEX(Model!$A:$AP,MATCH("M&amp;A",Model!$A:$A,0),MATCH(DCF!K$51,Model!$3:$3,0))</f>
        <v>-732.91426589606476</v>
      </c>
      <c r="L65" s="122">
        <f ca="1">+INDEX(Model!$A:$AP,MATCH("Capex",Model!$A:$A,0),MATCH(DCF!L$51,Model!$3:$3,0))+INDEX(Model!$A:$AP,MATCH("M&amp;A",Model!$A:$A,0),MATCH(DCF!L$51,Model!$3:$3,0))</f>
        <v>-787.5324855149687</v>
      </c>
      <c r="M65" s="150">
        <f ca="1">(M63*-INDEX($J$37:$L$37,MATCH($L$85,$J$36:$L$36,0)))-M64-M66</f>
        <v>-1024.6016679519189</v>
      </c>
    </row>
    <row r="66" spans="2:16383">
      <c r="B66" s="27" t="s">
        <v>129</v>
      </c>
      <c r="C66" s="122">
        <f>+INDEX(Model!$A:$AP,MATCH("Change in NWC",Model!$A:$A,0),MATCH(DCF!C$51,Model!$3:$3,0))</f>
        <v>-411.36546260921943</v>
      </c>
      <c r="D66" s="122">
        <f>+INDEX(Model!$A:$AP,MATCH("Change in NWC",Model!$A:$A,0),MATCH(DCF!D$51,Model!$3:$3,0))</f>
        <v>-521.39963571809631</v>
      </c>
      <c r="E66" s="122">
        <f ca="1">+INDEX(Model!$A:$AP,MATCH("Change in NWC",Model!$A:$A,0),MATCH(DCF!E$51,Model!$3:$3,0))</f>
        <v>-479.65865161211173</v>
      </c>
      <c r="F66" s="122">
        <f ca="1">+INDEX(Model!$A:$AP,MATCH("Change in NWC",Model!$A:$A,0),MATCH(DCF!F$51,Model!$3:$3,0))</f>
        <v>-494.37807322822573</v>
      </c>
      <c r="G66" s="122">
        <f ca="1">+INDEX(Model!$A:$AP,MATCH("Change in NWC",Model!$A:$A,0),MATCH(DCF!G$51,Model!$3:$3,0))</f>
        <v>-510.03131757490473</v>
      </c>
      <c r="H66" s="122">
        <f ca="1">+INDEX(Model!$A:$AP,MATCH("Change in NWC",Model!$A:$A,0),MATCH(DCF!H$51,Model!$3:$3,0))</f>
        <v>-472.69485527414099</v>
      </c>
      <c r="I66" s="122">
        <f ca="1">+INDEX(Model!$A:$AP,MATCH("Change in NWC",Model!$A:$A,0),MATCH(DCF!I$51,Model!$3:$3,0))</f>
        <v>-489.36443846865768</v>
      </c>
      <c r="J66" s="122">
        <f ca="1">+INDEX(Model!$A:$AP,MATCH("Change in NWC",Model!$A:$A,0),MATCH(DCF!J$51,Model!$3:$3,0))</f>
        <v>-504.43439835335721</v>
      </c>
      <c r="K66" s="122">
        <f ca="1">+INDEX(Model!$A:$AP,MATCH("Change in NWC",Model!$A:$A,0),MATCH(DCF!K$51,Model!$3:$3,0))</f>
        <v>-521.75282136326496</v>
      </c>
      <c r="L66" s="122">
        <f ca="1">+INDEX(Model!$A:$AP,MATCH("Change in NWC",Model!$A:$A,0),MATCH(DCF!L$51,Model!$3:$3,0))</f>
        <v>-540.24532546527371</v>
      </c>
      <c r="M66" s="122">
        <f ca="1">+INDEX(Model!$A:$AP,MATCH("Change in NWC",Model!$A:$A,0),MATCH(DCF!M$51,Model!$3:$3,0))</f>
        <v>-370.82510037968314</v>
      </c>
      <c r="O66" s="15"/>
      <c r="P66" s="15"/>
      <c r="Q66" s="15"/>
      <c r="R66" s="15"/>
      <c r="S66" s="15"/>
      <c r="T66" s="15"/>
      <c r="U66" s="15"/>
      <c r="V66" s="15"/>
    </row>
    <row r="67" spans="2:16383">
      <c r="B67" s="27" t="s">
        <v>114</v>
      </c>
      <c r="C67" s="122">
        <f ca="1">+INDEX(Model!$A:$AP,MATCH("Deferred taxes",Model!$A:$A,0),MATCH(DCF!C$51,Model!$3:$3,0))</f>
        <v>0</v>
      </c>
      <c r="D67" s="122">
        <f ca="1">+INDEX(Model!$A:$AP,MATCH("Deferred taxes",Model!$A:$A,0),MATCH(DCF!D$51,Model!$3:$3,0))</f>
        <v>0</v>
      </c>
      <c r="E67" s="122">
        <f ca="1">+INDEX(Model!$A:$AP,MATCH("Deferred taxes",Model!$A:$A,0),MATCH(DCF!E$51,Model!$3:$3,0))</f>
        <v>0</v>
      </c>
      <c r="F67" s="122">
        <f ca="1">+INDEX(Model!$A:$AP,MATCH("Deferred taxes",Model!$A:$A,0),MATCH(DCF!F$51,Model!$3:$3,0))</f>
        <v>0</v>
      </c>
      <c r="G67" s="122">
        <f ca="1">+INDEX(Model!$A:$AP,MATCH("Deferred taxes",Model!$A:$A,0),MATCH(DCF!G$51,Model!$3:$3,0))</f>
        <v>0</v>
      </c>
      <c r="H67" s="122">
        <f ca="1">+INDEX(Model!$A:$AP,MATCH("Deferred taxes",Model!$A:$A,0),MATCH(DCF!H$51,Model!$3:$3,0))</f>
        <v>0</v>
      </c>
      <c r="I67" s="122">
        <f ca="1">+INDEX(Model!$A:$AP,MATCH("Deferred taxes",Model!$A:$A,0),MATCH(DCF!I$51,Model!$3:$3,0))</f>
        <v>0</v>
      </c>
      <c r="J67" s="122">
        <f ca="1">+INDEX(Model!$A:$AP,MATCH("Deferred taxes",Model!$A:$A,0),MATCH(DCF!J$51,Model!$3:$3,0))</f>
        <v>0</v>
      </c>
      <c r="K67" s="122">
        <f ca="1">+INDEX(Model!$A:$AP,MATCH("Deferred taxes",Model!$A:$A,0),MATCH(DCF!K$51,Model!$3:$3,0))</f>
        <v>0</v>
      </c>
      <c r="L67" s="122">
        <f ca="1">+INDEX(Model!$A:$AP,MATCH("Deferred taxes",Model!$A:$A,0),MATCH(DCF!L$51,Model!$3:$3,0))</f>
        <v>0</v>
      </c>
      <c r="M67" s="122">
        <f ca="1">+INDEX(Model!$A:$AP,MATCH("Deferred taxes",Model!$A:$A,0),MATCH(DCF!M$51,Model!$3:$3,0))</f>
        <v>0</v>
      </c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2:16383">
      <c r="B68" s="2" t="s">
        <v>10</v>
      </c>
      <c r="C68" s="8">
        <f ca="1">SUM(C63:C67)</f>
        <v>-1006.5985955743743</v>
      </c>
      <c r="D68" s="8">
        <f t="shared" ref="D68:K68" ca="1" si="21">SUM(D63:D67)</f>
        <v>-1010.6807637261173</v>
      </c>
      <c r="E68" s="8">
        <f t="shared" ca="1" si="21"/>
        <v>-735.82612671195102</v>
      </c>
      <c r="F68" s="8">
        <f t="shared" ca="1" si="21"/>
        <v>-550.07094699246716</v>
      </c>
      <c r="G68" s="8">
        <f t="shared" ca="1" si="21"/>
        <v>-282.30676722977171</v>
      </c>
      <c r="H68" s="8">
        <f t="shared" ca="1" si="21"/>
        <v>58.796854565005333</v>
      </c>
      <c r="I68" s="8">
        <f t="shared" ca="1" si="21"/>
        <v>470.6981721055671</v>
      </c>
      <c r="J68" s="8">
        <f t="shared" ca="1" si="21"/>
        <v>925.11357115432293</v>
      </c>
      <c r="K68" s="8">
        <f t="shared" ca="1" si="21"/>
        <v>1449.1332301349255</v>
      </c>
      <c r="L68" s="8">
        <f ca="1">SUM(L63:L67)</f>
        <v>2061.6133844149394</v>
      </c>
      <c r="M68" s="8">
        <f ca="1">SUM(M63:M67)</f>
        <v>2159.4918138394951</v>
      </c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  <c r="AJD68" s="15"/>
      <c r="AJE68" s="15"/>
      <c r="AJF68" s="15"/>
      <c r="AJG68" s="15"/>
      <c r="AJH68" s="15"/>
      <c r="AJI68" s="15"/>
      <c r="AJJ68" s="15"/>
      <c r="AJK68" s="15"/>
      <c r="AJL68" s="15"/>
      <c r="AJM68" s="15"/>
      <c r="AJN68" s="15"/>
      <c r="AJO68" s="15"/>
      <c r="AJP68" s="15"/>
      <c r="AJQ68" s="15"/>
      <c r="AJR68" s="15"/>
      <c r="AJS68" s="15"/>
      <c r="AJT68" s="15"/>
      <c r="AJU68" s="15"/>
      <c r="AJV68" s="15"/>
      <c r="AJW68" s="15"/>
      <c r="AJX68" s="15"/>
      <c r="AJY68" s="15"/>
      <c r="AJZ68" s="15"/>
      <c r="AKA68" s="15"/>
      <c r="AKB68" s="15"/>
      <c r="AKC68" s="15"/>
      <c r="AKD68" s="15"/>
      <c r="AKE68" s="15"/>
      <c r="AKF68" s="15"/>
      <c r="AKG68" s="15"/>
      <c r="AKH68" s="15"/>
      <c r="AKI68" s="15"/>
      <c r="AKJ68" s="15"/>
      <c r="AKK68" s="15"/>
      <c r="AKL68" s="15"/>
      <c r="AKM68" s="15"/>
      <c r="AKN68" s="15"/>
      <c r="AKO68" s="15"/>
      <c r="AKP68" s="15"/>
      <c r="AKQ68" s="15"/>
      <c r="AKR68" s="15"/>
      <c r="AKS68" s="15"/>
      <c r="AKT68" s="15"/>
      <c r="AKU68" s="15"/>
      <c r="AKV68" s="15"/>
      <c r="AKW68" s="15"/>
      <c r="AKX68" s="15"/>
      <c r="AKY68" s="15"/>
      <c r="AKZ68" s="15"/>
      <c r="ALA68" s="15"/>
      <c r="ALB68" s="15"/>
      <c r="ALC68" s="15"/>
      <c r="ALD68" s="15"/>
      <c r="ALE68" s="15"/>
      <c r="ALF68" s="15"/>
      <c r="ALG68" s="15"/>
      <c r="ALH68" s="15"/>
      <c r="ALI68" s="15"/>
      <c r="ALJ68" s="15"/>
      <c r="ALK68" s="15"/>
      <c r="ALL68" s="15"/>
      <c r="ALM68" s="15"/>
      <c r="ALN68" s="15"/>
      <c r="ALO68" s="15"/>
      <c r="ALP68" s="15"/>
      <c r="ALQ68" s="15"/>
      <c r="ALR68" s="15"/>
      <c r="ALS68" s="15"/>
      <c r="ALT68" s="15"/>
      <c r="ALU68" s="15"/>
      <c r="ALV68" s="15"/>
      <c r="ALW68" s="15"/>
      <c r="ALX68" s="15"/>
      <c r="ALY68" s="15"/>
      <c r="ALZ68" s="15"/>
      <c r="AMA68" s="15"/>
      <c r="AMB68" s="15"/>
      <c r="AMC68" s="15"/>
      <c r="AMD68" s="15"/>
      <c r="AME68" s="15"/>
      <c r="AMF68" s="15"/>
      <c r="AMG68" s="15"/>
      <c r="AMH68" s="15"/>
      <c r="AMI68" s="15"/>
      <c r="AMJ68" s="15"/>
      <c r="AMK68" s="15"/>
      <c r="AML68" s="15"/>
      <c r="AMM68" s="15"/>
      <c r="AMN68" s="15"/>
      <c r="AMO68" s="15"/>
      <c r="AMP68" s="15"/>
      <c r="AMQ68" s="15"/>
      <c r="AMR68" s="15"/>
      <c r="AMS68" s="15"/>
      <c r="AMT68" s="15"/>
      <c r="AMU68" s="15"/>
      <c r="AMV68" s="15"/>
      <c r="AMW68" s="15"/>
      <c r="AMX68" s="15"/>
      <c r="AMY68" s="15"/>
      <c r="AMZ68" s="15"/>
      <c r="ANA68" s="15"/>
      <c r="ANB68" s="15"/>
      <c r="ANC68" s="15"/>
      <c r="AND68" s="15"/>
      <c r="ANE68" s="15"/>
      <c r="ANF68" s="15"/>
      <c r="ANG68" s="15"/>
      <c r="ANH68" s="15"/>
      <c r="ANI68" s="15"/>
      <c r="ANJ68" s="15"/>
      <c r="ANK68" s="15"/>
      <c r="ANL68" s="15"/>
      <c r="ANM68" s="15"/>
      <c r="ANN68" s="15"/>
      <c r="ANO68" s="15"/>
      <c r="ANP68" s="15"/>
      <c r="ANQ68" s="15"/>
      <c r="ANR68" s="15"/>
      <c r="ANS68" s="15"/>
      <c r="ANT68" s="15"/>
      <c r="ANU68" s="15"/>
      <c r="ANV68" s="15"/>
      <c r="ANW68" s="15"/>
      <c r="ANX68" s="15"/>
      <c r="ANY68" s="15"/>
      <c r="ANZ68" s="15"/>
      <c r="AOA68" s="15"/>
      <c r="AOB68" s="15"/>
      <c r="AOC68" s="15"/>
      <c r="AOD68" s="15"/>
      <c r="AOE68" s="15"/>
      <c r="AOF68" s="15"/>
      <c r="AOG68" s="15"/>
      <c r="AOH68" s="15"/>
      <c r="AOI68" s="15"/>
      <c r="AOJ68" s="15"/>
      <c r="AOK68" s="15"/>
      <c r="AOL68" s="15"/>
      <c r="AOM68" s="15"/>
      <c r="AON68" s="15"/>
      <c r="AOO68" s="15"/>
      <c r="AOP68" s="15"/>
      <c r="AOQ68" s="15"/>
      <c r="AOR68" s="15"/>
      <c r="AOS68" s="15"/>
      <c r="AOT68" s="15"/>
      <c r="AOU68" s="15"/>
      <c r="AOV68" s="15"/>
      <c r="AOW68" s="15"/>
      <c r="AOX68" s="15"/>
      <c r="AOY68" s="15"/>
      <c r="AOZ68" s="15"/>
      <c r="APA68" s="15"/>
      <c r="APB68" s="15"/>
      <c r="APC68" s="15"/>
      <c r="APD68" s="15"/>
      <c r="APE68" s="15"/>
      <c r="APF68" s="15"/>
      <c r="APG68" s="15"/>
      <c r="APH68" s="15"/>
      <c r="API68" s="15"/>
      <c r="APJ68" s="15"/>
      <c r="APK68" s="15"/>
      <c r="APL68" s="15"/>
      <c r="APM68" s="15"/>
      <c r="APN68" s="15"/>
      <c r="APO68" s="15"/>
      <c r="APP68" s="15"/>
      <c r="APQ68" s="15"/>
      <c r="APR68" s="15"/>
      <c r="APS68" s="15"/>
      <c r="APT68" s="15"/>
      <c r="APU68" s="15"/>
      <c r="APV68" s="15"/>
      <c r="APW68" s="15"/>
      <c r="APX68" s="15"/>
      <c r="APY68" s="15"/>
      <c r="APZ68" s="15"/>
      <c r="AQA68" s="15"/>
      <c r="AQB68" s="15"/>
      <c r="AQC68" s="15"/>
      <c r="AQD68" s="15"/>
      <c r="AQE68" s="15"/>
      <c r="AQF68" s="15"/>
      <c r="AQG68" s="15"/>
      <c r="AQH68" s="15"/>
      <c r="AQI68" s="15"/>
      <c r="AQJ68" s="15"/>
      <c r="AQK68" s="15"/>
      <c r="AQL68" s="15"/>
      <c r="AQM68" s="15"/>
      <c r="AQN68" s="15"/>
      <c r="AQO68" s="15"/>
      <c r="AQP68" s="15"/>
      <c r="AQQ68" s="15"/>
      <c r="AQR68" s="15"/>
      <c r="AQS68" s="15"/>
      <c r="AQT68" s="15"/>
      <c r="AQU68" s="15"/>
      <c r="AQV68" s="15"/>
      <c r="AQW68" s="15"/>
      <c r="AQX68" s="15"/>
      <c r="AQY68" s="15"/>
      <c r="AQZ68" s="15"/>
      <c r="ARA68" s="15"/>
      <c r="ARB68" s="15"/>
      <c r="ARC68" s="15"/>
      <c r="ARD68" s="15"/>
      <c r="ARE68" s="15"/>
      <c r="ARF68" s="15"/>
      <c r="ARG68" s="15"/>
      <c r="ARH68" s="15"/>
      <c r="ARI68" s="15"/>
      <c r="ARJ68" s="15"/>
      <c r="ARK68" s="15"/>
      <c r="ARL68" s="15"/>
      <c r="ARM68" s="15"/>
      <c r="ARN68" s="15"/>
      <c r="ARO68" s="15"/>
      <c r="ARP68" s="15"/>
      <c r="ARQ68" s="15"/>
      <c r="ARR68" s="15"/>
      <c r="ARS68" s="15"/>
      <c r="ART68" s="15"/>
      <c r="ARU68" s="15"/>
      <c r="ARV68" s="15"/>
      <c r="ARW68" s="15"/>
      <c r="ARX68" s="15"/>
      <c r="ARY68" s="15"/>
      <c r="ARZ68" s="15"/>
      <c r="ASA68" s="15"/>
      <c r="ASB68" s="15"/>
      <c r="ASC68" s="15"/>
      <c r="ASD68" s="15"/>
      <c r="ASE68" s="15"/>
      <c r="ASF68" s="15"/>
      <c r="ASG68" s="15"/>
      <c r="ASH68" s="15"/>
      <c r="ASI68" s="15"/>
      <c r="ASJ68" s="15"/>
      <c r="ASK68" s="15"/>
      <c r="ASL68" s="15"/>
      <c r="ASM68" s="15"/>
      <c r="ASN68" s="15"/>
      <c r="ASO68" s="15"/>
      <c r="ASP68" s="15"/>
      <c r="ASQ68" s="15"/>
      <c r="ASR68" s="15"/>
      <c r="ASS68" s="15"/>
      <c r="AST68" s="15"/>
      <c r="ASU68" s="15"/>
      <c r="ASV68" s="15"/>
      <c r="ASW68" s="15"/>
      <c r="ASX68" s="15"/>
      <c r="ASY68" s="15"/>
      <c r="ASZ68" s="15"/>
      <c r="ATA68" s="15"/>
      <c r="ATB68" s="15"/>
      <c r="ATC68" s="15"/>
      <c r="ATD68" s="15"/>
      <c r="ATE68" s="15"/>
      <c r="ATF68" s="15"/>
      <c r="ATG68" s="15"/>
      <c r="ATH68" s="15"/>
      <c r="ATI68" s="15"/>
      <c r="ATJ68" s="15"/>
      <c r="ATK68" s="15"/>
      <c r="ATL68" s="15"/>
      <c r="ATM68" s="15"/>
      <c r="ATN68" s="15"/>
      <c r="ATO68" s="15"/>
      <c r="ATP68" s="15"/>
      <c r="ATQ68" s="15"/>
      <c r="ATR68" s="15"/>
      <c r="ATS68" s="15"/>
      <c r="ATT68" s="15"/>
      <c r="ATU68" s="15"/>
      <c r="ATV68" s="15"/>
      <c r="ATW68" s="15"/>
      <c r="ATX68" s="15"/>
      <c r="ATY68" s="15"/>
      <c r="ATZ68" s="15"/>
      <c r="AUA68" s="15"/>
      <c r="AUB68" s="15"/>
      <c r="AUC68" s="15"/>
      <c r="AUD68" s="15"/>
      <c r="AUE68" s="15"/>
      <c r="AUF68" s="15"/>
      <c r="AUG68" s="15"/>
      <c r="AUH68" s="15"/>
      <c r="AUI68" s="15"/>
      <c r="AUJ68" s="15"/>
      <c r="AUK68" s="15"/>
      <c r="AUL68" s="15"/>
      <c r="AUM68" s="15"/>
      <c r="AUN68" s="15"/>
      <c r="AUO68" s="15"/>
      <c r="AUP68" s="15"/>
      <c r="AUQ68" s="15"/>
      <c r="AUR68" s="15"/>
      <c r="AUS68" s="15"/>
      <c r="AUT68" s="15"/>
      <c r="AUU68" s="15"/>
      <c r="AUV68" s="15"/>
      <c r="AUW68" s="15"/>
      <c r="AUX68" s="15"/>
      <c r="AUY68" s="15"/>
      <c r="AUZ68" s="15"/>
      <c r="AVA68" s="15"/>
      <c r="AVB68" s="15"/>
      <c r="AVC68" s="15"/>
      <c r="AVD68" s="15"/>
      <c r="AVE68" s="15"/>
      <c r="AVF68" s="15"/>
      <c r="AVG68" s="15"/>
      <c r="AVH68" s="15"/>
      <c r="AVI68" s="15"/>
      <c r="AVJ68" s="15"/>
      <c r="AVK68" s="15"/>
      <c r="AVL68" s="15"/>
      <c r="AVM68" s="15"/>
      <c r="AVN68" s="15"/>
      <c r="AVO68" s="15"/>
      <c r="AVP68" s="15"/>
      <c r="AVQ68" s="15"/>
      <c r="AVR68" s="15"/>
      <c r="AVS68" s="15"/>
      <c r="AVT68" s="15"/>
      <c r="AVU68" s="15"/>
      <c r="AVV68" s="15"/>
      <c r="AVW68" s="15"/>
      <c r="AVX68" s="15"/>
      <c r="AVY68" s="15"/>
      <c r="AVZ68" s="15"/>
      <c r="AWA68" s="15"/>
      <c r="AWB68" s="15"/>
      <c r="AWC68" s="15"/>
      <c r="AWD68" s="15"/>
      <c r="AWE68" s="15"/>
      <c r="AWF68" s="15"/>
      <c r="AWG68" s="15"/>
      <c r="AWH68" s="15"/>
      <c r="AWI68" s="15"/>
      <c r="AWJ68" s="15"/>
      <c r="AWK68" s="15"/>
      <c r="AWL68" s="15"/>
      <c r="AWM68" s="15"/>
      <c r="AWN68" s="15"/>
      <c r="AWO68" s="15"/>
      <c r="AWP68" s="15"/>
      <c r="AWQ68" s="15"/>
      <c r="AWR68" s="15"/>
      <c r="AWS68" s="15"/>
      <c r="AWT68" s="15"/>
      <c r="AWU68" s="15"/>
      <c r="AWV68" s="15"/>
      <c r="AWW68" s="15"/>
      <c r="AWX68" s="15"/>
      <c r="AWY68" s="15"/>
      <c r="AWZ68" s="15"/>
      <c r="AXA68" s="15"/>
      <c r="AXB68" s="15"/>
      <c r="AXC68" s="15"/>
      <c r="AXD68" s="15"/>
      <c r="AXE68" s="15"/>
      <c r="AXF68" s="15"/>
      <c r="AXG68" s="15"/>
      <c r="AXH68" s="15"/>
      <c r="AXI68" s="15"/>
      <c r="AXJ68" s="15"/>
      <c r="AXK68" s="15"/>
      <c r="AXL68" s="15"/>
      <c r="AXM68" s="15"/>
      <c r="AXN68" s="15"/>
      <c r="AXO68" s="15"/>
      <c r="AXP68" s="15"/>
      <c r="AXQ68" s="15"/>
      <c r="AXR68" s="15"/>
      <c r="AXS68" s="15"/>
      <c r="AXT68" s="15"/>
      <c r="AXU68" s="15"/>
      <c r="AXV68" s="15"/>
      <c r="AXW68" s="15"/>
      <c r="AXX68" s="15"/>
      <c r="AXY68" s="15"/>
      <c r="AXZ68" s="15"/>
      <c r="AYA68" s="15"/>
      <c r="AYB68" s="15"/>
      <c r="AYC68" s="15"/>
      <c r="AYD68" s="15"/>
      <c r="AYE68" s="15"/>
      <c r="AYF68" s="15"/>
      <c r="AYG68" s="15"/>
      <c r="AYH68" s="15"/>
      <c r="AYI68" s="15"/>
      <c r="AYJ68" s="15"/>
      <c r="AYK68" s="15"/>
      <c r="AYL68" s="15"/>
      <c r="AYM68" s="15"/>
      <c r="AYN68" s="15"/>
      <c r="AYO68" s="15"/>
      <c r="AYP68" s="15"/>
      <c r="AYQ68" s="15"/>
      <c r="AYR68" s="15"/>
      <c r="AYS68" s="15"/>
      <c r="AYT68" s="15"/>
      <c r="AYU68" s="15"/>
      <c r="AYV68" s="15"/>
      <c r="AYW68" s="15"/>
      <c r="AYX68" s="15"/>
      <c r="AYY68" s="15"/>
      <c r="AYZ68" s="15"/>
      <c r="AZA68" s="15"/>
      <c r="AZB68" s="15"/>
      <c r="AZC68" s="15"/>
      <c r="AZD68" s="15"/>
      <c r="AZE68" s="15"/>
      <c r="AZF68" s="15"/>
      <c r="AZG68" s="15"/>
      <c r="AZH68" s="15"/>
      <c r="AZI68" s="15"/>
      <c r="AZJ68" s="15"/>
      <c r="AZK68" s="15"/>
      <c r="AZL68" s="15"/>
      <c r="AZM68" s="15"/>
      <c r="AZN68" s="15"/>
      <c r="AZO68" s="15"/>
      <c r="AZP68" s="15"/>
      <c r="AZQ68" s="15"/>
      <c r="AZR68" s="15"/>
      <c r="AZS68" s="15"/>
      <c r="AZT68" s="15"/>
      <c r="AZU68" s="15"/>
      <c r="AZV68" s="15"/>
      <c r="AZW68" s="15"/>
      <c r="AZX68" s="15"/>
      <c r="AZY68" s="15"/>
      <c r="AZZ68" s="15"/>
      <c r="BAA68" s="15"/>
      <c r="BAB68" s="15"/>
      <c r="BAC68" s="15"/>
      <c r="BAD68" s="15"/>
      <c r="BAE68" s="15"/>
      <c r="BAF68" s="15"/>
      <c r="BAG68" s="15"/>
      <c r="BAH68" s="15"/>
      <c r="BAI68" s="15"/>
      <c r="BAJ68" s="15"/>
      <c r="BAK68" s="15"/>
      <c r="BAL68" s="15"/>
      <c r="BAM68" s="15"/>
      <c r="BAN68" s="15"/>
      <c r="BAO68" s="15"/>
      <c r="BAP68" s="15"/>
      <c r="BAQ68" s="15"/>
      <c r="BAR68" s="15"/>
      <c r="BAS68" s="15"/>
      <c r="BAT68" s="15"/>
      <c r="BAU68" s="15"/>
      <c r="BAV68" s="15"/>
      <c r="BAW68" s="15"/>
      <c r="BAX68" s="15"/>
      <c r="BAY68" s="15"/>
      <c r="BAZ68" s="15"/>
      <c r="BBA68" s="15"/>
      <c r="BBB68" s="15"/>
      <c r="BBC68" s="15"/>
      <c r="BBD68" s="15"/>
      <c r="BBE68" s="15"/>
      <c r="BBF68" s="15"/>
      <c r="BBG68" s="15"/>
      <c r="BBH68" s="15"/>
      <c r="BBI68" s="15"/>
      <c r="BBJ68" s="15"/>
      <c r="BBK68" s="15"/>
      <c r="BBL68" s="15"/>
      <c r="BBM68" s="15"/>
      <c r="BBN68" s="15"/>
      <c r="BBO68" s="15"/>
      <c r="BBP68" s="15"/>
      <c r="BBQ68" s="15"/>
      <c r="BBR68" s="15"/>
      <c r="BBS68" s="15"/>
      <c r="BBT68" s="15"/>
      <c r="BBU68" s="15"/>
      <c r="BBV68" s="15"/>
      <c r="BBW68" s="15"/>
      <c r="BBX68" s="15"/>
      <c r="BBY68" s="15"/>
      <c r="BBZ68" s="15"/>
      <c r="BCA68" s="15"/>
      <c r="BCB68" s="15"/>
      <c r="BCC68" s="15"/>
      <c r="BCD68" s="15"/>
      <c r="BCE68" s="15"/>
      <c r="BCF68" s="15"/>
      <c r="BCG68" s="15"/>
      <c r="BCH68" s="15"/>
      <c r="BCI68" s="15"/>
      <c r="BCJ68" s="15"/>
      <c r="BCK68" s="15"/>
      <c r="BCL68" s="15"/>
      <c r="BCM68" s="15"/>
      <c r="BCN68" s="15"/>
      <c r="BCO68" s="15"/>
      <c r="BCP68" s="15"/>
      <c r="BCQ68" s="15"/>
      <c r="BCR68" s="15"/>
      <c r="BCS68" s="15"/>
      <c r="BCT68" s="15"/>
      <c r="BCU68" s="15"/>
      <c r="BCV68" s="15"/>
      <c r="BCW68" s="15"/>
      <c r="BCX68" s="15"/>
      <c r="BCY68" s="15"/>
      <c r="BCZ68" s="15"/>
      <c r="BDA68" s="15"/>
      <c r="BDB68" s="15"/>
      <c r="BDC68" s="15"/>
      <c r="BDD68" s="15"/>
      <c r="BDE68" s="15"/>
      <c r="BDF68" s="15"/>
      <c r="BDG68" s="15"/>
      <c r="BDH68" s="15"/>
      <c r="BDI68" s="15"/>
      <c r="BDJ68" s="15"/>
      <c r="BDK68" s="15"/>
      <c r="BDL68" s="15"/>
      <c r="BDM68" s="15"/>
      <c r="BDN68" s="15"/>
      <c r="BDO68" s="15"/>
      <c r="BDP68" s="15"/>
      <c r="BDQ68" s="15"/>
      <c r="BDR68" s="15"/>
      <c r="BDS68" s="15"/>
      <c r="BDT68" s="15"/>
      <c r="BDU68" s="15"/>
      <c r="BDV68" s="15"/>
      <c r="BDW68" s="15"/>
      <c r="BDX68" s="15"/>
      <c r="BDY68" s="15"/>
      <c r="BDZ68" s="15"/>
      <c r="BEA68" s="15"/>
      <c r="BEB68" s="15"/>
      <c r="BEC68" s="15"/>
      <c r="BED68" s="15"/>
      <c r="BEE68" s="15"/>
      <c r="BEF68" s="15"/>
      <c r="BEG68" s="15"/>
      <c r="BEH68" s="15"/>
      <c r="BEI68" s="15"/>
      <c r="BEJ68" s="15"/>
      <c r="BEK68" s="15"/>
      <c r="BEL68" s="15"/>
      <c r="BEM68" s="15"/>
      <c r="BEN68" s="15"/>
      <c r="BEO68" s="15"/>
      <c r="BEP68" s="15"/>
      <c r="BEQ68" s="15"/>
      <c r="BER68" s="15"/>
      <c r="BES68" s="15"/>
      <c r="BET68" s="15"/>
      <c r="BEU68" s="15"/>
      <c r="BEV68" s="15"/>
      <c r="BEW68" s="15"/>
      <c r="BEX68" s="15"/>
      <c r="BEY68" s="15"/>
      <c r="BEZ68" s="15"/>
      <c r="BFA68" s="15"/>
      <c r="BFB68" s="15"/>
      <c r="BFC68" s="15"/>
      <c r="BFD68" s="15"/>
      <c r="BFE68" s="15"/>
      <c r="BFF68" s="15"/>
      <c r="BFG68" s="15"/>
      <c r="BFH68" s="15"/>
      <c r="BFI68" s="15"/>
      <c r="BFJ68" s="15"/>
      <c r="BFK68" s="15"/>
      <c r="BFL68" s="15"/>
      <c r="BFM68" s="15"/>
      <c r="BFN68" s="15"/>
      <c r="BFO68" s="15"/>
      <c r="BFP68" s="15"/>
      <c r="BFQ68" s="15"/>
      <c r="BFR68" s="15"/>
      <c r="BFS68" s="15"/>
      <c r="BFT68" s="15"/>
      <c r="BFU68" s="15"/>
      <c r="BFV68" s="15"/>
      <c r="BFW68" s="15"/>
      <c r="BFX68" s="15"/>
      <c r="BFY68" s="15"/>
      <c r="BFZ68" s="15"/>
      <c r="BGA68" s="15"/>
      <c r="BGB68" s="15"/>
      <c r="BGC68" s="15"/>
      <c r="BGD68" s="15"/>
      <c r="BGE68" s="15"/>
      <c r="BGF68" s="15"/>
      <c r="BGG68" s="15"/>
      <c r="BGH68" s="15"/>
      <c r="BGI68" s="15"/>
      <c r="BGJ68" s="15"/>
      <c r="BGK68" s="15"/>
      <c r="BGL68" s="15"/>
      <c r="BGM68" s="15"/>
      <c r="BGN68" s="15"/>
      <c r="BGO68" s="15"/>
      <c r="BGP68" s="15"/>
      <c r="BGQ68" s="15"/>
      <c r="BGR68" s="15"/>
      <c r="BGS68" s="15"/>
      <c r="BGT68" s="15"/>
      <c r="BGU68" s="15"/>
      <c r="BGV68" s="15"/>
      <c r="BGW68" s="15"/>
      <c r="BGX68" s="15"/>
      <c r="BGY68" s="15"/>
      <c r="BGZ68" s="15"/>
      <c r="BHA68" s="15"/>
      <c r="BHB68" s="15"/>
      <c r="BHC68" s="15"/>
      <c r="BHD68" s="15"/>
      <c r="BHE68" s="15"/>
      <c r="BHF68" s="15"/>
      <c r="BHG68" s="15"/>
      <c r="BHH68" s="15"/>
      <c r="BHI68" s="15"/>
      <c r="BHJ68" s="15"/>
      <c r="BHK68" s="15"/>
      <c r="BHL68" s="15"/>
      <c r="BHM68" s="15"/>
      <c r="BHN68" s="15"/>
      <c r="BHO68" s="15"/>
      <c r="BHP68" s="15"/>
      <c r="BHQ68" s="15"/>
      <c r="BHR68" s="15"/>
      <c r="BHS68" s="15"/>
      <c r="BHT68" s="15"/>
      <c r="BHU68" s="15"/>
      <c r="BHV68" s="15"/>
      <c r="BHW68" s="15"/>
      <c r="BHX68" s="15"/>
      <c r="BHY68" s="15"/>
      <c r="BHZ68" s="15"/>
      <c r="BIA68" s="15"/>
      <c r="BIB68" s="15"/>
      <c r="BIC68" s="15"/>
      <c r="BID68" s="15"/>
      <c r="BIE68" s="15"/>
      <c r="BIF68" s="15"/>
      <c r="BIG68" s="15"/>
      <c r="BIH68" s="15"/>
      <c r="BII68" s="15"/>
      <c r="BIJ68" s="15"/>
      <c r="BIK68" s="15"/>
      <c r="BIL68" s="15"/>
      <c r="BIM68" s="15"/>
      <c r="BIN68" s="15"/>
      <c r="BIO68" s="15"/>
      <c r="BIP68" s="15"/>
      <c r="BIQ68" s="15"/>
      <c r="BIR68" s="15"/>
      <c r="BIS68" s="15"/>
      <c r="BIT68" s="15"/>
      <c r="BIU68" s="15"/>
      <c r="BIV68" s="15"/>
      <c r="BIW68" s="15"/>
      <c r="BIX68" s="15"/>
      <c r="BIY68" s="15"/>
      <c r="BIZ68" s="15"/>
      <c r="BJA68" s="15"/>
      <c r="BJB68" s="15"/>
      <c r="BJC68" s="15"/>
      <c r="BJD68" s="15"/>
      <c r="BJE68" s="15"/>
      <c r="BJF68" s="15"/>
      <c r="BJG68" s="15"/>
      <c r="BJH68" s="15"/>
      <c r="BJI68" s="15"/>
      <c r="BJJ68" s="15"/>
      <c r="BJK68" s="15"/>
      <c r="BJL68" s="15"/>
      <c r="BJM68" s="15"/>
      <c r="BJN68" s="15"/>
      <c r="BJO68" s="15"/>
      <c r="BJP68" s="15"/>
      <c r="BJQ68" s="15"/>
      <c r="BJR68" s="15"/>
      <c r="BJS68" s="15"/>
      <c r="BJT68" s="15"/>
      <c r="BJU68" s="15"/>
      <c r="BJV68" s="15"/>
      <c r="BJW68" s="15"/>
      <c r="BJX68" s="15"/>
      <c r="BJY68" s="15"/>
      <c r="BJZ68" s="15"/>
      <c r="BKA68" s="15"/>
      <c r="BKB68" s="15"/>
      <c r="BKC68" s="15"/>
      <c r="BKD68" s="15"/>
      <c r="BKE68" s="15"/>
      <c r="BKF68" s="15"/>
      <c r="BKG68" s="15"/>
      <c r="BKH68" s="15"/>
      <c r="BKI68" s="15"/>
      <c r="BKJ68" s="15"/>
      <c r="BKK68" s="15"/>
      <c r="BKL68" s="15"/>
      <c r="BKM68" s="15"/>
      <c r="BKN68" s="15"/>
      <c r="BKO68" s="15"/>
      <c r="BKP68" s="15"/>
      <c r="BKQ68" s="15"/>
      <c r="BKR68" s="15"/>
      <c r="BKS68" s="15"/>
      <c r="BKT68" s="15"/>
      <c r="BKU68" s="15"/>
      <c r="BKV68" s="15"/>
      <c r="BKW68" s="15"/>
      <c r="BKX68" s="15"/>
      <c r="BKY68" s="15"/>
      <c r="BKZ68" s="15"/>
      <c r="BLA68" s="15"/>
      <c r="BLB68" s="15"/>
      <c r="BLC68" s="15"/>
      <c r="BLD68" s="15"/>
      <c r="BLE68" s="15"/>
      <c r="BLF68" s="15"/>
      <c r="BLG68" s="15"/>
      <c r="BLH68" s="15"/>
      <c r="BLI68" s="15"/>
      <c r="BLJ68" s="15"/>
      <c r="BLK68" s="15"/>
      <c r="BLL68" s="15"/>
      <c r="BLM68" s="15"/>
      <c r="BLN68" s="15"/>
      <c r="BLO68" s="15"/>
      <c r="BLP68" s="15"/>
      <c r="BLQ68" s="15"/>
      <c r="BLR68" s="15"/>
      <c r="BLS68" s="15"/>
      <c r="BLT68" s="15"/>
      <c r="BLU68" s="15"/>
      <c r="BLV68" s="15"/>
      <c r="BLW68" s="15"/>
      <c r="BLX68" s="15"/>
      <c r="BLY68" s="15"/>
      <c r="BLZ68" s="15"/>
      <c r="BMA68" s="15"/>
      <c r="BMB68" s="15"/>
      <c r="BMC68" s="15"/>
      <c r="BMD68" s="15"/>
      <c r="BME68" s="15"/>
      <c r="BMF68" s="15"/>
      <c r="BMG68" s="15"/>
      <c r="BMH68" s="15"/>
      <c r="BMI68" s="15"/>
      <c r="BMJ68" s="15"/>
      <c r="BMK68" s="15"/>
      <c r="BML68" s="15"/>
      <c r="BMM68" s="15"/>
      <c r="BMN68" s="15"/>
      <c r="BMO68" s="15"/>
      <c r="BMP68" s="15"/>
      <c r="BMQ68" s="15"/>
      <c r="BMR68" s="15"/>
      <c r="BMS68" s="15"/>
      <c r="BMT68" s="15"/>
      <c r="BMU68" s="15"/>
      <c r="BMV68" s="15"/>
      <c r="BMW68" s="15"/>
      <c r="BMX68" s="15"/>
      <c r="BMY68" s="15"/>
      <c r="BMZ68" s="15"/>
      <c r="BNA68" s="15"/>
      <c r="BNB68" s="15"/>
      <c r="BNC68" s="15"/>
      <c r="BND68" s="15"/>
      <c r="BNE68" s="15"/>
      <c r="BNF68" s="15"/>
      <c r="BNG68" s="15"/>
      <c r="BNH68" s="15"/>
      <c r="BNI68" s="15"/>
      <c r="BNJ68" s="15"/>
      <c r="BNK68" s="15"/>
      <c r="BNL68" s="15"/>
      <c r="BNM68" s="15"/>
      <c r="BNN68" s="15"/>
      <c r="BNO68" s="15"/>
      <c r="BNP68" s="15"/>
      <c r="BNQ68" s="15"/>
      <c r="BNR68" s="15"/>
      <c r="BNS68" s="15"/>
      <c r="BNT68" s="15"/>
      <c r="BNU68" s="15"/>
      <c r="BNV68" s="15"/>
      <c r="BNW68" s="15"/>
      <c r="BNX68" s="15"/>
      <c r="BNY68" s="15"/>
      <c r="BNZ68" s="15"/>
      <c r="BOA68" s="15"/>
      <c r="BOB68" s="15"/>
      <c r="BOC68" s="15"/>
      <c r="BOD68" s="15"/>
      <c r="BOE68" s="15"/>
      <c r="BOF68" s="15"/>
      <c r="BOG68" s="15"/>
      <c r="BOH68" s="15"/>
      <c r="BOI68" s="15"/>
      <c r="BOJ68" s="15"/>
      <c r="BOK68" s="15"/>
      <c r="BOL68" s="15"/>
      <c r="BOM68" s="15"/>
      <c r="BON68" s="15"/>
      <c r="BOO68" s="15"/>
      <c r="BOP68" s="15"/>
      <c r="BOQ68" s="15"/>
      <c r="BOR68" s="15"/>
      <c r="BOS68" s="15"/>
      <c r="BOT68" s="15"/>
      <c r="BOU68" s="15"/>
      <c r="BOV68" s="15"/>
      <c r="BOW68" s="15"/>
      <c r="BOX68" s="15"/>
      <c r="BOY68" s="15"/>
      <c r="BOZ68" s="15"/>
      <c r="BPA68" s="15"/>
      <c r="BPB68" s="15"/>
      <c r="BPC68" s="15"/>
      <c r="BPD68" s="15"/>
      <c r="BPE68" s="15"/>
      <c r="BPF68" s="15"/>
      <c r="BPG68" s="15"/>
      <c r="BPH68" s="15"/>
      <c r="BPI68" s="15"/>
      <c r="BPJ68" s="15"/>
      <c r="BPK68" s="15"/>
      <c r="BPL68" s="15"/>
      <c r="BPM68" s="15"/>
      <c r="BPN68" s="15"/>
      <c r="BPO68" s="15"/>
      <c r="BPP68" s="15"/>
      <c r="BPQ68" s="15"/>
      <c r="BPR68" s="15"/>
      <c r="BPS68" s="15"/>
      <c r="BPT68" s="15"/>
      <c r="BPU68" s="15"/>
      <c r="BPV68" s="15"/>
      <c r="BPW68" s="15"/>
      <c r="BPX68" s="15"/>
      <c r="BPY68" s="15"/>
      <c r="BPZ68" s="15"/>
      <c r="BQA68" s="15"/>
      <c r="BQB68" s="15"/>
      <c r="BQC68" s="15"/>
      <c r="BQD68" s="15"/>
      <c r="BQE68" s="15"/>
      <c r="BQF68" s="15"/>
      <c r="BQG68" s="15"/>
      <c r="BQH68" s="15"/>
      <c r="BQI68" s="15"/>
      <c r="BQJ68" s="15"/>
      <c r="BQK68" s="15"/>
      <c r="BQL68" s="15"/>
      <c r="BQM68" s="15"/>
      <c r="BQN68" s="15"/>
      <c r="BQO68" s="15"/>
      <c r="BQP68" s="15"/>
      <c r="BQQ68" s="15"/>
      <c r="BQR68" s="15"/>
      <c r="BQS68" s="15"/>
      <c r="BQT68" s="15"/>
      <c r="BQU68" s="15"/>
      <c r="BQV68" s="15"/>
      <c r="BQW68" s="15"/>
      <c r="BQX68" s="15"/>
      <c r="BQY68" s="15"/>
      <c r="BQZ68" s="15"/>
      <c r="BRA68" s="15"/>
      <c r="BRB68" s="15"/>
      <c r="BRC68" s="15"/>
      <c r="BRD68" s="15"/>
      <c r="BRE68" s="15"/>
      <c r="BRF68" s="15"/>
      <c r="BRG68" s="15"/>
      <c r="BRH68" s="15"/>
      <c r="BRI68" s="15"/>
      <c r="BRJ68" s="15"/>
      <c r="BRK68" s="15"/>
      <c r="BRL68" s="15"/>
      <c r="BRM68" s="15"/>
      <c r="BRN68" s="15"/>
      <c r="BRO68" s="15"/>
      <c r="BRP68" s="15"/>
      <c r="BRQ68" s="15"/>
      <c r="BRR68" s="15"/>
      <c r="BRS68" s="15"/>
      <c r="BRT68" s="15"/>
      <c r="BRU68" s="15"/>
      <c r="BRV68" s="15"/>
      <c r="BRW68" s="15"/>
      <c r="BRX68" s="15"/>
      <c r="BRY68" s="15"/>
      <c r="BRZ68" s="15"/>
      <c r="BSA68" s="15"/>
      <c r="BSB68" s="15"/>
      <c r="BSC68" s="15"/>
      <c r="BSD68" s="15"/>
      <c r="BSE68" s="15"/>
      <c r="BSF68" s="15"/>
      <c r="BSG68" s="15"/>
      <c r="BSH68" s="15"/>
      <c r="BSI68" s="15"/>
      <c r="BSJ68" s="15"/>
      <c r="BSK68" s="15"/>
      <c r="BSL68" s="15"/>
      <c r="BSM68" s="15"/>
      <c r="BSN68" s="15"/>
      <c r="BSO68" s="15"/>
      <c r="BSP68" s="15"/>
      <c r="BSQ68" s="15"/>
      <c r="BSR68" s="15"/>
      <c r="BSS68" s="15"/>
      <c r="BST68" s="15"/>
      <c r="BSU68" s="15"/>
      <c r="BSV68" s="15"/>
      <c r="BSW68" s="15"/>
      <c r="BSX68" s="15"/>
      <c r="BSY68" s="15"/>
      <c r="BSZ68" s="15"/>
      <c r="BTA68" s="15"/>
      <c r="BTB68" s="15"/>
      <c r="BTC68" s="15"/>
      <c r="BTD68" s="15"/>
      <c r="BTE68" s="15"/>
      <c r="BTF68" s="15"/>
      <c r="BTG68" s="15"/>
      <c r="BTH68" s="15"/>
      <c r="BTI68" s="15"/>
      <c r="BTJ68" s="15"/>
      <c r="BTK68" s="15"/>
      <c r="BTL68" s="15"/>
      <c r="BTM68" s="15"/>
      <c r="BTN68" s="15"/>
      <c r="BTO68" s="15"/>
      <c r="BTP68" s="15"/>
      <c r="BTQ68" s="15"/>
      <c r="BTR68" s="15"/>
      <c r="BTS68" s="15"/>
      <c r="BTT68" s="15"/>
      <c r="BTU68" s="15"/>
      <c r="BTV68" s="15"/>
      <c r="BTW68" s="15"/>
      <c r="BTX68" s="15"/>
      <c r="BTY68" s="15"/>
      <c r="BTZ68" s="15"/>
      <c r="BUA68" s="15"/>
      <c r="BUB68" s="15"/>
      <c r="BUC68" s="15"/>
      <c r="BUD68" s="15"/>
      <c r="BUE68" s="15"/>
      <c r="BUF68" s="15"/>
      <c r="BUG68" s="15"/>
      <c r="BUH68" s="15"/>
      <c r="BUI68" s="15"/>
      <c r="BUJ68" s="15"/>
      <c r="BUK68" s="15"/>
      <c r="BUL68" s="15"/>
      <c r="BUM68" s="15"/>
      <c r="BUN68" s="15"/>
      <c r="BUO68" s="15"/>
      <c r="BUP68" s="15"/>
      <c r="BUQ68" s="15"/>
      <c r="BUR68" s="15"/>
      <c r="BUS68" s="15"/>
      <c r="BUT68" s="15"/>
      <c r="BUU68" s="15"/>
      <c r="BUV68" s="15"/>
      <c r="BUW68" s="15"/>
      <c r="BUX68" s="15"/>
      <c r="BUY68" s="15"/>
      <c r="BUZ68" s="15"/>
      <c r="BVA68" s="15"/>
      <c r="BVB68" s="15"/>
      <c r="BVC68" s="15"/>
      <c r="BVD68" s="15"/>
      <c r="BVE68" s="15"/>
      <c r="BVF68" s="15"/>
      <c r="BVG68" s="15"/>
      <c r="BVH68" s="15"/>
      <c r="BVI68" s="15"/>
      <c r="BVJ68" s="15"/>
      <c r="BVK68" s="15"/>
      <c r="BVL68" s="15"/>
      <c r="BVM68" s="15"/>
      <c r="BVN68" s="15"/>
      <c r="BVO68" s="15"/>
      <c r="BVP68" s="15"/>
      <c r="BVQ68" s="15"/>
      <c r="BVR68" s="15"/>
      <c r="BVS68" s="15"/>
      <c r="BVT68" s="15"/>
      <c r="BVU68" s="15"/>
      <c r="BVV68" s="15"/>
      <c r="BVW68" s="15"/>
      <c r="BVX68" s="15"/>
      <c r="BVY68" s="15"/>
      <c r="BVZ68" s="15"/>
      <c r="BWA68" s="15"/>
      <c r="BWB68" s="15"/>
      <c r="BWC68" s="15"/>
      <c r="BWD68" s="15"/>
      <c r="BWE68" s="15"/>
      <c r="BWF68" s="15"/>
      <c r="BWG68" s="15"/>
      <c r="BWH68" s="15"/>
      <c r="BWI68" s="15"/>
      <c r="BWJ68" s="15"/>
      <c r="BWK68" s="15"/>
      <c r="BWL68" s="15"/>
      <c r="BWM68" s="15"/>
      <c r="BWN68" s="15"/>
      <c r="BWO68" s="15"/>
      <c r="BWP68" s="15"/>
      <c r="BWQ68" s="15"/>
      <c r="BWR68" s="15"/>
      <c r="BWS68" s="15"/>
      <c r="BWT68" s="15"/>
      <c r="BWU68" s="15"/>
      <c r="BWV68" s="15"/>
      <c r="BWW68" s="15"/>
      <c r="BWX68" s="15"/>
      <c r="BWY68" s="15"/>
      <c r="BWZ68" s="15"/>
      <c r="BXA68" s="15"/>
      <c r="BXB68" s="15"/>
      <c r="BXC68" s="15"/>
      <c r="BXD68" s="15"/>
      <c r="BXE68" s="15"/>
      <c r="BXF68" s="15"/>
      <c r="BXG68" s="15"/>
      <c r="BXH68" s="15"/>
      <c r="BXI68" s="15"/>
      <c r="BXJ68" s="15"/>
      <c r="BXK68" s="15"/>
      <c r="BXL68" s="15"/>
      <c r="BXM68" s="15"/>
      <c r="BXN68" s="15"/>
      <c r="BXO68" s="15"/>
      <c r="BXP68" s="15"/>
      <c r="BXQ68" s="15"/>
      <c r="BXR68" s="15"/>
      <c r="BXS68" s="15"/>
      <c r="BXT68" s="15"/>
      <c r="BXU68" s="15"/>
      <c r="BXV68" s="15"/>
      <c r="BXW68" s="15"/>
      <c r="BXX68" s="15"/>
      <c r="BXY68" s="15"/>
      <c r="BXZ68" s="15"/>
      <c r="BYA68" s="15"/>
      <c r="BYB68" s="15"/>
      <c r="BYC68" s="15"/>
      <c r="BYD68" s="15"/>
      <c r="BYE68" s="15"/>
      <c r="BYF68" s="15"/>
      <c r="BYG68" s="15"/>
      <c r="BYH68" s="15"/>
      <c r="BYI68" s="15"/>
      <c r="BYJ68" s="15"/>
      <c r="BYK68" s="15"/>
      <c r="BYL68" s="15"/>
      <c r="BYM68" s="15"/>
      <c r="BYN68" s="15"/>
      <c r="BYO68" s="15"/>
      <c r="BYP68" s="15"/>
      <c r="BYQ68" s="15"/>
      <c r="BYR68" s="15"/>
      <c r="BYS68" s="15"/>
      <c r="BYT68" s="15"/>
      <c r="BYU68" s="15"/>
      <c r="BYV68" s="15"/>
      <c r="BYW68" s="15"/>
      <c r="BYX68" s="15"/>
      <c r="BYY68" s="15"/>
      <c r="BYZ68" s="15"/>
      <c r="BZA68" s="15"/>
      <c r="BZB68" s="15"/>
      <c r="BZC68" s="15"/>
      <c r="BZD68" s="15"/>
      <c r="BZE68" s="15"/>
      <c r="BZF68" s="15"/>
      <c r="BZG68" s="15"/>
      <c r="BZH68" s="15"/>
      <c r="BZI68" s="15"/>
      <c r="BZJ68" s="15"/>
      <c r="BZK68" s="15"/>
      <c r="BZL68" s="15"/>
      <c r="BZM68" s="15"/>
      <c r="BZN68" s="15"/>
      <c r="BZO68" s="15"/>
      <c r="BZP68" s="15"/>
      <c r="BZQ68" s="15"/>
      <c r="BZR68" s="15"/>
      <c r="BZS68" s="15"/>
      <c r="BZT68" s="15"/>
      <c r="BZU68" s="15"/>
      <c r="BZV68" s="15"/>
      <c r="BZW68" s="15"/>
      <c r="BZX68" s="15"/>
      <c r="BZY68" s="15"/>
      <c r="BZZ68" s="15"/>
      <c r="CAA68" s="15"/>
      <c r="CAB68" s="15"/>
      <c r="CAC68" s="15"/>
      <c r="CAD68" s="15"/>
      <c r="CAE68" s="15"/>
      <c r="CAF68" s="15"/>
      <c r="CAG68" s="15"/>
      <c r="CAH68" s="15"/>
      <c r="CAI68" s="15"/>
      <c r="CAJ68" s="15"/>
      <c r="CAK68" s="15"/>
      <c r="CAL68" s="15"/>
      <c r="CAM68" s="15"/>
      <c r="CAN68" s="15"/>
      <c r="CAO68" s="15"/>
      <c r="CAP68" s="15"/>
      <c r="CAQ68" s="15"/>
      <c r="CAR68" s="15"/>
      <c r="CAS68" s="15"/>
      <c r="CAT68" s="15"/>
      <c r="CAU68" s="15"/>
      <c r="CAV68" s="15"/>
      <c r="CAW68" s="15"/>
      <c r="CAX68" s="15"/>
      <c r="CAY68" s="15"/>
      <c r="CAZ68" s="15"/>
      <c r="CBA68" s="15"/>
      <c r="CBB68" s="15"/>
      <c r="CBC68" s="15"/>
      <c r="CBD68" s="15"/>
      <c r="CBE68" s="15"/>
      <c r="CBF68" s="15"/>
      <c r="CBG68" s="15"/>
      <c r="CBH68" s="15"/>
      <c r="CBI68" s="15"/>
      <c r="CBJ68" s="15"/>
      <c r="CBK68" s="15"/>
      <c r="CBL68" s="15"/>
      <c r="CBM68" s="15"/>
      <c r="CBN68" s="15"/>
      <c r="CBO68" s="15"/>
      <c r="CBP68" s="15"/>
      <c r="CBQ68" s="15"/>
      <c r="CBR68" s="15"/>
      <c r="CBS68" s="15"/>
      <c r="CBT68" s="15"/>
      <c r="CBU68" s="15"/>
      <c r="CBV68" s="15"/>
      <c r="CBW68" s="15"/>
      <c r="CBX68" s="15"/>
      <c r="CBY68" s="15"/>
      <c r="CBZ68" s="15"/>
      <c r="CCA68" s="15"/>
      <c r="CCB68" s="15"/>
      <c r="CCC68" s="15"/>
      <c r="CCD68" s="15"/>
      <c r="CCE68" s="15"/>
      <c r="CCF68" s="15"/>
      <c r="CCG68" s="15"/>
      <c r="CCH68" s="15"/>
      <c r="CCI68" s="15"/>
      <c r="CCJ68" s="15"/>
      <c r="CCK68" s="15"/>
      <c r="CCL68" s="15"/>
      <c r="CCM68" s="15"/>
      <c r="CCN68" s="15"/>
      <c r="CCO68" s="15"/>
      <c r="CCP68" s="15"/>
      <c r="CCQ68" s="15"/>
      <c r="CCR68" s="15"/>
      <c r="CCS68" s="15"/>
      <c r="CCT68" s="15"/>
      <c r="CCU68" s="15"/>
      <c r="CCV68" s="15"/>
      <c r="CCW68" s="15"/>
      <c r="CCX68" s="15"/>
      <c r="CCY68" s="15"/>
      <c r="CCZ68" s="15"/>
      <c r="CDA68" s="15"/>
      <c r="CDB68" s="15"/>
      <c r="CDC68" s="15"/>
      <c r="CDD68" s="15"/>
      <c r="CDE68" s="15"/>
      <c r="CDF68" s="15"/>
      <c r="CDG68" s="15"/>
      <c r="CDH68" s="15"/>
      <c r="CDI68" s="15"/>
      <c r="CDJ68" s="15"/>
      <c r="CDK68" s="15"/>
      <c r="CDL68" s="15"/>
      <c r="CDM68" s="15"/>
      <c r="CDN68" s="15"/>
      <c r="CDO68" s="15"/>
      <c r="CDP68" s="15"/>
      <c r="CDQ68" s="15"/>
      <c r="CDR68" s="15"/>
      <c r="CDS68" s="15"/>
      <c r="CDT68" s="15"/>
      <c r="CDU68" s="15"/>
      <c r="CDV68" s="15"/>
      <c r="CDW68" s="15"/>
      <c r="CDX68" s="15"/>
      <c r="CDY68" s="15"/>
      <c r="CDZ68" s="15"/>
      <c r="CEA68" s="15"/>
      <c r="CEB68" s="15"/>
      <c r="CEC68" s="15"/>
      <c r="CED68" s="15"/>
      <c r="CEE68" s="15"/>
      <c r="CEF68" s="15"/>
      <c r="CEG68" s="15"/>
      <c r="CEH68" s="15"/>
      <c r="CEI68" s="15"/>
      <c r="CEJ68" s="15"/>
      <c r="CEK68" s="15"/>
      <c r="CEL68" s="15"/>
      <c r="CEM68" s="15"/>
      <c r="CEN68" s="15"/>
      <c r="CEO68" s="15"/>
      <c r="CEP68" s="15"/>
      <c r="CEQ68" s="15"/>
      <c r="CER68" s="15"/>
      <c r="CES68" s="15"/>
      <c r="CET68" s="15"/>
      <c r="CEU68" s="15"/>
      <c r="CEV68" s="15"/>
      <c r="CEW68" s="15"/>
      <c r="CEX68" s="15"/>
      <c r="CEY68" s="15"/>
      <c r="CEZ68" s="15"/>
      <c r="CFA68" s="15"/>
      <c r="CFB68" s="15"/>
      <c r="CFC68" s="15"/>
      <c r="CFD68" s="15"/>
      <c r="CFE68" s="15"/>
      <c r="CFF68" s="15"/>
      <c r="CFG68" s="15"/>
      <c r="CFH68" s="15"/>
      <c r="CFI68" s="15"/>
      <c r="CFJ68" s="15"/>
      <c r="CFK68" s="15"/>
      <c r="CFL68" s="15"/>
      <c r="CFM68" s="15"/>
      <c r="CFN68" s="15"/>
      <c r="CFO68" s="15"/>
      <c r="CFP68" s="15"/>
      <c r="CFQ68" s="15"/>
      <c r="CFR68" s="15"/>
      <c r="CFS68" s="15"/>
      <c r="CFT68" s="15"/>
      <c r="CFU68" s="15"/>
      <c r="CFV68" s="15"/>
      <c r="CFW68" s="15"/>
      <c r="CFX68" s="15"/>
      <c r="CFY68" s="15"/>
      <c r="CFZ68" s="15"/>
      <c r="CGA68" s="15"/>
      <c r="CGB68" s="15"/>
      <c r="CGC68" s="15"/>
      <c r="CGD68" s="15"/>
      <c r="CGE68" s="15"/>
      <c r="CGF68" s="15"/>
      <c r="CGG68" s="15"/>
      <c r="CGH68" s="15"/>
      <c r="CGI68" s="15"/>
      <c r="CGJ68" s="15"/>
      <c r="CGK68" s="15"/>
      <c r="CGL68" s="15"/>
      <c r="CGM68" s="15"/>
      <c r="CGN68" s="15"/>
      <c r="CGO68" s="15"/>
      <c r="CGP68" s="15"/>
      <c r="CGQ68" s="15"/>
      <c r="CGR68" s="15"/>
      <c r="CGS68" s="15"/>
      <c r="CGT68" s="15"/>
      <c r="CGU68" s="15"/>
      <c r="CGV68" s="15"/>
      <c r="CGW68" s="15"/>
      <c r="CGX68" s="15"/>
      <c r="CGY68" s="15"/>
      <c r="CGZ68" s="15"/>
      <c r="CHA68" s="15"/>
      <c r="CHB68" s="15"/>
      <c r="CHC68" s="15"/>
      <c r="CHD68" s="15"/>
      <c r="CHE68" s="15"/>
      <c r="CHF68" s="15"/>
      <c r="CHG68" s="15"/>
      <c r="CHH68" s="15"/>
      <c r="CHI68" s="15"/>
      <c r="CHJ68" s="15"/>
      <c r="CHK68" s="15"/>
      <c r="CHL68" s="15"/>
      <c r="CHM68" s="15"/>
      <c r="CHN68" s="15"/>
      <c r="CHO68" s="15"/>
      <c r="CHP68" s="15"/>
      <c r="CHQ68" s="15"/>
      <c r="CHR68" s="15"/>
      <c r="CHS68" s="15"/>
      <c r="CHT68" s="15"/>
      <c r="CHU68" s="15"/>
      <c r="CHV68" s="15"/>
      <c r="CHW68" s="15"/>
      <c r="CHX68" s="15"/>
      <c r="CHY68" s="15"/>
      <c r="CHZ68" s="15"/>
      <c r="CIA68" s="15"/>
      <c r="CIB68" s="15"/>
      <c r="CIC68" s="15"/>
      <c r="CID68" s="15"/>
      <c r="CIE68" s="15"/>
      <c r="CIF68" s="15"/>
      <c r="CIG68" s="15"/>
      <c r="CIH68" s="15"/>
      <c r="CII68" s="15"/>
      <c r="CIJ68" s="15"/>
      <c r="CIK68" s="15"/>
      <c r="CIL68" s="15"/>
      <c r="CIM68" s="15"/>
      <c r="CIN68" s="15"/>
      <c r="CIO68" s="15"/>
      <c r="CIP68" s="15"/>
      <c r="CIQ68" s="15"/>
      <c r="CIR68" s="15"/>
      <c r="CIS68" s="15"/>
      <c r="CIT68" s="15"/>
      <c r="CIU68" s="15"/>
      <c r="CIV68" s="15"/>
      <c r="CIW68" s="15"/>
      <c r="CIX68" s="15"/>
      <c r="CIY68" s="15"/>
      <c r="CIZ68" s="15"/>
      <c r="CJA68" s="15"/>
      <c r="CJB68" s="15"/>
      <c r="CJC68" s="15"/>
      <c r="CJD68" s="15"/>
      <c r="CJE68" s="15"/>
      <c r="CJF68" s="15"/>
      <c r="CJG68" s="15"/>
      <c r="CJH68" s="15"/>
      <c r="CJI68" s="15"/>
      <c r="CJJ68" s="15"/>
      <c r="CJK68" s="15"/>
      <c r="CJL68" s="15"/>
      <c r="CJM68" s="15"/>
      <c r="CJN68" s="15"/>
      <c r="CJO68" s="15"/>
      <c r="CJP68" s="15"/>
      <c r="CJQ68" s="15"/>
      <c r="CJR68" s="15"/>
      <c r="CJS68" s="15"/>
      <c r="CJT68" s="15"/>
      <c r="CJU68" s="15"/>
      <c r="CJV68" s="15"/>
      <c r="CJW68" s="15"/>
      <c r="CJX68" s="15"/>
      <c r="CJY68" s="15"/>
      <c r="CJZ68" s="15"/>
      <c r="CKA68" s="15"/>
      <c r="CKB68" s="15"/>
      <c r="CKC68" s="15"/>
      <c r="CKD68" s="15"/>
      <c r="CKE68" s="15"/>
      <c r="CKF68" s="15"/>
      <c r="CKG68" s="15"/>
      <c r="CKH68" s="15"/>
      <c r="CKI68" s="15"/>
      <c r="CKJ68" s="15"/>
      <c r="CKK68" s="15"/>
      <c r="CKL68" s="15"/>
      <c r="CKM68" s="15"/>
      <c r="CKN68" s="15"/>
      <c r="CKO68" s="15"/>
      <c r="CKP68" s="15"/>
      <c r="CKQ68" s="15"/>
      <c r="CKR68" s="15"/>
      <c r="CKS68" s="15"/>
      <c r="CKT68" s="15"/>
      <c r="CKU68" s="15"/>
      <c r="CKV68" s="15"/>
      <c r="CKW68" s="15"/>
      <c r="CKX68" s="15"/>
      <c r="CKY68" s="15"/>
      <c r="CKZ68" s="15"/>
      <c r="CLA68" s="15"/>
      <c r="CLB68" s="15"/>
      <c r="CLC68" s="15"/>
      <c r="CLD68" s="15"/>
      <c r="CLE68" s="15"/>
      <c r="CLF68" s="15"/>
      <c r="CLG68" s="15"/>
      <c r="CLH68" s="15"/>
      <c r="CLI68" s="15"/>
      <c r="CLJ68" s="15"/>
      <c r="CLK68" s="15"/>
      <c r="CLL68" s="15"/>
      <c r="CLM68" s="15"/>
      <c r="CLN68" s="15"/>
      <c r="CLO68" s="15"/>
      <c r="CLP68" s="15"/>
      <c r="CLQ68" s="15"/>
      <c r="CLR68" s="15"/>
      <c r="CLS68" s="15"/>
      <c r="CLT68" s="15"/>
      <c r="CLU68" s="15"/>
      <c r="CLV68" s="15"/>
      <c r="CLW68" s="15"/>
      <c r="CLX68" s="15"/>
      <c r="CLY68" s="15"/>
      <c r="CLZ68" s="15"/>
      <c r="CMA68" s="15"/>
      <c r="CMB68" s="15"/>
      <c r="CMC68" s="15"/>
      <c r="CMD68" s="15"/>
      <c r="CME68" s="15"/>
      <c r="CMF68" s="15"/>
      <c r="CMG68" s="15"/>
      <c r="CMH68" s="15"/>
      <c r="CMI68" s="15"/>
      <c r="CMJ68" s="15"/>
      <c r="CMK68" s="15"/>
      <c r="CML68" s="15"/>
      <c r="CMM68" s="15"/>
      <c r="CMN68" s="15"/>
      <c r="CMO68" s="15"/>
      <c r="CMP68" s="15"/>
      <c r="CMQ68" s="15"/>
      <c r="CMR68" s="15"/>
      <c r="CMS68" s="15"/>
      <c r="CMT68" s="15"/>
      <c r="CMU68" s="15"/>
      <c r="CMV68" s="15"/>
      <c r="CMW68" s="15"/>
      <c r="CMX68" s="15"/>
      <c r="CMY68" s="15"/>
      <c r="CMZ68" s="15"/>
      <c r="CNA68" s="15"/>
      <c r="CNB68" s="15"/>
      <c r="CNC68" s="15"/>
      <c r="CND68" s="15"/>
      <c r="CNE68" s="15"/>
      <c r="CNF68" s="15"/>
      <c r="CNG68" s="15"/>
      <c r="CNH68" s="15"/>
      <c r="CNI68" s="15"/>
      <c r="CNJ68" s="15"/>
      <c r="CNK68" s="15"/>
      <c r="CNL68" s="15"/>
      <c r="CNM68" s="15"/>
      <c r="CNN68" s="15"/>
      <c r="CNO68" s="15"/>
      <c r="CNP68" s="15"/>
      <c r="CNQ68" s="15"/>
      <c r="CNR68" s="15"/>
      <c r="CNS68" s="15"/>
      <c r="CNT68" s="15"/>
      <c r="CNU68" s="15"/>
      <c r="CNV68" s="15"/>
      <c r="CNW68" s="15"/>
      <c r="CNX68" s="15"/>
      <c r="CNY68" s="15"/>
      <c r="CNZ68" s="15"/>
      <c r="COA68" s="15"/>
      <c r="COB68" s="15"/>
      <c r="COC68" s="15"/>
      <c r="COD68" s="15"/>
      <c r="COE68" s="15"/>
      <c r="COF68" s="15"/>
      <c r="COG68" s="15"/>
      <c r="COH68" s="15"/>
      <c r="COI68" s="15"/>
      <c r="COJ68" s="15"/>
      <c r="COK68" s="15"/>
      <c r="COL68" s="15"/>
      <c r="COM68" s="15"/>
      <c r="CON68" s="15"/>
      <c r="COO68" s="15"/>
      <c r="COP68" s="15"/>
      <c r="COQ68" s="15"/>
      <c r="COR68" s="15"/>
      <c r="COS68" s="15"/>
      <c r="COT68" s="15"/>
      <c r="COU68" s="15"/>
      <c r="COV68" s="15"/>
      <c r="COW68" s="15"/>
      <c r="COX68" s="15"/>
      <c r="COY68" s="15"/>
      <c r="COZ68" s="15"/>
      <c r="CPA68" s="15"/>
      <c r="CPB68" s="15"/>
      <c r="CPC68" s="15"/>
      <c r="CPD68" s="15"/>
      <c r="CPE68" s="15"/>
      <c r="CPF68" s="15"/>
      <c r="CPG68" s="15"/>
      <c r="CPH68" s="15"/>
      <c r="CPI68" s="15"/>
      <c r="CPJ68" s="15"/>
      <c r="CPK68" s="15"/>
      <c r="CPL68" s="15"/>
      <c r="CPM68" s="15"/>
      <c r="CPN68" s="15"/>
      <c r="CPO68" s="15"/>
      <c r="CPP68" s="15"/>
      <c r="CPQ68" s="15"/>
      <c r="CPR68" s="15"/>
      <c r="CPS68" s="15"/>
      <c r="CPT68" s="15"/>
      <c r="CPU68" s="15"/>
      <c r="CPV68" s="15"/>
      <c r="CPW68" s="15"/>
      <c r="CPX68" s="15"/>
      <c r="CPY68" s="15"/>
      <c r="CPZ68" s="15"/>
      <c r="CQA68" s="15"/>
      <c r="CQB68" s="15"/>
      <c r="CQC68" s="15"/>
      <c r="CQD68" s="15"/>
      <c r="CQE68" s="15"/>
      <c r="CQF68" s="15"/>
      <c r="CQG68" s="15"/>
      <c r="CQH68" s="15"/>
      <c r="CQI68" s="15"/>
      <c r="CQJ68" s="15"/>
      <c r="CQK68" s="15"/>
      <c r="CQL68" s="15"/>
      <c r="CQM68" s="15"/>
      <c r="CQN68" s="15"/>
      <c r="CQO68" s="15"/>
      <c r="CQP68" s="15"/>
      <c r="CQQ68" s="15"/>
      <c r="CQR68" s="15"/>
      <c r="CQS68" s="15"/>
      <c r="CQT68" s="15"/>
      <c r="CQU68" s="15"/>
      <c r="CQV68" s="15"/>
      <c r="CQW68" s="15"/>
      <c r="CQX68" s="15"/>
      <c r="CQY68" s="15"/>
      <c r="CQZ68" s="15"/>
      <c r="CRA68" s="15"/>
      <c r="CRB68" s="15"/>
      <c r="CRC68" s="15"/>
      <c r="CRD68" s="15"/>
      <c r="CRE68" s="15"/>
      <c r="CRF68" s="15"/>
      <c r="CRG68" s="15"/>
      <c r="CRH68" s="15"/>
      <c r="CRI68" s="15"/>
      <c r="CRJ68" s="15"/>
      <c r="CRK68" s="15"/>
      <c r="CRL68" s="15"/>
      <c r="CRM68" s="15"/>
      <c r="CRN68" s="15"/>
      <c r="CRO68" s="15"/>
      <c r="CRP68" s="15"/>
      <c r="CRQ68" s="15"/>
      <c r="CRR68" s="15"/>
      <c r="CRS68" s="15"/>
      <c r="CRT68" s="15"/>
      <c r="CRU68" s="15"/>
      <c r="CRV68" s="15"/>
      <c r="CRW68" s="15"/>
      <c r="CRX68" s="15"/>
      <c r="CRY68" s="15"/>
      <c r="CRZ68" s="15"/>
      <c r="CSA68" s="15"/>
      <c r="CSB68" s="15"/>
      <c r="CSC68" s="15"/>
      <c r="CSD68" s="15"/>
      <c r="CSE68" s="15"/>
      <c r="CSF68" s="15"/>
      <c r="CSG68" s="15"/>
      <c r="CSH68" s="15"/>
      <c r="CSI68" s="15"/>
      <c r="CSJ68" s="15"/>
      <c r="CSK68" s="15"/>
      <c r="CSL68" s="15"/>
      <c r="CSM68" s="15"/>
      <c r="CSN68" s="15"/>
      <c r="CSO68" s="15"/>
      <c r="CSP68" s="15"/>
      <c r="CSQ68" s="15"/>
      <c r="CSR68" s="15"/>
      <c r="CSS68" s="15"/>
      <c r="CST68" s="15"/>
      <c r="CSU68" s="15"/>
      <c r="CSV68" s="15"/>
      <c r="CSW68" s="15"/>
      <c r="CSX68" s="15"/>
      <c r="CSY68" s="15"/>
      <c r="CSZ68" s="15"/>
      <c r="CTA68" s="15"/>
      <c r="CTB68" s="15"/>
      <c r="CTC68" s="15"/>
      <c r="CTD68" s="15"/>
      <c r="CTE68" s="15"/>
      <c r="CTF68" s="15"/>
      <c r="CTG68" s="15"/>
      <c r="CTH68" s="15"/>
      <c r="CTI68" s="15"/>
      <c r="CTJ68" s="15"/>
      <c r="CTK68" s="15"/>
      <c r="CTL68" s="15"/>
      <c r="CTM68" s="15"/>
      <c r="CTN68" s="15"/>
      <c r="CTO68" s="15"/>
      <c r="CTP68" s="15"/>
      <c r="CTQ68" s="15"/>
      <c r="CTR68" s="15"/>
      <c r="CTS68" s="15"/>
      <c r="CTT68" s="15"/>
      <c r="CTU68" s="15"/>
      <c r="CTV68" s="15"/>
      <c r="CTW68" s="15"/>
      <c r="CTX68" s="15"/>
      <c r="CTY68" s="15"/>
      <c r="CTZ68" s="15"/>
      <c r="CUA68" s="15"/>
      <c r="CUB68" s="15"/>
      <c r="CUC68" s="15"/>
      <c r="CUD68" s="15"/>
      <c r="CUE68" s="15"/>
      <c r="CUF68" s="15"/>
      <c r="CUG68" s="15"/>
      <c r="CUH68" s="15"/>
      <c r="CUI68" s="15"/>
      <c r="CUJ68" s="15"/>
      <c r="CUK68" s="15"/>
      <c r="CUL68" s="15"/>
      <c r="CUM68" s="15"/>
      <c r="CUN68" s="15"/>
      <c r="CUO68" s="15"/>
      <c r="CUP68" s="15"/>
      <c r="CUQ68" s="15"/>
      <c r="CUR68" s="15"/>
      <c r="CUS68" s="15"/>
      <c r="CUT68" s="15"/>
      <c r="CUU68" s="15"/>
      <c r="CUV68" s="15"/>
      <c r="CUW68" s="15"/>
      <c r="CUX68" s="15"/>
      <c r="CUY68" s="15"/>
      <c r="CUZ68" s="15"/>
      <c r="CVA68" s="15"/>
      <c r="CVB68" s="15"/>
      <c r="CVC68" s="15"/>
      <c r="CVD68" s="15"/>
      <c r="CVE68" s="15"/>
      <c r="CVF68" s="15"/>
      <c r="CVG68" s="15"/>
      <c r="CVH68" s="15"/>
      <c r="CVI68" s="15"/>
      <c r="CVJ68" s="15"/>
      <c r="CVK68" s="15"/>
      <c r="CVL68" s="15"/>
      <c r="CVM68" s="15"/>
      <c r="CVN68" s="15"/>
      <c r="CVO68" s="15"/>
      <c r="CVP68" s="15"/>
      <c r="CVQ68" s="15"/>
      <c r="CVR68" s="15"/>
      <c r="CVS68" s="15"/>
      <c r="CVT68" s="15"/>
      <c r="CVU68" s="15"/>
      <c r="CVV68" s="15"/>
      <c r="CVW68" s="15"/>
      <c r="CVX68" s="15"/>
      <c r="CVY68" s="15"/>
      <c r="CVZ68" s="15"/>
      <c r="CWA68" s="15"/>
      <c r="CWB68" s="15"/>
      <c r="CWC68" s="15"/>
      <c r="CWD68" s="15"/>
      <c r="CWE68" s="15"/>
      <c r="CWF68" s="15"/>
      <c r="CWG68" s="15"/>
      <c r="CWH68" s="15"/>
      <c r="CWI68" s="15"/>
      <c r="CWJ68" s="15"/>
      <c r="CWK68" s="15"/>
      <c r="CWL68" s="15"/>
      <c r="CWM68" s="15"/>
      <c r="CWN68" s="15"/>
      <c r="CWO68" s="15"/>
      <c r="CWP68" s="15"/>
      <c r="CWQ68" s="15"/>
      <c r="CWR68" s="15"/>
      <c r="CWS68" s="15"/>
      <c r="CWT68" s="15"/>
      <c r="CWU68" s="15"/>
      <c r="CWV68" s="15"/>
      <c r="CWW68" s="15"/>
      <c r="CWX68" s="15"/>
      <c r="CWY68" s="15"/>
      <c r="CWZ68" s="15"/>
      <c r="CXA68" s="15"/>
      <c r="CXB68" s="15"/>
      <c r="CXC68" s="15"/>
      <c r="CXD68" s="15"/>
      <c r="CXE68" s="15"/>
      <c r="CXF68" s="15"/>
      <c r="CXG68" s="15"/>
      <c r="CXH68" s="15"/>
      <c r="CXI68" s="15"/>
      <c r="CXJ68" s="15"/>
      <c r="CXK68" s="15"/>
      <c r="CXL68" s="15"/>
      <c r="CXM68" s="15"/>
      <c r="CXN68" s="15"/>
      <c r="CXO68" s="15"/>
      <c r="CXP68" s="15"/>
      <c r="CXQ68" s="15"/>
      <c r="CXR68" s="15"/>
      <c r="CXS68" s="15"/>
      <c r="CXT68" s="15"/>
      <c r="CXU68" s="15"/>
      <c r="CXV68" s="15"/>
      <c r="CXW68" s="15"/>
      <c r="CXX68" s="15"/>
      <c r="CXY68" s="15"/>
      <c r="CXZ68" s="15"/>
      <c r="CYA68" s="15"/>
      <c r="CYB68" s="15"/>
      <c r="CYC68" s="15"/>
      <c r="CYD68" s="15"/>
      <c r="CYE68" s="15"/>
      <c r="CYF68" s="15"/>
      <c r="CYG68" s="15"/>
      <c r="CYH68" s="15"/>
      <c r="CYI68" s="15"/>
      <c r="CYJ68" s="15"/>
      <c r="CYK68" s="15"/>
      <c r="CYL68" s="15"/>
      <c r="CYM68" s="15"/>
      <c r="CYN68" s="15"/>
      <c r="CYO68" s="15"/>
      <c r="CYP68" s="15"/>
      <c r="CYQ68" s="15"/>
      <c r="CYR68" s="15"/>
      <c r="CYS68" s="15"/>
      <c r="CYT68" s="15"/>
      <c r="CYU68" s="15"/>
      <c r="CYV68" s="15"/>
      <c r="CYW68" s="15"/>
      <c r="CYX68" s="15"/>
      <c r="CYY68" s="15"/>
      <c r="CYZ68" s="15"/>
      <c r="CZA68" s="15"/>
      <c r="CZB68" s="15"/>
      <c r="CZC68" s="15"/>
      <c r="CZD68" s="15"/>
      <c r="CZE68" s="15"/>
      <c r="CZF68" s="15"/>
      <c r="CZG68" s="15"/>
      <c r="CZH68" s="15"/>
      <c r="CZI68" s="15"/>
      <c r="CZJ68" s="15"/>
      <c r="CZK68" s="15"/>
      <c r="CZL68" s="15"/>
      <c r="CZM68" s="15"/>
      <c r="CZN68" s="15"/>
      <c r="CZO68" s="15"/>
      <c r="CZP68" s="15"/>
      <c r="CZQ68" s="15"/>
      <c r="CZR68" s="15"/>
      <c r="CZS68" s="15"/>
      <c r="CZT68" s="15"/>
      <c r="CZU68" s="15"/>
      <c r="CZV68" s="15"/>
      <c r="CZW68" s="15"/>
      <c r="CZX68" s="15"/>
      <c r="CZY68" s="15"/>
      <c r="CZZ68" s="15"/>
      <c r="DAA68" s="15"/>
      <c r="DAB68" s="15"/>
      <c r="DAC68" s="15"/>
      <c r="DAD68" s="15"/>
      <c r="DAE68" s="15"/>
      <c r="DAF68" s="15"/>
      <c r="DAG68" s="15"/>
      <c r="DAH68" s="15"/>
      <c r="DAI68" s="15"/>
      <c r="DAJ68" s="15"/>
      <c r="DAK68" s="15"/>
      <c r="DAL68" s="15"/>
      <c r="DAM68" s="15"/>
      <c r="DAN68" s="15"/>
      <c r="DAO68" s="15"/>
      <c r="DAP68" s="15"/>
      <c r="DAQ68" s="15"/>
      <c r="DAR68" s="15"/>
      <c r="DAS68" s="15"/>
      <c r="DAT68" s="15"/>
      <c r="DAU68" s="15"/>
      <c r="DAV68" s="15"/>
      <c r="DAW68" s="15"/>
      <c r="DAX68" s="15"/>
      <c r="DAY68" s="15"/>
      <c r="DAZ68" s="15"/>
      <c r="DBA68" s="15"/>
      <c r="DBB68" s="15"/>
      <c r="DBC68" s="15"/>
      <c r="DBD68" s="15"/>
      <c r="DBE68" s="15"/>
      <c r="DBF68" s="15"/>
      <c r="DBG68" s="15"/>
      <c r="DBH68" s="15"/>
      <c r="DBI68" s="15"/>
      <c r="DBJ68" s="15"/>
      <c r="DBK68" s="15"/>
      <c r="DBL68" s="15"/>
      <c r="DBM68" s="15"/>
      <c r="DBN68" s="15"/>
      <c r="DBO68" s="15"/>
      <c r="DBP68" s="15"/>
      <c r="DBQ68" s="15"/>
      <c r="DBR68" s="15"/>
      <c r="DBS68" s="15"/>
      <c r="DBT68" s="15"/>
      <c r="DBU68" s="15"/>
      <c r="DBV68" s="15"/>
      <c r="DBW68" s="15"/>
      <c r="DBX68" s="15"/>
      <c r="DBY68" s="15"/>
      <c r="DBZ68" s="15"/>
      <c r="DCA68" s="15"/>
      <c r="DCB68" s="15"/>
      <c r="DCC68" s="15"/>
      <c r="DCD68" s="15"/>
      <c r="DCE68" s="15"/>
      <c r="DCF68" s="15"/>
      <c r="DCG68" s="15"/>
      <c r="DCH68" s="15"/>
      <c r="DCI68" s="15"/>
      <c r="DCJ68" s="15"/>
      <c r="DCK68" s="15"/>
      <c r="DCL68" s="15"/>
      <c r="DCM68" s="15"/>
      <c r="DCN68" s="15"/>
      <c r="DCO68" s="15"/>
      <c r="DCP68" s="15"/>
      <c r="DCQ68" s="15"/>
      <c r="DCR68" s="15"/>
      <c r="DCS68" s="15"/>
      <c r="DCT68" s="15"/>
      <c r="DCU68" s="15"/>
      <c r="DCV68" s="15"/>
      <c r="DCW68" s="15"/>
      <c r="DCX68" s="15"/>
      <c r="DCY68" s="15"/>
      <c r="DCZ68" s="15"/>
      <c r="DDA68" s="15"/>
      <c r="DDB68" s="15"/>
      <c r="DDC68" s="15"/>
      <c r="DDD68" s="15"/>
      <c r="DDE68" s="15"/>
      <c r="DDF68" s="15"/>
      <c r="DDG68" s="15"/>
      <c r="DDH68" s="15"/>
      <c r="DDI68" s="15"/>
      <c r="DDJ68" s="15"/>
      <c r="DDK68" s="15"/>
      <c r="DDL68" s="15"/>
      <c r="DDM68" s="15"/>
      <c r="DDN68" s="15"/>
      <c r="DDO68" s="15"/>
      <c r="DDP68" s="15"/>
      <c r="DDQ68" s="15"/>
      <c r="DDR68" s="15"/>
      <c r="DDS68" s="15"/>
      <c r="DDT68" s="15"/>
      <c r="DDU68" s="15"/>
      <c r="DDV68" s="15"/>
      <c r="DDW68" s="15"/>
      <c r="DDX68" s="15"/>
      <c r="DDY68" s="15"/>
      <c r="DDZ68" s="15"/>
      <c r="DEA68" s="15"/>
      <c r="DEB68" s="15"/>
      <c r="DEC68" s="15"/>
      <c r="DED68" s="15"/>
      <c r="DEE68" s="15"/>
      <c r="DEF68" s="15"/>
      <c r="DEG68" s="15"/>
      <c r="DEH68" s="15"/>
      <c r="DEI68" s="15"/>
      <c r="DEJ68" s="15"/>
      <c r="DEK68" s="15"/>
      <c r="DEL68" s="15"/>
      <c r="DEM68" s="15"/>
      <c r="DEN68" s="15"/>
      <c r="DEO68" s="15"/>
      <c r="DEP68" s="15"/>
      <c r="DEQ68" s="15"/>
      <c r="DER68" s="15"/>
      <c r="DES68" s="15"/>
      <c r="DET68" s="15"/>
      <c r="DEU68" s="15"/>
      <c r="DEV68" s="15"/>
      <c r="DEW68" s="15"/>
      <c r="DEX68" s="15"/>
      <c r="DEY68" s="15"/>
      <c r="DEZ68" s="15"/>
      <c r="DFA68" s="15"/>
      <c r="DFB68" s="15"/>
      <c r="DFC68" s="15"/>
      <c r="DFD68" s="15"/>
      <c r="DFE68" s="15"/>
      <c r="DFF68" s="15"/>
      <c r="DFG68" s="15"/>
      <c r="DFH68" s="15"/>
      <c r="DFI68" s="15"/>
      <c r="DFJ68" s="15"/>
      <c r="DFK68" s="15"/>
      <c r="DFL68" s="15"/>
      <c r="DFM68" s="15"/>
      <c r="DFN68" s="15"/>
      <c r="DFO68" s="15"/>
      <c r="DFP68" s="15"/>
      <c r="DFQ68" s="15"/>
      <c r="DFR68" s="15"/>
      <c r="DFS68" s="15"/>
      <c r="DFT68" s="15"/>
      <c r="DFU68" s="15"/>
      <c r="DFV68" s="15"/>
      <c r="DFW68" s="15"/>
      <c r="DFX68" s="15"/>
      <c r="DFY68" s="15"/>
      <c r="DFZ68" s="15"/>
      <c r="DGA68" s="15"/>
      <c r="DGB68" s="15"/>
      <c r="DGC68" s="15"/>
      <c r="DGD68" s="15"/>
      <c r="DGE68" s="15"/>
      <c r="DGF68" s="15"/>
      <c r="DGG68" s="15"/>
      <c r="DGH68" s="15"/>
      <c r="DGI68" s="15"/>
      <c r="DGJ68" s="15"/>
      <c r="DGK68" s="15"/>
      <c r="DGL68" s="15"/>
      <c r="DGM68" s="15"/>
      <c r="DGN68" s="15"/>
      <c r="DGO68" s="15"/>
      <c r="DGP68" s="15"/>
      <c r="DGQ68" s="15"/>
      <c r="DGR68" s="15"/>
      <c r="DGS68" s="15"/>
      <c r="DGT68" s="15"/>
      <c r="DGU68" s="15"/>
      <c r="DGV68" s="15"/>
      <c r="DGW68" s="15"/>
      <c r="DGX68" s="15"/>
      <c r="DGY68" s="15"/>
      <c r="DGZ68" s="15"/>
      <c r="DHA68" s="15"/>
      <c r="DHB68" s="15"/>
      <c r="DHC68" s="15"/>
      <c r="DHD68" s="15"/>
      <c r="DHE68" s="15"/>
      <c r="DHF68" s="15"/>
      <c r="DHG68" s="15"/>
      <c r="DHH68" s="15"/>
      <c r="DHI68" s="15"/>
      <c r="DHJ68" s="15"/>
      <c r="DHK68" s="15"/>
      <c r="DHL68" s="15"/>
      <c r="DHM68" s="15"/>
      <c r="DHN68" s="15"/>
      <c r="DHO68" s="15"/>
      <c r="DHP68" s="15"/>
      <c r="DHQ68" s="15"/>
      <c r="DHR68" s="15"/>
      <c r="DHS68" s="15"/>
      <c r="DHT68" s="15"/>
      <c r="DHU68" s="15"/>
      <c r="DHV68" s="15"/>
      <c r="DHW68" s="15"/>
      <c r="DHX68" s="15"/>
      <c r="DHY68" s="15"/>
      <c r="DHZ68" s="15"/>
      <c r="DIA68" s="15"/>
      <c r="DIB68" s="15"/>
      <c r="DIC68" s="15"/>
      <c r="DID68" s="15"/>
      <c r="DIE68" s="15"/>
      <c r="DIF68" s="15"/>
      <c r="DIG68" s="15"/>
      <c r="DIH68" s="15"/>
      <c r="DII68" s="15"/>
      <c r="DIJ68" s="15"/>
      <c r="DIK68" s="15"/>
      <c r="DIL68" s="15"/>
      <c r="DIM68" s="15"/>
      <c r="DIN68" s="15"/>
      <c r="DIO68" s="15"/>
      <c r="DIP68" s="15"/>
      <c r="DIQ68" s="15"/>
      <c r="DIR68" s="15"/>
      <c r="DIS68" s="15"/>
      <c r="DIT68" s="15"/>
      <c r="DIU68" s="15"/>
      <c r="DIV68" s="15"/>
      <c r="DIW68" s="15"/>
      <c r="DIX68" s="15"/>
      <c r="DIY68" s="15"/>
      <c r="DIZ68" s="15"/>
      <c r="DJA68" s="15"/>
      <c r="DJB68" s="15"/>
      <c r="DJC68" s="15"/>
      <c r="DJD68" s="15"/>
      <c r="DJE68" s="15"/>
      <c r="DJF68" s="15"/>
      <c r="DJG68" s="15"/>
      <c r="DJH68" s="15"/>
      <c r="DJI68" s="15"/>
      <c r="DJJ68" s="15"/>
      <c r="DJK68" s="15"/>
      <c r="DJL68" s="15"/>
      <c r="DJM68" s="15"/>
      <c r="DJN68" s="15"/>
      <c r="DJO68" s="15"/>
      <c r="DJP68" s="15"/>
      <c r="DJQ68" s="15"/>
      <c r="DJR68" s="15"/>
      <c r="DJS68" s="15"/>
      <c r="DJT68" s="15"/>
      <c r="DJU68" s="15"/>
      <c r="DJV68" s="15"/>
      <c r="DJW68" s="15"/>
      <c r="DJX68" s="15"/>
      <c r="DJY68" s="15"/>
      <c r="DJZ68" s="15"/>
      <c r="DKA68" s="15"/>
      <c r="DKB68" s="15"/>
      <c r="DKC68" s="15"/>
      <c r="DKD68" s="15"/>
      <c r="DKE68" s="15"/>
      <c r="DKF68" s="15"/>
      <c r="DKG68" s="15"/>
      <c r="DKH68" s="15"/>
      <c r="DKI68" s="15"/>
      <c r="DKJ68" s="15"/>
      <c r="DKK68" s="15"/>
      <c r="DKL68" s="15"/>
      <c r="DKM68" s="15"/>
      <c r="DKN68" s="15"/>
      <c r="DKO68" s="15"/>
      <c r="DKP68" s="15"/>
      <c r="DKQ68" s="15"/>
      <c r="DKR68" s="15"/>
      <c r="DKS68" s="15"/>
      <c r="DKT68" s="15"/>
      <c r="DKU68" s="15"/>
      <c r="DKV68" s="15"/>
      <c r="DKW68" s="15"/>
      <c r="DKX68" s="15"/>
      <c r="DKY68" s="15"/>
      <c r="DKZ68" s="15"/>
      <c r="DLA68" s="15"/>
      <c r="DLB68" s="15"/>
      <c r="DLC68" s="15"/>
      <c r="DLD68" s="15"/>
      <c r="DLE68" s="15"/>
      <c r="DLF68" s="15"/>
      <c r="DLG68" s="15"/>
      <c r="DLH68" s="15"/>
      <c r="DLI68" s="15"/>
      <c r="DLJ68" s="15"/>
      <c r="DLK68" s="15"/>
      <c r="DLL68" s="15"/>
      <c r="DLM68" s="15"/>
      <c r="DLN68" s="15"/>
      <c r="DLO68" s="15"/>
      <c r="DLP68" s="15"/>
      <c r="DLQ68" s="15"/>
      <c r="DLR68" s="15"/>
      <c r="DLS68" s="15"/>
      <c r="DLT68" s="15"/>
      <c r="DLU68" s="15"/>
      <c r="DLV68" s="15"/>
      <c r="DLW68" s="15"/>
      <c r="DLX68" s="15"/>
      <c r="DLY68" s="15"/>
      <c r="DLZ68" s="15"/>
      <c r="DMA68" s="15"/>
      <c r="DMB68" s="15"/>
      <c r="DMC68" s="15"/>
      <c r="DMD68" s="15"/>
      <c r="DME68" s="15"/>
      <c r="DMF68" s="15"/>
      <c r="DMG68" s="15"/>
      <c r="DMH68" s="15"/>
      <c r="DMI68" s="15"/>
      <c r="DMJ68" s="15"/>
      <c r="DMK68" s="15"/>
      <c r="DML68" s="15"/>
      <c r="DMM68" s="15"/>
      <c r="DMN68" s="15"/>
      <c r="DMO68" s="15"/>
      <c r="DMP68" s="15"/>
      <c r="DMQ68" s="15"/>
      <c r="DMR68" s="15"/>
      <c r="DMS68" s="15"/>
      <c r="DMT68" s="15"/>
      <c r="DMU68" s="15"/>
      <c r="DMV68" s="15"/>
      <c r="DMW68" s="15"/>
      <c r="DMX68" s="15"/>
      <c r="DMY68" s="15"/>
      <c r="DMZ68" s="15"/>
      <c r="DNA68" s="15"/>
      <c r="DNB68" s="15"/>
      <c r="DNC68" s="15"/>
      <c r="DND68" s="15"/>
      <c r="DNE68" s="15"/>
      <c r="DNF68" s="15"/>
      <c r="DNG68" s="15"/>
      <c r="DNH68" s="15"/>
      <c r="DNI68" s="15"/>
      <c r="DNJ68" s="15"/>
      <c r="DNK68" s="15"/>
      <c r="DNL68" s="15"/>
      <c r="DNM68" s="15"/>
      <c r="DNN68" s="15"/>
      <c r="DNO68" s="15"/>
      <c r="DNP68" s="15"/>
      <c r="DNQ68" s="15"/>
      <c r="DNR68" s="15"/>
      <c r="DNS68" s="15"/>
      <c r="DNT68" s="15"/>
      <c r="DNU68" s="15"/>
      <c r="DNV68" s="15"/>
      <c r="DNW68" s="15"/>
      <c r="DNX68" s="15"/>
      <c r="DNY68" s="15"/>
      <c r="DNZ68" s="15"/>
      <c r="DOA68" s="15"/>
      <c r="DOB68" s="15"/>
      <c r="DOC68" s="15"/>
      <c r="DOD68" s="15"/>
      <c r="DOE68" s="15"/>
      <c r="DOF68" s="15"/>
      <c r="DOG68" s="15"/>
      <c r="DOH68" s="15"/>
      <c r="DOI68" s="15"/>
      <c r="DOJ68" s="15"/>
      <c r="DOK68" s="15"/>
      <c r="DOL68" s="15"/>
      <c r="DOM68" s="15"/>
      <c r="DON68" s="15"/>
      <c r="DOO68" s="15"/>
      <c r="DOP68" s="15"/>
      <c r="DOQ68" s="15"/>
      <c r="DOR68" s="15"/>
      <c r="DOS68" s="15"/>
      <c r="DOT68" s="15"/>
      <c r="DOU68" s="15"/>
      <c r="DOV68" s="15"/>
      <c r="DOW68" s="15"/>
      <c r="DOX68" s="15"/>
      <c r="DOY68" s="15"/>
      <c r="DOZ68" s="15"/>
      <c r="DPA68" s="15"/>
      <c r="DPB68" s="15"/>
      <c r="DPC68" s="15"/>
      <c r="DPD68" s="15"/>
      <c r="DPE68" s="15"/>
      <c r="DPF68" s="15"/>
      <c r="DPG68" s="15"/>
      <c r="DPH68" s="15"/>
      <c r="DPI68" s="15"/>
      <c r="DPJ68" s="15"/>
      <c r="DPK68" s="15"/>
      <c r="DPL68" s="15"/>
      <c r="DPM68" s="15"/>
      <c r="DPN68" s="15"/>
      <c r="DPO68" s="15"/>
      <c r="DPP68" s="15"/>
      <c r="DPQ68" s="15"/>
      <c r="DPR68" s="15"/>
      <c r="DPS68" s="15"/>
      <c r="DPT68" s="15"/>
      <c r="DPU68" s="15"/>
      <c r="DPV68" s="15"/>
      <c r="DPW68" s="15"/>
      <c r="DPX68" s="15"/>
      <c r="DPY68" s="15"/>
      <c r="DPZ68" s="15"/>
      <c r="DQA68" s="15"/>
      <c r="DQB68" s="15"/>
      <c r="DQC68" s="15"/>
      <c r="DQD68" s="15"/>
      <c r="DQE68" s="15"/>
      <c r="DQF68" s="15"/>
      <c r="DQG68" s="15"/>
      <c r="DQH68" s="15"/>
      <c r="DQI68" s="15"/>
      <c r="DQJ68" s="15"/>
      <c r="DQK68" s="15"/>
      <c r="DQL68" s="15"/>
      <c r="DQM68" s="15"/>
      <c r="DQN68" s="15"/>
      <c r="DQO68" s="15"/>
      <c r="DQP68" s="15"/>
      <c r="DQQ68" s="15"/>
      <c r="DQR68" s="15"/>
      <c r="DQS68" s="15"/>
      <c r="DQT68" s="15"/>
      <c r="DQU68" s="15"/>
      <c r="DQV68" s="15"/>
      <c r="DQW68" s="15"/>
      <c r="DQX68" s="15"/>
      <c r="DQY68" s="15"/>
      <c r="DQZ68" s="15"/>
      <c r="DRA68" s="15"/>
      <c r="DRB68" s="15"/>
      <c r="DRC68" s="15"/>
      <c r="DRD68" s="15"/>
      <c r="DRE68" s="15"/>
      <c r="DRF68" s="15"/>
      <c r="DRG68" s="15"/>
      <c r="DRH68" s="15"/>
      <c r="DRI68" s="15"/>
      <c r="DRJ68" s="15"/>
      <c r="DRK68" s="15"/>
      <c r="DRL68" s="15"/>
      <c r="DRM68" s="15"/>
      <c r="DRN68" s="15"/>
      <c r="DRO68" s="15"/>
      <c r="DRP68" s="15"/>
      <c r="DRQ68" s="15"/>
      <c r="DRR68" s="15"/>
      <c r="DRS68" s="15"/>
      <c r="DRT68" s="15"/>
      <c r="DRU68" s="15"/>
      <c r="DRV68" s="15"/>
      <c r="DRW68" s="15"/>
      <c r="DRX68" s="15"/>
      <c r="DRY68" s="15"/>
      <c r="DRZ68" s="15"/>
      <c r="DSA68" s="15"/>
      <c r="DSB68" s="15"/>
      <c r="DSC68" s="15"/>
      <c r="DSD68" s="15"/>
      <c r="DSE68" s="15"/>
      <c r="DSF68" s="15"/>
      <c r="DSG68" s="15"/>
      <c r="DSH68" s="15"/>
      <c r="DSI68" s="15"/>
      <c r="DSJ68" s="15"/>
      <c r="DSK68" s="15"/>
      <c r="DSL68" s="15"/>
      <c r="DSM68" s="15"/>
      <c r="DSN68" s="15"/>
      <c r="DSO68" s="15"/>
      <c r="DSP68" s="15"/>
      <c r="DSQ68" s="15"/>
      <c r="DSR68" s="15"/>
      <c r="DSS68" s="15"/>
      <c r="DST68" s="15"/>
      <c r="DSU68" s="15"/>
      <c r="DSV68" s="15"/>
      <c r="DSW68" s="15"/>
      <c r="DSX68" s="15"/>
      <c r="DSY68" s="15"/>
      <c r="DSZ68" s="15"/>
      <c r="DTA68" s="15"/>
      <c r="DTB68" s="15"/>
      <c r="DTC68" s="15"/>
      <c r="DTD68" s="15"/>
      <c r="DTE68" s="15"/>
      <c r="DTF68" s="15"/>
      <c r="DTG68" s="15"/>
      <c r="DTH68" s="15"/>
      <c r="DTI68" s="15"/>
      <c r="DTJ68" s="15"/>
      <c r="DTK68" s="15"/>
      <c r="DTL68" s="15"/>
      <c r="DTM68" s="15"/>
      <c r="DTN68" s="15"/>
      <c r="DTO68" s="15"/>
      <c r="DTP68" s="15"/>
      <c r="DTQ68" s="15"/>
      <c r="DTR68" s="15"/>
      <c r="DTS68" s="15"/>
      <c r="DTT68" s="15"/>
      <c r="DTU68" s="15"/>
      <c r="DTV68" s="15"/>
      <c r="DTW68" s="15"/>
      <c r="DTX68" s="15"/>
      <c r="DTY68" s="15"/>
      <c r="DTZ68" s="15"/>
      <c r="DUA68" s="15"/>
      <c r="DUB68" s="15"/>
      <c r="DUC68" s="15"/>
      <c r="DUD68" s="15"/>
      <c r="DUE68" s="15"/>
      <c r="DUF68" s="15"/>
      <c r="DUG68" s="15"/>
      <c r="DUH68" s="15"/>
      <c r="DUI68" s="15"/>
      <c r="DUJ68" s="15"/>
      <c r="DUK68" s="15"/>
      <c r="DUL68" s="15"/>
      <c r="DUM68" s="15"/>
      <c r="DUN68" s="15"/>
      <c r="DUO68" s="15"/>
      <c r="DUP68" s="15"/>
      <c r="DUQ68" s="15"/>
      <c r="DUR68" s="15"/>
      <c r="DUS68" s="15"/>
      <c r="DUT68" s="15"/>
      <c r="DUU68" s="15"/>
      <c r="DUV68" s="15"/>
      <c r="DUW68" s="15"/>
      <c r="DUX68" s="15"/>
      <c r="DUY68" s="15"/>
      <c r="DUZ68" s="15"/>
      <c r="DVA68" s="15"/>
      <c r="DVB68" s="15"/>
      <c r="DVC68" s="15"/>
      <c r="DVD68" s="15"/>
      <c r="DVE68" s="15"/>
      <c r="DVF68" s="15"/>
      <c r="DVG68" s="15"/>
      <c r="DVH68" s="15"/>
      <c r="DVI68" s="15"/>
      <c r="DVJ68" s="15"/>
      <c r="DVK68" s="15"/>
      <c r="DVL68" s="15"/>
      <c r="DVM68" s="15"/>
      <c r="DVN68" s="15"/>
      <c r="DVO68" s="15"/>
      <c r="DVP68" s="15"/>
      <c r="DVQ68" s="15"/>
      <c r="DVR68" s="15"/>
      <c r="DVS68" s="15"/>
      <c r="DVT68" s="15"/>
      <c r="DVU68" s="15"/>
      <c r="DVV68" s="15"/>
      <c r="DVW68" s="15"/>
      <c r="DVX68" s="15"/>
      <c r="DVY68" s="15"/>
      <c r="DVZ68" s="15"/>
      <c r="DWA68" s="15"/>
      <c r="DWB68" s="15"/>
      <c r="DWC68" s="15"/>
      <c r="DWD68" s="15"/>
      <c r="DWE68" s="15"/>
      <c r="DWF68" s="15"/>
      <c r="DWG68" s="15"/>
      <c r="DWH68" s="15"/>
      <c r="DWI68" s="15"/>
      <c r="DWJ68" s="15"/>
      <c r="DWK68" s="15"/>
      <c r="DWL68" s="15"/>
      <c r="DWM68" s="15"/>
      <c r="DWN68" s="15"/>
      <c r="DWO68" s="15"/>
      <c r="DWP68" s="15"/>
      <c r="DWQ68" s="15"/>
      <c r="DWR68" s="15"/>
      <c r="DWS68" s="15"/>
      <c r="DWT68" s="15"/>
      <c r="DWU68" s="15"/>
      <c r="DWV68" s="15"/>
      <c r="DWW68" s="15"/>
      <c r="DWX68" s="15"/>
      <c r="DWY68" s="15"/>
      <c r="DWZ68" s="15"/>
      <c r="DXA68" s="15"/>
      <c r="DXB68" s="15"/>
      <c r="DXC68" s="15"/>
      <c r="DXD68" s="15"/>
      <c r="DXE68" s="15"/>
      <c r="DXF68" s="15"/>
      <c r="DXG68" s="15"/>
      <c r="DXH68" s="15"/>
      <c r="DXI68" s="15"/>
      <c r="DXJ68" s="15"/>
      <c r="DXK68" s="15"/>
      <c r="DXL68" s="15"/>
      <c r="DXM68" s="15"/>
      <c r="DXN68" s="15"/>
      <c r="DXO68" s="15"/>
      <c r="DXP68" s="15"/>
      <c r="DXQ68" s="15"/>
      <c r="DXR68" s="15"/>
      <c r="DXS68" s="15"/>
      <c r="DXT68" s="15"/>
      <c r="DXU68" s="15"/>
      <c r="DXV68" s="15"/>
      <c r="DXW68" s="15"/>
      <c r="DXX68" s="15"/>
      <c r="DXY68" s="15"/>
      <c r="DXZ68" s="15"/>
      <c r="DYA68" s="15"/>
      <c r="DYB68" s="15"/>
      <c r="DYC68" s="15"/>
      <c r="DYD68" s="15"/>
      <c r="DYE68" s="15"/>
      <c r="DYF68" s="15"/>
      <c r="DYG68" s="15"/>
      <c r="DYH68" s="15"/>
      <c r="DYI68" s="15"/>
      <c r="DYJ68" s="15"/>
      <c r="DYK68" s="15"/>
      <c r="DYL68" s="15"/>
      <c r="DYM68" s="15"/>
      <c r="DYN68" s="15"/>
      <c r="DYO68" s="15"/>
      <c r="DYP68" s="15"/>
      <c r="DYQ68" s="15"/>
      <c r="DYR68" s="15"/>
      <c r="DYS68" s="15"/>
      <c r="DYT68" s="15"/>
      <c r="DYU68" s="15"/>
      <c r="DYV68" s="15"/>
      <c r="DYW68" s="15"/>
      <c r="DYX68" s="15"/>
      <c r="DYY68" s="15"/>
      <c r="DYZ68" s="15"/>
      <c r="DZA68" s="15"/>
      <c r="DZB68" s="15"/>
      <c r="DZC68" s="15"/>
      <c r="DZD68" s="15"/>
      <c r="DZE68" s="15"/>
      <c r="DZF68" s="15"/>
      <c r="DZG68" s="15"/>
      <c r="DZH68" s="15"/>
      <c r="DZI68" s="15"/>
      <c r="DZJ68" s="15"/>
      <c r="DZK68" s="15"/>
      <c r="DZL68" s="15"/>
      <c r="DZM68" s="15"/>
      <c r="DZN68" s="15"/>
      <c r="DZO68" s="15"/>
      <c r="DZP68" s="15"/>
      <c r="DZQ68" s="15"/>
      <c r="DZR68" s="15"/>
      <c r="DZS68" s="15"/>
      <c r="DZT68" s="15"/>
      <c r="DZU68" s="15"/>
      <c r="DZV68" s="15"/>
      <c r="DZW68" s="15"/>
      <c r="DZX68" s="15"/>
      <c r="DZY68" s="15"/>
      <c r="DZZ68" s="15"/>
      <c r="EAA68" s="15"/>
      <c r="EAB68" s="15"/>
      <c r="EAC68" s="15"/>
      <c r="EAD68" s="15"/>
      <c r="EAE68" s="15"/>
      <c r="EAF68" s="15"/>
      <c r="EAG68" s="15"/>
      <c r="EAH68" s="15"/>
      <c r="EAI68" s="15"/>
      <c r="EAJ68" s="15"/>
      <c r="EAK68" s="15"/>
      <c r="EAL68" s="15"/>
      <c r="EAM68" s="15"/>
      <c r="EAN68" s="15"/>
      <c r="EAO68" s="15"/>
      <c r="EAP68" s="15"/>
      <c r="EAQ68" s="15"/>
      <c r="EAR68" s="15"/>
      <c r="EAS68" s="15"/>
      <c r="EAT68" s="15"/>
      <c r="EAU68" s="15"/>
      <c r="EAV68" s="15"/>
      <c r="EAW68" s="15"/>
      <c r="EAX68" s="15"/>
      <c r="EAY68" s="15"/>
      <c r="EAZ68" s="15"/>
      <c r="EBA68" s="15"/>
      <c r="EBB68" s="15"/>
      <c r="EBC68" s="15"/>
      <c r="EBD68" s="15"/>
      <c r="EBE68" s="15"/>
      <c r="EBF68" s="15"/>
      <c r="EBG68" s="15"/>
      <c r="EBH68" s="15"/>
      <c r="EBI68" s="15"/>
      <c r="EBJ68" s="15"/>
      <c r="EBK68" s="15"/>
      <c r="EBL68" s="15"/>
      <c r="EBM68" s="15"/>
      <c r="EBN68" s="15"/>
      <c r="EBO68" s="15"/>
      <c r="EBP68" s="15"/>
      <c r="EBQ68" s="15"/>
      <c r="EBR68" s="15"/>
      <c r="EBS68" s="15"/>
      <c r="EBT68" s="15"/>
      <c r="EBU68" s="15"/>
      <c r="EBV68" s="15"/>
      <c r="EBW68" s="15"/>
      <c r="EBX68" s="15"/>
      <c r="EBY68" s="15"/>
      <c r="EBZ68" s="15"/>
      <c r="ECA68" s="15"/>
      <c r="ECB68" s="15"/>
      <c r="ECC68" s="15"/>
      <c r="ECD68" s="15"/>
      <c r="ECE68" s="15"/>
      <c r="ECF68" s="15"/>
      <c r="ECG68" s="15"/>
      <c r="ECH68" s="15"/>
      <c r="ECI68" s="15"/>
      <c r="ECJ68" s="15"/>
      <c r="ECK68" s="15"/>
      <c r="ECL68" s="15"/>
      <c r="ECM68" s="15"/>
      <c r="ECN68" s="15"/>
      <c r="ECO68" s="15"/>
      <c r="ECP68" s="15"/>
      <c r="ECQ68" s="15"/>
      <c r="ECR68" s="15"/>
      <c r="ECS68" s="15"/>
      <c r="ECT68" s="15"/>
      <c r="ECU68" s="15"/>
      <c r="ECV68" s="15"/>
      <c r="ECW68" s="15"/>
      <c r="ECX68" s="15"/>
      <c r="ECY68" s="15"/>
      <c r="ECZ68" s="15"/>
      <c r="EDA68" s="15"/>
      <c r="EDB68" s="15"/>
      <c r="EDC68" s="15"/>
      <c r="EDD68" s="15"/>
      <c r="EDE68" s="15"/>
      <c r="EDF68" s="15"/>
      <c r="EDG68" s="15"/>
      <c r="EDH68" s="15"/>
      <c r="EDI68" s="15"/>
      <c r="EDJ68" s="15"/>
      <c r="EDK68" s="15"/>
      <c r="EDL68" s="15"/>
      <c r="EDM68" s="15"/>
      <c r="EDN68" s="15"/>
      <c r="EDO68" s="15"/>
      <c r="EDP68" s="15"/>
      <c r="EDQ68" s="15"/>
      <c r="EDR68" s="15"/>
      <c r="EDS68" s="15"/>
      <c r="EDT68" s="15"/>
      <c r="EDU68" s="15"/>
      <c r="EDV68" s="15"/>
      <c r="EDW68" s="15"/>
      <c r="EDX68" s="15"/>
      <c r="EDY68" s="15"/>
      <c r="EDZ68" s="15"/>
      <c r="EEA68" s="15"/>
      <c r="EEB68" s="15"/>
      <c r="EEC68" s="15"/>
      <c r="EED68" s="15"/>
      <c r="EEE68" s="15"/>
      <c r="EEF68" s="15"/>
      <c r="EEG68" s="15"/>
      <c r="EEH68" s="15"/>
      <c r="EEI68" s="15"/>
      <c r="EEJ68" s="15"/>
      <c r="EEK68" s="15"/>
      <c r="EEL68" s="15"/>
      <c r="EEM68" s="15"/>
      <c r="EEN68" s="15"/>
      <c r="EEO68" s="15"/>
      <c r="EEP68" s="15"/>
      <c r="EEQ68" s="15"/>
      <c r="EER68" s="15"/>
      <c r="EES68" s="15"/>
      <c r="EET68" s="15"/>
      <c r="EEU68" s="15"/>
      <c r="EEV68" s="15"/>
      <c r="EEW68" s="15"/>
      <c r="EEX68" s="15"/>
      <c r="EEY68" s="15"/>
      <c r="EEZ68" s="15"/>
      <c r="EFA68" s="15"/>
      <c r="EFB68" s="15"/>
      <c r="EFC68" s="15"/>
      <c r="EFD68" s="15"/>
      <c r="EFE68" s="15"/>
      <c r="EFF68" s="15"/>
      <c r="EFG68" s="15"/>
      <c r="EFH68" s="15"/>
      <c r="EFI68" s="15"/>
      <c r="EFJ68" s="15"/>
      <c r="EFK68" s="15"/>
      <c r="EFL68" s="15"/>
      <c r="EFM68" s="15"/>
      <c r="EFN68" s="15"/>
      <c r="EFO68" s="15"/>
      <c r="EFP68" s="15"/>
      <c r="EFQ68" s="15"/>
      <c r="EFR68" s="15"/>
      <c r="EFS68" s="15"/>
      <c r="EFT68" s="15"/>
      <c r="EFU68" s="15"/>
      <c r="EFV68" s="15"/>
      <c r="EFW68" s="15"/>
      <c r="EFX68" s="15"/>
      <c r="EFY68" s="15"/>
      <c r="EFZ68" s="15"/>
      <c r="EGA68" s="15"/>
      <c r="EGB68" s="15"/>
      <c r="EGC68" s="15"/>
      <c r="EGD68" s="15"/>
      <c r="EGE68" s="15"/>
      <c r="EGF68" s="15"/>
      <c r="EGG68" s="15"/>
      <c r="EGH68" s="15"/>
      <c r="EGI68" s="15"/>
      <c r="EGJ68" s="15"/>
      <c r="EGK68" s="15"/>
      <c r="EGL68" s="15"/>
      <c r="EGM68" s="15"/>
      <c r="EGN68" s="15"/>
      <c r="EGO68" s="15"/>
      <c r="EGP68" s="15"/>
      <c r="EGQ68" s="15"/>
      <c r="EGR68" s="15"/>
      <c r="EGS68" s="15"/>
      <c r="EGT68" s="15"/>
      <c r="EGU68" s="15"/>
      <c r="EGV68" s="15"/>
      <c r="EGW68" s="15"/>
      <c r="EGX68" s="15"/>
      <c r="EGY68" s="15"/>
      <c r="EGZ68" s="15"/>
      <c r="EHA68" s="15"/>
      <c r="EHB68" s="15"/>
      <c r="EHC68" s="15"/>
      <c r="EHD68" s="15"/>
      <c r="EHE68" s="15"/>
      <c r="EHF68" s="15"/>
      <c r="EHG68" s="15"/>
      <c r="EHH68" s="15"/>
      <c r="EHI68" s="15"/>
      <c r="EHJ68" s="15"/>
      <c r="EHK68" s="15"/>
      <c r="EHL68" s="15"/>
      <c r="EHM68" s="15"/>
      <c r="EHN68" s="15"/>
      <c r="EHO68" s="15"/>
      <c r="EHP68" s="15"/>
      <c r="EHQ68" s="15"/>
      <c r="EHR68" s="15"/>
      <c r="EHS68" s="15"/>
      <c r="EHT68" s="15"/>
      <c r="EHU68" s="15"/>
      <c r="EHV68" s="15"/>
      <c r="EHW68" s="15"/>
      <c r="EHX68" s="15"/>
      <c r="EHY68" s="15"/>
      <c r="EHZ68" s="15"/>
      <c r="EIA68" s="15"/>
      <c r="EIB68" s="15"/>
      <c r="EIC68" s="15"/>
      <c r="EID68" s="15"/>
      <c r="EIE68" s="15"/>
      <c r="EIF68" s="15"/>
      <c r="EIG68" s="15"/>
      <c r="EIH68" s="15"/>
      <c r="EII68" s="15"/>
      <c r="EIJ68" s="15"/>
      <c r="EIK68" s="15"/>
      <c r="EIL68" s="15"/>
      <c r="EIM68" s="15"/>
      <c r="EIN68" s="15"/>
      <c r="EIO68" s="15"/>
      <c r="EIP68" s="15"/>
      <c r="EIQ68" s="15"/>
      <c r="EIR68" s="15"/>
      <c r="EIS68" s="15"/>
      <c r="EIT68" s="15"/>
      <c r="EIU68" s="15"/>
      <c r="EIV68" s="15"/>
      <c r="EIW68" s="15"/>
      <c r="EIX68" s="15"/>
      <c r="EIY68" s="15"/>
      <c r="EIZ68" s="15"/>
      <c r="EJA68" s="15"/>
      <c r="EJB68" s="15"/>
      <c r="EJC68" s="15"/>
      <c r="EJD68" s="15"/>
      <c r="EJE68" s="15"/>
      <c r="EJF68" s="15"/>
      <c r="EJG68" s="15"/>
      <c r="EJH68" s="15"/>
      <c r="EJI68" s="15"/>
      <c r="EJJ68" s="15"/>
      <c r="EJK68" s="15"/>
      <c r="EJL68" s="15"/>
      <c r="EJM68" s="15"/>
      <c r="EJN68" s="15"/>
      <c r="EJO68" s="15"/>
      <c r="EJP68" s="15"/>
      <c r="EJQ68" s="15"/>
      <c r="EJR68" s="15"/>
      <c r="EJS68" s="15"/>
      <c r="EJT68" s="15"/>
      <c r="EJU68" s="15"/>
      <c r="EJV68" s="15"/>
      <c r="EJW68" s="15"/>
      <c r="EJX68" s="15"/>
      <c r="EJY68" s="15"/>
      <c r="EJZ68" s="15"/>
      <c r="EKA68" s="15"/>
      <c r="EKB68" s="15"/>
      <c r="EKC68" s="15"/>
      <c r="EKD68" s="15"/>
      <c r="EKE68" s="15"/>
      <c r="EKF68" s="15"/>
      <c r="EKG68" s="15"/>
      <c r="EKH68" s="15"/>
      <c r="EKI68" s="15"/>
      <c r="EKJ68" s="15"/>
      <c r="EKK68" s="15"/>
      <c r="EKL68" s="15"/>
      <c r="EKM68" s="15"/>
      <c r="EKN68" s="15"/>
      <c r="EKO68" s="15"/>
      <c r="EKP68" s="15"/>
      <c r="EKQ68" s="15"/>
      <c r="EKR68" s="15"/>
      <c r="EKS68" s="15"/>
      <c r="EKT68" s="15"/>
      <c r="EKU68" s="15"/>
      <c r="EKV68" s="15"/>
      <c r="EKW68" s="15"/>
      <c r="EKX68" s="15"/>
      <c r="EKY68" s="15"/>
      <c r="EKZ68" s="15"/>
      <c r="ELA68" s="15"/>
      <c r="ELB68" s="15"/>
      <c r="ELC68" s="15"/>
      <c r="ELD68" s="15"/>
      <c r="ELE68" s="15"/>
      <c r="ELF68" s="15"/>
      <c r="ELG68" s="15"/>
      <c r="ELH68" s="15"/>
      <c r="ELI68" s="15"/>
      <c r="ELJ68" s="15"/>
      <c r="ELK68" s="15"/>
      <c r="ELL68" s="15"/>
      <c r="ELM68" s="15"/>
      <c r="ELN68" s="15"/>
      <c r="ELO68" s="15"/>
      <c r="ELP68" s="15"/>
      <c r="ELQ68" s="15"/>
      <c r="ELR68" s="15"/>
      <c r="ELS68" s="15"/>
      <c r="ELT68" s="15"/>
      <c r="ELU68" s="15"/>
      <c r="ELV68" s="15"/>
      <c r="ELW68" s="15"/>
      <c r="ELX68" s="15"/>
      <c r="ELY68" s="15"/>
      <c r="ELZ68" s="15"/>
      <c r="EMA68" s="15"/>
      <c r="EMB68" s="15"/>
      <c r="EMC68" s="15"/>
      <c r="EMD68" s="15"/>
      <c r="EME68" s="15"/>
      <c r="EMF68" s="15"/>
      <c r="EMG68" s="15"/>
      <c r="EMH68" s="15"/>
      <c r="EMI68" s="15"/>
      <c r="EMJ68" s="15"/>
      <c r="EMK68" s="15"/>
      <c r="EML68" s="15"/>
      <c r="EMM68" s="15"/>
      <c r="EMN68" s="15"/>
      <c r="EMO68" s="15"/>
      <c r="EMP68" s="15"/>
      <c r="EMQ68" s="15"/>
      <c r="EMR68" s="15"/>
      <c r="EMS68" s="15"/>
      <c r="EMT68" s="15"/>
      <c r="EMU68" s="15"/>
      <c r="EMV68" s="15"/>
      <c r="EMW68" s="15"/>
      <c r="EMX68" s="15"/>
      <c r="EMY68" s="15"/>
      <c r="EMZ68" s="15"/>
      <c r="ENA68" s="15"/>
      <c r="ENB68" s="15"/>
      <c r="ENC68" s="15"/>
      <c r="END68" s="15"/>
      <c r="ENE68" s="15"/>
      <c r="ENF68" s="15"/>
      <c r="ENG68" s="15"/>
      <c r="ENH68" s="15"/>
      <c r="ENI68" s="15"/>
      <c r="ENJ68" s="15"/>
      <c r="ENK68" s="15"/>
      <c r="ENL68" s="15"/>
      <c r="ENM68" s="15"/>
      <c r="ENN68" s="15"/>
      <c r="ENO68" s="15"/>
      <c r="ENP68" s="15"/>
      <c r="ENQ68" s="15"/>
      <c r="ENR68" s="15"/>
      <c r="ENS68" s="15"/>
      <c r="ENT68" s="15"/>
      <c r="ENU68" s="15"/>
      <c r="ENV68" s="15"/>
      <c r="ENW68" s="15"/>
      <c r="ENX68" s="15"/>
      <c r="ENY68" s="15"/>
      <c r="ENZ68" s="15"/>
      <c r="EOA68" s="15"/>
      <c r="EOB68" s="15"/>
      <c r="EOC68" s="15"/>
      <c r="EOD68" s="15"/>
      <c r="EOE68" s="15"/>
      <c r="EOF68" s="15"/>
      <c r="EOG68" s="15"/>
      <c r="EOH68" s="15"/>
      <c r="EOI68" s="15"/>
      <c r="EOJ68" s="15"/>
      <c r="EOK68" s="15"/>
      <c r="EOL68" s="15"/>
      <c r="EOM68" s="15"/>
      <c r="EON68" s="15"/>
      <c r="EOO68" s="15"/>
      <c r="EOP68" s="15"/>
      <c r="EOQ68" s="15"/>
      <c r="EOR68" s="15"/>
      <c r="EOS68" s="15"/>
      <c r="EOT68" s="15"/>
      <c r="EOU68" s="15"/>
      <c r="EOV68" s="15"/>
      <c r="EOW68" s="15"/>
      <c r="EOX68" s="15"/>
      <c r="EOY68" s="15"/>
      <c r="EOZ68" s="15"/>
      <c r="EPA68" s="15"/>
      <c r="EPB68" s="15"/>
      <c r="EPC68" s="15"/>
      <c r="EPD68" s="15"/>
      <c r="EPE68" s="15"/>
      <c r="EPF68" s="15"/>
      <c r="EPG68" s="15"/>
      <c r="EPH68" s="15"/>
      <c r="EPI68" s="15"/>
      <c r="EPJ68" s="15"/>
      <c r="EPK68" s="15"/>
      <c r="EPL68" s="15"/>
      <c r="EPM68" s="15"/>
      <c r="EPN68" s="15"/>
      <c r="EPO68" s="15"/>
      <c r="EPP68" s="15"/>
      <c r="EPQ68" s="15"/>
      <c r="EPR68" s="15"/>
      <c r="EPS68" s="15"/>
      <c r="EPT68" s="15"/>
      <c r="EPU68" s="15"/>
      <c r="EPV68" s="15"/>
      <c r="EPW68" s="15"/>
      <c r="EPX68" s="15"/>
      <c r="EPY68" s="15"/>
      <c r="EPZ68" s="15"/>
      <c r="EQA68" s="15"/>
      <c r="EQB68" s="15"/>
      <c r="EQC68" s="15"/>
      <c r="EQD68" s="15"/>
      <c r="EQE68" s="15"/>
      <c r="EQF68" s="15"/>
      <c r="EQG68" s="15"/>
      <c r="EQH68" s="15"/>
      <c r="EQI68" s="15"/>
      <c r="EQJ68" s="15"/>
      <c r="EQK68" s="15"/>
      <c r="EQL68" s="15"/>
      <c r="EQM68" s="15"/>
      <c r="EQN68" s="15"/>
      <c r="EQO68" s="15"/>
      <c r="EQP68" s="15"/>
      <c r="EQQ68" s="15"/>
      <c r="EQR68" s="15"/>
      <c r="EQS68" s="15"/>
      <c r="EQT68" s="15"/>
      <c r="EQU68" s="15"/>
      <c r="EQV68" s="15"/>
      <c r="EQW68" s="15"/>
      <c r="EQX68" s="15"/>
      <c r="EQY68" s="15"/>
      <c r="EQZ68" s="15"/>
      <c r="ERA68" s="15"/>
      <c r="ERB68" s="15"/>
      <c r="ERC68" s="15"/>
      <c r="ERD68" s="15"/>
      <c r="ERE68" s="15"/>
      <c r="ERF68" s="15"/>
      <c r="ERG68" s="15"/>
      <c r="ERH68" s="15"/>
      <c r="ERI68" s="15"/>
      <c r="ERJ68" s="15"/>
      <c r="ERK68" s="15"/>
      <c r="ERL68" s="15"/>
      <c r="ERM68" s="15"/>
      <c r="ERN68" s="15"/>
      <c r="ERO68" s="15"/>
      <c r="ERP68" s="15"/>
      <c r="ERQ68" s="15"/>
      <c r="ERR68" s="15"/>
      <c r="ERS68" s="15"/>
      <c r="ERT68" s="15"/>
      <c r="ERU68" s="15"/>
      <c r="ERV68" s="15"/>
      <c r="ERW68" s="15"/>
      <c r="ERX68" s="15"/>
      <c r="ERY68" s="15"/>
      <c r="ERZ68" s="15"/>
      <c r="ESA68" s="15"/>
      <c r="ESB68" s="15"/>
      <c r="ESC68" s="15"/>
      <c r="ESD68" s="15"/>
      <c r="ESE68" s="15"/>
      <c r="ESF68" s="15"/>
      <c r="ESG68" s="15"/>
      <c r="ESH68" s="15"/>
      <c r="ESI68" s="15"/>
      <c r="ESJ68" s="15"/>
      <c r="ESK68" s="15"/>
      <c r="ESL68" s="15"/>
      <c r="ESM68" s="15"/>
      <c r="ESN68" s="15"/>
      <c r="ESO68" s="15"/>
      <c r="ESP68" s="15"/>
      <c r="ESQ68" s="15"/>
      <c r="ESR68" s="15"/>
      <c r="ESS68" s="15"/>
      <c r="EST68" s="15"/>
      <c r="ESU68" s="15"/>
      <c r="ESV68" s="15"/>
      <c r="ESW68" s="15"/>
      <c r="ESX68" s="15"/>
      <c r="ESY68" s="15"/>
      <c r="ESZ68" s="15"/>
      <c r="ETA68" s="15"/>
      <c r="ETB68" s="15"/>
      <c r="ETC68" s="15"/>
      <c r="ETD68" s="15"/>
      <c r="ETE68" s="15"/>
      <c r="ETF68" s="15"/>
      <c r="ETG68" s="15"/>
      <c r="ETH68" s="15"/>
      <c r="ETI68" s="15"/>
      <c r="ETJ68" s="15"/>
      <c r="ETK68" s="15"/>
      <c r="ETL68" s="15"/>
      <c r="ETM68" s="15"/>
      <c r="ETN68" s="15"/>
      <c r="ETO68" s="15"/>
      <c r="ETP68" s="15"/>
      <c r="ETQ68" s="15"/>
      <c r="ETR68" s="15"/>
      <c r="ETS68" s="15"/>
      <c r="ETT68" s="15"/>
      <c r="ETU68" s="15"/>
      <c r="ETV68" s="15"/>
      <c r="ETW68" s="15"/>
      <c r="ETX68" s="15"/>
      <c r="ETY68" s="15"/>
      <c r="ETZ68" s="15"/>
      <c r="EUA68" s="15"/>
      <c r="EUB68" s="15"/>
      <c r="EUC68" s="15"/>
      <c r="EUD68" s="15"/>
      <c r="EUE68" s="15"/>
      <c r="EUF68" s="15"/>
      <c r="EUG68" s="15"/>
      <c r="EUH68" s="15"/>
      <c r="EUI68" s="15"/>
      <c r="EUJ68" s="15"/>
      <c r="EUK68" s="15"/>
      <c r="EUL68" s="15"/>
      <c r="EUM68" s="15"/>
      <c r="EUN68" s="15"/>
      <c r="EUO68" s="15"/>
      <c r="EUP68" s="15"/>
      <c r="EUQ68" s="15"/>
      <c r="EUR68" s="15"/>
      <c r="EUS68" s="15"/>
      <c r="EUT68" s="15"/>
      <c r="EUU68" s="15"/>
      <c r="EUV68" s="15"/>
      <c r="EUW68" s="15"/>
      <c r="EUX68" s="15"/>
      <c r="EUY68" s="15"/>
      <c r="EUZ68" s="15"/>
      <c r="EVA68" s="15"/>
      <c r="EVB68" s="15"/>
      <c r="EVC68" s="15"/>
      <c r="EVD68" s="15"/>
      <c r="EVE68" s="15"/>
      <c r="EVF68" s="15"/>
      <c r="EVG68" s="15"/>
      <c r="EVH68" s="15"/>
      <c r="EVI68" s="15"/>
      <c r="EVJ68" s="15"/>
      <c r="EVK68" s="15"/>
      <c r="EVL68" s="15"/>
      <c r="EVM68" s="15"/>
      <c r="EVN68" s="15"/>
      <c r="EVO68" s="15"/>
      <c r="EVP68" s="15"/>
      <c r="EVQ68" s="15"/>
      <c r="EVR68" s="15"/>
      <c r="EVS68" s="15"/>
      <c r="EVT68" s="15"/>
      <c r="EVU68" s="15"/>
      <c r="EVV68" s="15"/>
      <c r="EVW68" s="15"/>
      <c r="EVX68" s="15"/>
      <c r="EVY68" s="15"/>
      <c r="EVZ68" s="15"/>
      <c r="EWA68" s="15"/>
      <c r="EWB68" s="15"/>
      <c r="EWC68" s="15"/>
      <c r="EWD68" s="15"/>
      <c r="EWE68" s="15"/>
      <c r="EWF68" s="15"/>
      <c r="EWG68" s="15"/>
      <c r="EWH68" s="15"/>
      <c r="EWI68" s="15"/>
      <c r="EWJ68" s="15"/>
      <c r="EWK68" s="15"/>
      <c r="EWL68" s="15"/>
      <c r="EWM68" s="15"/>
      <c r="EWN68" s="15"/>
      <c r="EWO68" s="15"/>
      <c r="EWP68" s="15"/>
      <c r="EWQ68" s="15"/>
      <c r="EWR68" s="15"/>
      <c r="EWS68" s="15"/>
      <c r="EWT68" s="15"/>
      <c r="EWU68" s="15"/>
      <c r="EWV68" s="15"/>
      <c r="EWW68" s="15"/>
      <c r="EWX68" s="15"/>
      <c r="EWY68" s="15"/>
      <c r="EWZ68" s="15"/>
      <c r="EXA68" s="15"/>
      <c r="EXB68" s="15"/>
      <c r="EXC68" s="15"/>
      <c r="EXD68" s="15"/>
      <c r="EXE68" s="15"/>
      <c r="EXF68" s="15"/>
      <c r="EXG68" s="15"/>
      <c r="EXH68" s="15"/>
      <c r="EXI68" s="15"/>
      <c r="EXJ68" s="15"/>
      <c r="EXK68" s="15"/>
      <c r="EXL68" s="15"/>
      <c r="EXM68" s="15"/>
      <c r="EXN68" s="15"/>
      <c r="EXO68" s="15"/>
      <c r="EXP68" s="15"/>
      <c r="EXQ68" s="15"/>
      <c r="EXR68" s="15"/>
      <c r="EXS68" s="15"/>
      <c r="EXT68" s="15"/>
      <c r="EXU68" s="15"/>
      <c r="EXV68" s="15"/>
      <c r="EXW68" s="15"/>
      <c r="EXX68" s="15"/>
      <c r="EXY68" s="15"/>
      <c r="EXZ68" s="15"/>
      <c r="EYA68" s="15"/>
      <c r="EYB68" s="15"/>
      <c r="EYC68" s="15"/>
      <c r="EYD68" s="15"/>
      <c r="EYE68" s="15"/>
      <c r="EYF68" s="15"/>
      <c r="EYG68" s="15"/>
      <c r="EYH68" s="15"/>
      <c r="EYI68" s="15"/>
      <c r="EYJ68" s="15"/>
      <c r="EYK68" s="15"/>
      <c r="EYL68" s="15"/>
      <c r="EYM68" s="15"/>
      <c r="EYN68" s="15"/>
      <c r="EYO68" s="15"/>
      <c r="EYP68" s="15"/>
      <c r="EYQ68" s="15"/>
      <c r="EYR68" s="15"/>
      <c r="EYS68" s="15"/>
      <c r="EYT68" s="15"/>
      <c r="EYU68" s="15"/>
      <c r="EYV68" s="15"/>
      <c r="EYW68" s="15"/>
      <c r="EYX68" s="15"/>
      <c r="EYY68" s="15"/>
      <c r="EYZ68" s="15"/>
      <c r="EZA68" s="15"/>
      <c r="EZB68" s="15"/>
      <c r="EZC68" s="15"/>
      <c r="EZD68" s="15"/>
      <c r="EZE68" s="15"/>
      <c r="EZF68" s="15"/>
      <c r="EZG68" s="15"/>
      <c r="EZH68" s="15"/>
      <c r="EZI68" s="15"/>
      <c r="EZJ68" s="15"/>
      <c r="EZK68" s="15"/>
      <c r="EZL68" s="15"/>
      <c r="EZM68" s="15"/>
      <c r="EZN68" s="15"/>
      <c r="EZO68" s="15"/>
      <c r="EZP68" s="15"/>
      <c r="EZQ68" s="15"/>
      <c r="EZR68" s="15"/>
      <c r="EZS68" s="15"/>
      <c r="EZT68" s="15"/>
      <c r="EZU68" s="15"/>
      <c r="EZV68" s="15"/>
      <c r="EZW68" s="15"/>
      <c r="EZX68" s="15"/>
      <c r="EZY68" s="15"/>
      <c r="EZZ68" s="15"/>
      <c r="FAA68" s="15"/>
      <c r="FAB68" s="15"/>
      <c r="FAC68" s="15"/>
      <c r="FAD68" s="15"/>
      <c r="FAE68" s="15"/>
      <c r="FAF68" s="15"/>
      <c r="FAG68" s="15"/>
      <c r="FAH68" s="15"/>
      <c r="FAI68" s="15"/>
      <c r="FAJ68" s="15"/>
      <c r="FAK68" s="15"/>
      <c r="FAL68" s="15"/>
      <c r="FAM68" s="15"/>
      <c r="FAN68" s="15"/>
      <c r="FAO68" s="15"/>
      <c r="FAP68" s="15"/>
      <c r="FAQ68" s="15"/>
      <c r="FAR68" s="15"/>
      <c r="FAS68" s="15"/>
      <c r="FAT68" s="15"/>
      <c r="FAU68" s="15"/>
      <c r="FAV68" s="15"/>
      <c r="FAW68" s="15"/>
      <c r="FAX68" s="15"/>
      <c r="FAY68" s="15"/>
      <c r="FAZ68" s="15"/>
      <c r="FBA68" s="15"/>
      <c r="FBB68" s="15"/>
      <c r="FBC68" s="15"/>
      <c r="FBD68" s="15"/>
      <c r="FBE68" s="15"/>
      <c r="FBF68" s="15"/>
      <c r="FBG68" s="15"/>
      <c r="FBH68" s="15"/>
      <c r="FBI68" s="15"/>
      <c r="FBJ68" s="15"/>
      <c r="FBK68" s="15"/>
      <c r="FBL68" s="15"/>
      <c r="FBM68" s="15"/>
      <c r="FBN68" s="15"/>
      <c r="FBO68" s="15"/>
      <c r="FBP68" s="15"/>
      <c r="FBQ68" s="15"/>
      <c r="FBR68" s="15"/>
      <c r="FBS68" s="15"/>
      <c r="FBT68" s="15"/>
      <c r="FBU68" s="15"/>
      <c r="FBV68" s="15"/>
      <c r="FBW68" s="15"/>
      <c r="FBX68" s="15"/>
      <c r="FBY68" s="15"/>
      <c r="FBZ68" s="15"/>
      <c r="FCA68" s="15"/>
      <c r="FCB68" s="15"/>
      <c r="FCC68" s="15"/>
      <c r="FCD68" s="15"/>
      <c r="FCE68" s="15"/>
      <c r="FCF68" s="15"/>
      <c r="FCG68" s="15"/>
      <c r="FCH68" s="15"/>
      <c r="FCI68" s="15"/>
      <c r="FCJ68" s="15"/>
      <c r="FCK68" s="15"/>
      <c r="FCL68" s="15"/>
      <c r="FCM68" s="15"/>
      <c r="FCN68" s="15"/>
      <c r="FCO68" s="15"/>
      <c r="FCP68" s="15"/>
      <c r="FCQ68" s="15"/>
      <c r="FCR68" s="15"/>
      <c r="FCS68" s="15"/>
      <c r="FCT68" s="15"/>
      <c r="FCU68" s="15"/>
      <c r="FCV68" s="15"/>
      <c r="FCW68" s="15"/>
      <c r="FCX68" s="15"/>
      <c r="FCY68" s="15"/>
      <c r="FCZ68" s="15"/>
      <c r="FDA68" s="15"/>
      <c r="FDB68" s="15"/>
      <c r="FDC68" s="15"/>
      <c r="FDD68" s="15"/>
      <c r="FDE68" s="15"/>
      <c r="FDF68" s="15"/>
      <c r="FDG68" s="15"/>
      <c r="FDH68" s="15"/>
      <c r="FDI68" s="15"/>
      <c r="FDJ68" s="15"/>
      <c r="FDK68" s="15"/>
      <c r="FDL68" s="15"/>
      <c r="FDM68" s="15"/>
      <c r="FDN68" s="15"/>
      <c r="FDO68" s="15"/>
      <c r="FDP68" s="15"/>
      <c r="FDQ68" s="15"/>
      <c r="FDR68" s="15"/>
      <c r="FDS68" s="15"/>
      <c r="FDT68" s="15"/>
      <c r="FDU68" s="15"/>
      <c r="FDV68" s="15"/>
      <c r="FDW68" s="15"/>
      <c r="FDX68" s="15"/>
      <c r="FDY68" s="15"/>
      <c r="FDZ68" s="15"/>
      <c r="FEA68" s="15"/>
      <c r="FEB68" s="15"/>
      <c r="FEC68" s="15"/>
      <c r="FED68" s="15"/>
      <c r="FEE68" s="15"/>
      <c r="FEF68" s="15"/>
      <c r="FEG68" s="15"/>
      <c r="FEH68" s="15"/>
      <c r="FEI68" s="15"/>
      <c r="FEJ68" s="15"/>
      <c r="FEK68" s="15"/>
      <c r="FEL68" s="15"/>
      <c r="FEM68" s="15"/>
      <c r="FEN68" s="15"/>
      <c r="FEO68" s="15"/>
      <c r="FEP68" s="15"/>
      <c r="FEQ68" s="15"/>
      <c r="FER68" s="15"/>
      <c r="FES68" s="15"/>
      <c r="FET68" s="15"/>
      <c r="FEU68" s="15"/>
      <c r="FEV68" s="15"/>
      <c r="FEW68" s="15"/>
      <c r="FEX68" s="15"/>
      <c r="FEY68" s="15"/>
      <c r="FEZ68" s="15"/>
      <c r="FFA68" s="15"/>
      <c r="FFB68" s="15"/>
      <c r="FFC68" s="15"/>
      <c r="FFD68" s="15"/>
      <c r="FFE68" s="15"/>
      <c r="FFF68" s="15"/>
      <c r="FFG68" s="15"/>
      <c r="FFH68" s="15"/>
      <c r="FFI68" s="15"/>
      <c r="FFJ68" s="15"/>
      <c r="FFK68" s="15"/>
      <c r="FFL68" s="15"/>
      <c r="FFM68" s="15"/>
      <c r="FFN68" s="15"/>
      <c r="FFO68" s="15"/>
      <c r="FFP68" s="15"/>
      <c r="FFQ68" s="15"/>
      <c r="FFR68" s="15"/>
      <c r="FFS68" s="15"/>
      <c r="FFT68" s="15"/>
      <c r="FFU68" s="15"/>
      <c r="FFV68" s="15"/>
      <c r="FFW68" s="15"/>
      <c r="FFX68" s="15"/>
      <c r="FFY68" s="15"/>
      <c r="FFZ68" s="15"/>
      <c r="FGA68" s="15"/>
      <c r="FGB68" s="15"/>
      <c r="FGC68" s="15"/>
      <c r="FGD68" s="15"/>
      <c r="FGE68" s="15"/>
      <c r="FGF68" s="15"/>
      <c r="FGG68" s="15"/>
      <c r="FGH68" s="15"/>
      <c r="FGI68" s="15"/>
      <c r="FGJ68" s="15"/>
      <c r="FGK68" s="15"/>
      <c r="FGL68" s="15"/>
      <c r="FGM68" s="15"/>
      <c r="FGN68" s="15"/>
      <c r="FGO68" s="15"/>
      <c r="FGP68" s="15"/>
      <c r="FGQ68" s="15"/>
      <c r="FGR68" s="15"/>
      <c r="FGS68" s="15"/>
      <c r="FGT68" s="15"/>
      <c r="FGU68" s="15"/>
      <c r="FGV68" s="15"/>
      <c r="FGW68" s="15"/>
      <c r="FGX68" s="15"/>
      <c r="FGY68" s="15"/>
      <c r="FGZ68" s="15"/>
      <c r="FHA68" s="15"/>
      <c r="FHB68" s="15"/>
      <c r="FHC68" s="15"/>
      <c r="FHD68" s="15"/>
      <c r="FHE68" s="15"/>
      <c r="FHF68" s="15"/>
      <c r="FHG68" s="15"/>
      <c r="FHH68" s="15"/>
      <c r="FHI68" s="15"/>
      <c r="FHJ68" s="15"/>
      <c r="FHK68" s="15"/>
      <c r="FHL68" s="15"/>
      <c r="FHM68" s="15"/>
      <c r="FHN68" s="15"/>
      <c r="FHO68" s="15"/>
      <c r="FHP68" s="15"/>
      <c r="FHQ68" s="15"/>
      <c r="FHR68" s="15"/>
      <c r="FHS68" s="15"/>
      <c r="FHT68" s="15"/>
      <c r="FHU68" s="15"/>
      <c r="FHV68" s="15"/>
      <c r="FHW68" s="15"/>
      <c r="FHX68" s="15"/>
      <c r="FHY68" s="15"/>
      <c r="FHZ68" s="15"/>
      <c r="FIA68" s="15"/>
      <c r="FIB68" s="15"/>
      <c r="FIC68" s="15"/>
      <c r="FID68" s="15"/>
      <c r="FIE68" s="15"/>
      <c r="FIF68" s="15"/>
      <c r="FIG68" s="15"/>
      <c r="FIH68" s="15"/>
      <c r="FII68" s="15"/>
      <c r="FIJ68" s="15"/>
      <c r="FIK68" s="15"/>
      <c r="FIL68" s="15"/>
      <c r="FIM68" s="15"/>
      <c r="FIN68" s="15"/>
      <c r="FIO68" s="15"/>
      <c r="FIP68" s="15"/>
      <c r="FIQ68" s="15"/>
      <c r="FIR68" s="15"/>
      <c r="FIS68" s="15"/>
      <c r="FIT68" s="15"/>
      <c r="FIU68" s="15"/>
      <c r="FIV68" s="15"/>
      <c r="FIW68" s="15"/>
      <c r="FIX68" s="15"/>
      <c r="FIY68" s="15"/>
      <c r="FIZ68" s="15"/>
      <c r="FJA68" s="15"/>
      <c r="FJB68" s="15"/>
      <c r="FJC68" s="15"/>
      <c r="FJD68" s="15"/>
      <c r="FJE68" s="15"/>
      <c r="FJF68" s="15"/>
      <c r="FJG68" s="15"/>
      <c r="FJH68" s="15"/>
      <c r="FJI68" s="15"/>
      <c r="FJJ68" s="15"/>
      <c r="FJK68" s="15"/>
      <c r="FJL68" s="15"/>
      <c r="FJM68" s="15"/>
      <c r="FJN68" s="15"/>
      <c r="FJO68" s="15"/>
      <c r="FJP68" s="15"/>
      <c r="FJQ68" s="15"/>
      <c r="FJR68" s="15"/>
      <c r="FJS68" s="15"/>
      <c r="FJT68" s="15"/>
      <c r="FJU68" s="15"/>
      <c r="FJV68" s="15"/>
      <c r="FJW68" s="15"/>
      <c r="FJX68" s="15"/>
      <c r="FJY68" s="15"/>
      <c r="FJZ68" s="15"/>
      <c r="FKA68" s="15"/>
      <c r="FKB68" s="15"/>
      <c r="FKC68" s="15"/>
      <c r="FKD68" s="15"/>
      <c r="FKE68" s="15"/>
      <c r="FKF68" s="15"/>
      <c r="FKG68" s="15"/>
      <c r="FKH68" s="15"/>
      <c r="FKI68" s="15"/>
      <c r="FKJ68" s="15"/>
      <c r="FKK68" s="15"/>
      <c r="FKL68" s="15"/>
      <c r="FKM68" s="15"/>
      <c r="FKN68" s="15"/>
      <c r="FKO68" s="15"/>
      <c r="FKP68" s="15"/>
      <c r="FKQ68" s="15"/>
      <c r="FKR68" s="15"/>
      <c r="FKS68" s="15"/>
      <c r="FKT68" s="15"/>
      <c r="FKU68" s="15"/>
      <c r="FKV68" s="15"/>
      <c r="FKW68" s="15"/>
      <c r="FKX68" s="15"/>
      <c r="FKY68" s="15"/>
      <c r="FKZ68" s="15"/>
      <c r="FLA68" s="15"/>
      <c r="FLB68" s="15"/>
      <c r="FLC68" s="15"/>
      <c r="FLD68" s="15"/>
      <c r="FLE68" s="15"/>
      <c r="FLF68" s="15"/>
      <c r="FLG68" s="15"/>
      <c r="FLH68" s="15"/>
      <c r="FLI68" s="15"/>
      <c r="FLJ68" s="15"/>
      <c r="FLK68" s="15"/>
      <c r="FLL68" s="15"/>
      <c r="FLM68" s="15"/>
      <c r="FLN68" s="15"/>
      <c r="FLO68" s="15"/>
      <c r="FLP68" s="15"/>
      <c r="FLQ68" s="15"/>
      <c r="FLR68" s="15"/>
      <c r="FLS68" s="15"/>
      <c r="FLT68" s="15"/>
      <c r="FLU68" s="15"/>
      <c r="FLV68" s="15"/>
      <c r="FLW68" s="15"/>
      <c r="FLX68" s="15"/>
      <c r="FLY68" s="15"/>
      <c r="FLZ68" s="15"/>
      <c r="FMA68" s="15"/>
      <c r="FMB68" s="15"/>
      <c r="FMC68" s="15"/>
      <c r="FMD68" s="15"/>
      <c r="FME68" s="15"/>
      <c r="FMF68" s="15"/>
      <c r="FMG68" s="15"/>
      <c r="FMH68" s="15"/>
      <c r="FMI68" s="15"/>
      <c r="FMJ68" s="15"/>
      <c r="FMK68" s="15"/>
      <c r="FML68" s="15"/>
      <c r="FMM68" s="15"/>
      <c r="FMN68" s="15"/>
      <c r="FMO68" s="15"/>
      <c r="FMP68" s="15"/>
      <c r="FMQ68" s="15"/>
      <c r="FMR68" s="15"/>
      <c r="FMS68" s="15"/>
      <c r="FMT68" s="15"/>
      <c r="FMU68" s="15"/>
      <c r="FMV68" s="15"/>
      <c r="FMW68" s="15"/>
      <c r="FMX68" s="15"/>
      <c r="FMY68" s="15"/>
      <c r="FMZ68" s="15"/>
      <c r="FNA68" s="15"/>
      <c r="FNB68" s="15"/>
      <c r="FNC68" s="15"/>
      <c r="FND68" s="15"/>
      <c r="FNE68" s="15"/>
      <c r="FNF68" s="15"/>
      <c r="FNG68" s="15"/>
      <c r="FNH68" s="15"/>
      <c r="FNI68" s="15"/>
      <c r="FNJ68" s="15"/>
      <c r="FNK68" s="15"/>
      <c r="FNL68" s="15"/>
      <c r="FNM68" s="15"/>
      <c r="FNN68" s="15"/>
      <c r="FNO68" s="15"/>
      <c r="FNP68" s="15"/>
      <c r="FNQ68" s="15"/>
      <c r="FNR68" s="15"/>
      <c r="FNS68" s="15"/>
      <c r="FNT68" s="15"/>
      <c r="FNU68" s="15"/>
      <c r="FNV68" s="15"/>
      <c r="FNW68" s="15"/>
      <c r="FNX68" s="15"/>
      <c r="FNY68" s="15"/>
      <c r="FNZ68" s="15"/>
      <c r="FOA68" s="15"/>
      <c r="FOB68" s="15"/>
      <c r="FOC68" s="15"/>
      <c r="FOD68" s="15"/>
      <c r="FOE68" s="15"/>
      <c r="FOF68" s="15"/>
      <c r="FOG68" s="15"/>
      <c r="FOH68" s="15"/>
      <c r="FOI68" s="15"/>
      <c r="FOJ68" s="15"/>
      <c r="FOK68" s="15"/>
      <c r="FOL68" s="15"/>
      <c r="FOM68" s="15"/>
      <c r="FON68" s="15"/>
      <c r="FOO68" s="15"/>
      <c r="FOP68" s="15"/>
      <c r="FOQ68" s="15"/>
      <c r="FOR68" s="15"/>
      <c r="FOS68" s="15"/>
      <c r="FOT68" s="15"/>
      <c r="FOU68" s="15"/>
      <c r="FOV68" s="15"/>
      <c r="FOW68" s="15"/>
      <c r="FOX68" s="15"/>
      <c r="FOY68" s="15"/>
      <c r="FOZ68" s="15"/>
      <c r="FPA68" s="15"/>
      <c r="FPB68" s="15"/>
      <c r="FPC68" s="15"/>
      <c r="FPD68" s="15"/>
      <c r="FPE68" s="15"/>
      <c r="FPF68" s="15"/>
      <c r="FPG68" s="15"/>
      <c r="FPH68" s="15"/>
      <c r="FPI68" s="15"/>
      <c r="FPJ68" s="15"/>
      <c r="FPK68" s="15"/>
      <c r="FPL68" s="15"/>
      <c r="FPM68" s="15"/>
      <c r="FPN68" s="15"/>
      <c r="FPO68" s="15"/>
      <c r="FPP68" s="15"/>
      <c r="FPQ68" s="15"/>
      <c r="FPR68" s="15"/>
      <c r="FPS68" s="15"/>
      <c r="FPT68" s="15"/>
      <c r="FPU68" s="15"/>
      <c r="FPV68" s="15"/>
      <c r="FPW68" s="15"/>
      <c r="FPX68" s="15"/>
      <c r="FPY68" s="15"/>
      <c r="FPZ68" s="15"/>
      <c r="FQA68" s="15"/>
      <c r="FQB68" s="15"/>
      <c r="FQC68" s="15"/>
      <c r="FQD68" s="15"/>
      <c r="FQE68" s="15"/>
      <c r="FQF68" s="15"/>
      <c r="FQG68" s="15"/>
      <c r="FQH68" s="15"/>
      <c r="FQI68" s="15"/>
      <c r="FQJ68" s="15"/>
      <c r="FQK68" s="15"/>
      <c r="FQL68" s="15"/>
      <c r="FQM68" s="15"/>
      <c r="FQN68" s="15"/>
      <c r="FQO68" s="15"/>
      <c r="FQP68" s="15"/>
      <c r="FQQ68" s="15"/>
      <c r="FQR68" s="15"/>
      <c r="FQS68" s="15"/>
      <c r="FQT68" s="15"/>
      <c r="FQU68" s="15"/>
      <c r="FQV68" s="15"/>
      <c r="FQW68" s="15"/>
      <c r="FQX68" s="15"/>
      <c r="FQY68" s="15"/>
      <c r="FQZ68" s="15"/>
      <c r="FRA68" s="15"/>
      <c r="FRB68" s="15"/>
      <c r="FRC68" s="15"/>
      <c r="FRD68" s="15"/>
      <c r="FRE68" s="15"/>
      <c r="FRF68" s="15"/>
      <c r="FRG68" s="15"/>
      <c r="FRH68" s="15"/>
      <c r="FRI68" s="15"/>
      <c r="FRJ68" s="15"/>
      <c r="FRK68" s="15"/>
      <c r="FRL68" s="15"/>
      <c r="FRM68" s="15"/>
      <c r="FRN68" s="15"/>
      <c r="FRO68" s="15"/>
      <c r="FRP68" s="15"/>
      <c r="FRQ68" s="15"/>
      <c r="FRR68" s="15"/>
      <c r="FRS68" s="15"/>
      <c r="FRT68" s="15"/>
      <c r="FRU68" s="15"/>
      <c r="FRV68" s="15"/>
      <c r="FRW68" s="15"/>
      <c r="FRX68" s="15"/>
      <c r="FRY68" s="15"/>
      <c r="FRZ68" s="15"/>
      <c r="FSA68" s="15"/>
      <c r="FSB68" s="15"/>
      <c r="FSC68" s="15"/>
      <c r="FSD68" s="15"/>
      <c r="FSE68" s="15"/>
      <c r="FSF68" s="15"/>
      <c r="FSG68" s="15"/>
      <c r="FSH68" s="15"/>
      <c r="FSI68" s="15"/>
      <c r="FSJ68" s="15"/>
      <c r="FSK68" s="15"/>
      <c r="FSL68" s="15"/>
      <c r="FSM68" s="15"/>
      <c r="FSN68" s="15"/>
      <c r="FSO68" s="15"/>
      <c r="FSP68" s="15"/>
      <c r="FSQ68" s="15"/>
      <c r="FSR68" s="15"/>
      <c r="FSS68" s="15"/>
      <c r="FST68" s="15"/>
      <c r="FSU68" s="15"/>
      <c r="FSV68" s="15"/>
      <c r="FSW68" s="15"/>
      <c r="FSX68" s="15"/>
      <c r="FSY68" s="15"/>
      <c r="FSZ68" s="15"/>
      <c r="FTA68" s="15"/>
      <c r="FTB68" s="15"/>
      <c r="FTC68" s="15"/>
      <c r="FTD68" s="15"/>
      <c r="FTE68" s="15"/>
      <c r="FTF68" s="15"/>
      <c r="FTG68" s="15"/>
      <c r="FTH68" s="15"/>
      <c r="FTI68" s="15"/>
      <c r="FTJ68" s="15"/>
      <c r="FTK68" s="15"/>
      <c r="FTL68" s="15"/>
      <c r="FTM68" s="15"/>
      <c r="FTN68" s="15"/>
      <c r="FTO68" s="15"/>
      <c r="FTP68" s="15"/>
      <c r="FTQ68" s="15"/>
      <c r="FTR68" s="15"/>
      <c r="FTS68" s="15"/>
      <c r="FTT68" s="15"/>
      <c r="FTU68" s="15"/>
      <c r="FTV68" s="15"/>
      <c r="FTW68" s="15"/>
      <c r="FTX68" s="15"/>
      <c r="FTY68" s="15"/>
      <c r="FTZ68" s="15"/>
      <c r="FUA68" s="15"/>
      <c r="FUB68" s="15"/>
      <c r="FUC68" s="15"/>
      <c r="FUD68" s="15"/>
      <c r="FUE68" s="15"/>
      <c r="FUF68" s="15"/>
      <c r="FUG68" s="15"/>
      <c r="FUH68" s="15"/>
      <c r="FUI68" s="15"/>
      <c r="FUJ68" s="15"/>
      <c r="FUK68" s="15"/>
      <c r="FUL68" s="15"/>
      <c r="FUM68" s="15"/>
      <c r="FUN68" s="15"/>
      <c r="FUO68" s="15"/>
      <c r="FUP68" s="15"/>
      <c r="FUQ68" s="15"/>
      <c r="FUR68" s="15"/>
      <c r="FUS68" s="15"/>
      <c r="FUT68" s="15"/>
      <c r="FUU68" s="15"/>
      <c r="FUV68" s="15"/>
      <c r="FUW68" s="15"/>
      <c r="FUX68" s="15"/>
      <c r="FUY68" s="15"/>
      <c r="FUZ68" s="15"/>
      <c r="FVA68" s="15"/>
      <c r="FVB68" s="15"/>
      <c r="FVC68" s="15"/>
      <c r="FVD68" s="15"/>
      <c r="FVE68" s="15"/>
      <c r="FVF68" s="15"/>
      <c r="FVG68" s="15"/>
      <c r="FVH68" s="15"/>
      <c r="FVI68" s="15"/>
      <c r="FVJ68" s="15"/>
      <c r="FVK68" s="15"/>
      <c r="FVL68" s="15"/>
      <c r="FVM68" s="15"/>
      <c r="FVN68" s="15"/>
      <c r="FVO68" s="15"/>
      <c r="FVP68" s="15"/>
      <c r="FVQ68" s="15"/>
      <c r="FVR68" s="15"/>
      <c r="FVS68" s="15"/>
      <c r="FVT68" s="15"/>
      <c r="FVU68" s="15"/>
      <c r="FVV68" s="15"/>
      <c r="FVW68" s="15"/>
      <c r="FVX68" s="15"/>
      <c r="FVY68" s="15"/>
      <c r="FVZ68" s="15"/>
      <c r="FWA68" s="15"/>
      <c r="FWB68" s="15"/>
      <c r="FWC68" s="15"/>
      <c r="FWD68" s="15"/>
      <c r="FWE68" s="15"/>
      <c r="FWF68" s="15"/>
      <c r="FWG68" s="15"/>
      <c r="FWH68" s="15"/>
      <c r="FWI68" s="15"/>
      <c r="FWJ68" s="15"/>
      <c r="FWK68" s="15"/>
      <c r="FWL68" s="15"/>
      <c r="FWM68" s="15"/>
      <c r="FWN68" s="15"/>
      <c r="FWO68" s="15"/>
      <c r="FWP68" s="15"/>
      <c r="FWQ68" s="15"/>
      <c r="FWR68" s="15"/>
      <c r="FWS68" s="15"/>
      <c r="FWT68" s="15"/>
      <c r="FWU68" s="15"/>
      <c r="FWV68" s="15"/>
      <c r="FWW68" s="15"/>
      <c r="FWX68" s="15"/>
      <c r="FWY68" s="15"/>
      <c r="FWZ68" s="15"/>
      <c r="FXA68" s="15"/>
      <c r="FXB68" s="15"/>
      <c r="FXC68" s="15"/>
      <c r="FXD68" s="15"/>
      <c r="FXE68" s="15"/>
      <c r="FXF68" s="15"/>
      <c r="FXG68" s="15"/>
      <c r="FXH68" s="15"/>
      <c r="FXI68" s="15"/>
      <c r="FXJ68" s="15"/>
      <c r="FXK68" s="15"/>
      <c r="FXL68" s="15"/>
      <c r="FXM68" s="15"/>
      <c r="FXN68" s="15"/>
      <c r="FXO68" s="15"/>
      <c r="FXP68" s="15"/>
      <c r="FXQ68" s="15"/>
      <c r="FXR68" s="15"/>
      <c r="FXS68" s="15"/>
      <c r="FXT68" s="15"/>
      <c r="FXU68" s="15"/>
      <c r="FXV68" s="15"/>
      <c r="FXW68" s="15"/>
      <c r="FXX68" s="15"/>
      <c r="FXY68" s="15"/>
      <c r="FXZ68" s="15"/>
      <c r="FYA68" s="15"/>
      <c r="FYB68" s="15"/>
      <c r="FYC68" s="15"/>
      <c r="FYD68" s="15"/>
      <c r="FYE68" s="15"/>
      <c r="FYF68" s="15"/>
      <c r="FYG68" s="15"/>
      <c r="FYH68" s="15"/>
      <c r="FYI68" s="15"/>
      <c r="FYJ68" s="15"/>
      <c r="FYK68" s="15"/>
      <c r="FYL68" s="15"/>
      <c r="FYM68" s="15"/>
      <c r="FYN68" s="15"/>
      <c r="FYO68" s="15"/>
      <c r="FYP68" s="15"/>
      <c r="FYQ68" s="15"/>
      <c r="FYR68" s="15"/>
      <c r="FYS68" s="15"/>
      <c r="FYT68" s="15"/>
      <c r="FYU68" s="15"/>
      <c r="FYV68" s="15"/>
      <c r="FYW68" s="15"/>
      <c r="FYX68" s="15"/>
      <c r="FYY68" s="15"/>
      <c r="FYZ68" s="15"/>
      <c r="FZA68" s="15"/>
      <c r="FZB68" s="15"/>
      <c r="FZC68" s="15"/>
      <c r="FZD68" s="15"/>
      <c r="FZE68" s="15"/>
      <c r="FZF68" s="15"/>
      <c r="FZG68" s="15"/>
      <c r="FZH68" s="15"/>
      <c r="FZI68" s="15"/>
      <c r="FZJ68" s="15"/>
      <c r="FZK68" s="15"/>
      <c r="FZL68" s="15"/>
      <c r="FZM68" s="15"/>
      <c r="FZN68" s="15"/>
      <c r="FZO68" s="15"/>
      <c r="FZP68" s="15"/>
      <c r="FZQ68" s="15"/>
      <c r="FZR68" s="15"/>
      <c r="FZS68" s="15"/>
      <c r="FZT68" s="15"/>
      <c r="FZU68" s="15"/>
      <c r="FZV68" s="15"/>
      <c r="FZW68" s="15"/>
      <c r="FZX68" s="15"/>
      <c r="FZY68" s="15"/>
      <c r="FZZ68" s="15"/>
      <c r="GAA68" s="15"/>
      <c r="GAB68" s="15"/>
      <c r="GAC68" s="15"/>
      <c r="GAD68" s="15"/>
      <c r="GAE68" s="15"/>
      <c r="GAF68" s="15"/>
      <c r="GAG68" s="15"/>
      <c r="GAH68" s="15"/>
      <c r="GAI68" s="15"/>
      <c r="GAJ68" s="15"/>
      <c r="GAK68" s="15"/>
      <c r="GAL68" s="15"/>
      <c r="GAM68" s="15"/>
      <c r="GAN68" s="15"/>
      <c r="GAO68" s="15"/>
      <c r="GAP68" s="15"/>
      <c r="GAQ68" s="15"/>
      <c r="GAR68" s="15"/>
      <c r="GAS68" s="15"/>
      <c r="GAT68" s="15"/>
      <c r="GAU68" s="15"/>
      <c r="GAV68" s="15"/>
      <c r="GAW68" s="15"/>
      <c r="GAX68" s="15"/>
      <c r="GAY68" s="15"/>
      <c r="GAZ68" s="15"/>
      <c r="GBA68" s="15"/>
      <c r="GBB68" s="15"/>
      <c r="GBC68" s="15"/>
      <c r="GBD68" s="15"/>
      <c r="GBE68" s="15"/>
      <c r="GBF68" s="15"/>
      <c r="GBG68" s="15"/>
      <c r="GBH68" s="15"/>
      <c r="GBI68" s="15"/>
      <c r="GBJ68" s="15"/>
      <c r="GBK68" s="15"/>
      <c r="GBL68" s="15"/>
      <c r="GBM68" s="15"/>
      <c r="GBN68" s="15"/>
      <c r="GBO68" s="15"/>
      <c r="GBP68" s="15"/>
      <c r="GBQ68" s="15"/>
      <c r="GBR68" s="15"/>
      <c r="GBS68" s="15"/>
      <c r="GBT68" s="15"/>
      <c r="GBU68" s="15"/>
      <c r="GBV68" s="15"/>
      <c r="GBW68" s="15"/>
      <c r="GBX68" s="15"/>
      <c r="GBY68" s="15"/>
      <c r="GBZ68" s="15"/>
      <c r="GCA68" s="15"/>
      <c r="GCB68" s="15"/>
      <c r="GCC68" s="15"/>
      <c r="GCD68" s="15"/>
      <c r="GCE68" s="15"/>
      <c r="GCF68" s="15"/>
      <c r="GCG68" s="15"/>
      <c r="GCH68" s="15"/>
      <c r="GCI68" s="15"/>
      <c r="GCJ68" s="15"/>
      <c r="GCK68" s="15"/>
      <c r="GCL68" s="15"/>
      <c r="GCM68" s="15"/>
      <c r="GCN68" s="15"/>
      <c r="GCO68" s="15"/>
      <c r="GCP68" s="15"/>
      <c r="GCQ68" s="15"/>
      <c r="GCR68" s="15"/>
      <c r="GCS68" s="15"/>
      <c r="GCT68" s="15"/>
      <c r="GCU68" s="15"/>
      <c r="GCV68" s="15"/>
      <c r="GCW68" s="15"/>
      <c r="GCX68" s="15"/>
      <c r="GCY68" s="15"/>
      <c r="GCZ68" s="15"/>
      <c r="GDA68" s="15"/>
      <c r="GDB68" s="15"/>
      <c r="GDC68" s="15"/>
      <c r="GDD68" s="15"/>
      <c r="GDE68" s="15"/>
      <c r="GDF68" s="15"/>
      <c r="GDG68" s="15"/>
      <c r="GDH68" s="15"/>
      <c r="GDI68" s="15"/>
      <c r="GDJ68" s="15"/>
      <c r="GDK68" s="15"/>
      <c r="GDL68" s="15"/>
      <c r="GDM68" s="15"/>
      <c r="GDN68" s="15"/>
      <c r="GDO68" s="15"/>
      <c r="GDP68" s="15"/>
      <c r="GDQ68" s="15"/>
      <c r="GDR68" s="15"/>
      <c r="GDS68" s="15"/>
      <c r="GDT68" s="15"/>
      <c r="GDU68" s="15"/>
      <c r="GDV68" s="15"/>
      <c r="GDW68" s="15"/>
      <c r="GDX68" s="15"/>
      <c r="GDY68" s="15"/>
      <c r="GDZ68" s="15"/>
      <c r="GEA68" s="15"/>
      <c r="GEB68" s="15"/>
      <c r="GEC68" s="15"/>
      <c r="GED68" s="15"/>
      <c r="GEE68" s="15"/>
      <c r="GEF68" s="15"/>
      <c r="GEG68" s="15"/>
      <c r="GEH68" s="15"/>
      <c r="GEI68" s="15"/>
      <c r="GEJ68" s="15"/>
      <c r="GEK68" s="15"/>
      <c r="GEL68" s="15"/>
      <c r="GEM68" s="15"/>
      <c r="GEN68" s="15"/>
      <c r="GEO68" s="15"/>
      <c r="GEP68" s="15"/>
      <c r="GEQ68" s="15"/>
      <c r="GER68" s="15"/>
      <c r="GES68" s="15"/>
      <c r="GET68" s="15"/>
      <c r="GEU68" s="15"/>
      <c r="GEV68" s="15"/>
      <c r="GEW68" s="15"/>
      <c r="GEX68" s="15"/>
      <c r="GEY68" s="15"/>
      <c r="GEZ68" s="15"/>
      <c r="GFA68" s="15"/>
      <c r="GFB68" s="15"/>
      <c r="GFC68" s="15"/>
      <c r="GFD68" s="15"/>
      <c r="GFE68" s="15"/>
      <c r="GFF68" s="15"/>
      <c r="GFG68" s="15"/>
      <c r="GFH68" s="15"/>
      <c r="GFI68" s="15"/>
      <c r="GFJ68" s="15"/>
      <c r="GFK68" s="15"/>
      <c r="GFL68" s="15"/>
      <c r="GFM68" s="15"/>
      <c r="GFN68" s="15"/>
      <c r="GFO68" s="15"/>
      <c r="GFP68" s="15"/>
      <c r="GFQ68" s="15"/>
      <c r="GFR68" s="15"/>
      <c r="GFS68" s="15"/>
      <c r="GFT68" s="15"/>
      <c r="GFU68" s="15"/>
      <c r="GFV68" s="15"/>
      <c r="GFW68" s="15"/>
      <c r="GFX68" s="15"/>
      <c r="GFY68" s="15"/>
      <c r="GFZ68" s="15"/>
      <c r="GGA68" s="15"/>
      <c r="GGB68" s="15"/>
      <c r="GGC68" s="15"/>
      <c r="GGD68" s="15"/>
      <c r="GGE68" s="15"/>
      <c r="GGF68" s="15"/>
      <c r="GGG68" s="15"/>
      <c r="GGH68" s="15"/>
      <c r="GGI68" s="15"/>
      <c r="GGJ68" s="15"/>
      <c r="GGK68" s="15"/>
      <c r="GGL68" s="15"/>
      <c r="GGM68" s="15"/>
      <c r="GGN68" s="15"/>
      <c r="GGO68" s="15"/>
      <c r="GGP68" s="15"/>
      <c r="GGQ68" s="15"/>
      <c r="GGR68" s="15"/>
      <c r="GGS68" s="15"/>
      <c r="GGT68" s="15"/>
      <c r="GGU68" s="15"/>
      <c r="GGV68" s="15"/>
      <c r="GGW68" s="15"/>
      <c r="GGX68" s="15"/>
      <c r="GGY68" s="15"/>
      <c r="GGZ68" s="15"/>
      <c r="GHA68" s="15"/>
      <c r="GHB68" s="15"/>
      <c r="GHC68" s="15"/>
      <c r="GHD68" s="15"/>
      <c r="GHE68" s="15"/>
      <c r="GHF68" s="15"/>
      <c r="GHG68" s="15"/>
      <c r="GHH68" s="15"/>
      <c r="GHI68" s="15"/>
      <c r="GHJ68" s="15"/>
      <c r="GHK68" s="15"/>
      <c r="GHL68" s="15"/>
      <c r="GHM68" s="15"/>
      <c r="GHN68" s="15"/>
      <c r="GHO68" s="15"/>
      <c r="GHP68" s="15"/>
      <c r="GHQ68" s="15"/>
      <c r="GHR68" s="15"/>
      <c r="GHS68" s="15"/>
      <c r="GHT68" s="15"/>
      <c r="GHU68" s="15"/>
      <c r="GHV68" s="15"/>
      <c r="GHW68" s="15"/>
      <c r="GHX68" s="15"/>
      <c r="GHY68" s="15"/>
      <c r="GHZ68" s="15"/>
      <c r="GIA68" s="15"/>
      <c r="GIB68" s="15"/>
      <c r="GIC68" s="15"/>
      <c r="GID68" s="15"/>
      <c r="GIE68" s="15"/>
      <c r="GIF68" s="15"/>
      <c r="GIG68" s="15"/>
      <c r="GIH68" s="15"/>
      <c r="GII68" s="15"/>
      <c r="GIJ68" s="15"/>
      <c r="GIK68" s="15"/>
      <c r="GIL68" s="15"/>
      <c r="GIM68" s="15"/>
      <c r="GIN68" s="15"/>
      <c r="GIO68" s="15"/>
      <c r="GIP68" s="15"/>
      <c r="GIQ68" s="15"/>
      <c r="GIR68" s="15"/>
      <c r="GIS68" s="15"/>
      <c r="GIT68" s="15"/>
      <c r="GIU68" s="15"/>
      <c r="GIV68" s="15"/>
      <c r="GIW68" s="15"/>
      <c r="GIX68" s="15"/>
      <c r="GIY68" s="15"/>
      <c r="GIZ68" s="15"/>
      <c r="GJA68" s="15"/>
      <c r="GJB68" s="15"/>
      <c r="GJC68" s="15"/>
      <c r="GJD68" s="15"/>
      <c r="GJE68" s="15"/>
      <c r="GJF68" s="15"/>
      <c r="GJG68" s="15"/>
      <c r="GJH68" s="15"/>
      <c r="GJI68" s="15"/>
      <c r="GJJ68" s="15"/>
      <c r="GJK68" s="15"/>
      <c r="GJL68" s="15"/>
      <c r="GJM68" s="15"/>
      <c r="GJN68" s="15"/>
      <c r="GJO68" s="15"/>
      <c r="GJP68" s="15"/>
      <c r="GJQ68" s="15"/>
      <c r="GJR68" s="15"/>
      <c r="GJS68" s="15"/>
      <c r="GJT68" s="15"/>
      <c r="GJU68" s="15"/>
      <c r="GJV68" s="15"/>
      <c r="GJW68" s="15"/>
      <c r="GJX68" s="15"/>
      <c r="GJY68" s="15"/>
      <c r="GJZ68" s="15"/>
      <c r="GKA68" s="15"/>
      <c r="GKB68" s="15"/>
      <c r="GKC68" s="15"/>
      <c r="GKD68" s="15"/>
      <c r="GKE68" s="15"/>
      <c r="GKF68" s="15"/>
      <c r="GKG68" s="15"/>
      <c r="GKH68" s="15"/>
      <c r="GKI68" s="15"/>
      <c r="GKJ68" s="15"/>
      <c r="GKK68" s="15"/>
      <c r="GKL68" s="15"/>
      <c r="GKM68" s="15"/>
      <c r="GKN68" s="15"/>
      <c r="GKO68" s="15"/>
      <c r="GKP68" s="15"/>
      <c r="GKQ68" s="15"/>
      <c r="GKR68" s="15"/>
      <c r="GKS68" s="15"/>
      <c r="GKT68" s="15"/>
      <c r="GKU68" s="15"/>
      <c r="GKV68" s="15"/>
      <c r="GKW68" s="15"/>
      <c r="GKX68" s="15"/>
      <c r="GKY68" s="15"/>
      <c r="GKZ68" s="15"/>
      <c r="GLA68" s="15"/>
      <c r="GLB68" s="15"/>
      <c r="GLC68" s="15"/>
      <c r="GLD68" s="15"/>
      <c r="GLE68" s="15"/>
      <c r="GLF68" s="15"/>
      <c r="GLG68" s="15"/>
      <c r="GLH68" s="15"/>
      <c r="GLI68" s="15"/>
      <c r="GLJ68" s="15"/>
      <c r="GLK68" s="15"/>
      <c r="GLL68" s="15"/>
      <c r="GLM68" s="15"/>
      <c r="GLN68" s="15"/>
      <c r="GLO68" s="15"/>
      <c r="GLP68" s="15"/>
      <c r="GLQ68" s="15"/>
      <c r="GLR68" s="15"/>
      <c r="GLS68" s="15"/>
      <c r="GLT68" s="15"/>
      <c r="GLU68" s="15"/>
      <c r="GLV68" s="15"/>
      <c r="GLW68" s="15"/>
      <c r="GLX68" s="15"/>
      <c r="GLY68" s="15"/>
      <c r="GLZ68" s="15"/>
      <c r="GMA68" s="15"/>
      <c r="GMB68" s="15"/>
      <c r="GMC68" s="15"/>
      <c r="GMD68" s="15"/>
      <c r="GME68" s="15"/>
      <c r="GMF68" s="15"/>
      <c r="GMG68" s="15"/>
      <c r="GMH68" s="15"/>
      <c r="GMI68" s="15"/>
      <c r="GMJ68" s="15"/>
      <c r="GMK68" s="15"/>
      <c r="GML68" s="15"/>
      <c r="GMM68" s="15"/>
      <c r="GMN68" s="15"/>
      <c r="GMO68" s="15"/>
      <c r="GMP68" s="15"/>
      <c r="GMQ68" s="15"/>
      <c r="GMR68" s="15"/>
      <c r="GMS68" s="15"/>
      <c r="GMT68" s="15"/>
      <c r="GMU68" s="15"/>
      <c r="GMV68" s="15"/>
      <c r="GMW68" s="15"/>
      <c r="GMX68" s="15"/>
      <c r="GMY68" s="15"/>
      <c r="GMZ68" s="15"/>
      <c r="GNA68" s="15"/>
      <c r="GNB68" s="15"/>
      <c r="GNC68" s="15"/>
      <c r="GND68" s="15"/>
      <c r="GNE68" s="15"/>
      <c r="GNF68" s="15"/>
      <c r="GNG68" s="15"/>
      <c r="GNH68" s="15"/>
      <c r="GNI68" s="15"/>
      <c r="GNJ68" s="15"/>
      <c r="GNK68" s="15"/>
      <c r="GNL68" s="15"/>
      <c r="GNM68" s="15"/>
      <c r="GNN68" s="15"/>
      <c r="GNO68" s="15"/>
      <c r="GNP68" s="15"/>
      <c r="GNQ68" s="15"/>
      <c r="GNR68" s="15"/>
      <c r="GNS68" s="15"/>
      <c r="GNT68" s="15"/>
      <c r="GNU68" s="15"/>
      <c r="GNV68" s="15"/>
      <c r="GNW68" s="15"/>
      <c r="GNX68" s="15"/>
      <c r="GNY68" s="15"/>
      <c r="GNZ68" s="15"/>
      <c r="GOA68" s="15"/>
      <c r="GOB68" s="15"/>
      <c r="GOC68" s="15"/>
      <c r="GOD68" s="15"/>
      <c r="GOE68" s="15"/>
      <c r="GOF68" s="15"/>
      <c r="GOG68" s="15"/>
      <c r="GOH68" s="15"/>
      <c r="GOI68" s="15"/>
      <c r="GOJ68" s="15"/>
      <c r="GOK68" s="15"/>
      <c r="GOL68" s="15"/>
      <c r="GOM68" s="15"/>
      <c r="GON68" s="15"/>
      <c r="GOO68" s="15"/>
      <c r="GOP68" s="15"/>
      <c r="GOQ68" s="15"/>
      <c r="GOR68" s="15"/>
      <c r="GOS68" s="15"/>
      <c r="GOT68" s="15"/>
      <c r="GOU68" s="15"/>
      <c r="GOV68" s="15"/>
      <c r="GOW68" s="15"/>
      <c r="GOX68" s="15"/>
      <c r="GOY68" s="15"/>
      <c r="GOZ68" s="15"/>
      <c r="GPA68" s="15"/>
      <c r="GPB68" s="15"/>
      <c r="GPC68" s="15"/>
      <c r="GPD68" s="15"/>
      <c r="GPE68" s="15"/>
      <c r="GPF68" s="15"/>
      <c r="GPG68" s="15"/>
      <c r="GPH68" s="15"/>
      <c r="GPI68" s="15"/>
      <c r="GPJ68" s="15"/>
      <c r="GPK68" s="15"/>
      <c r="GPL68" s="15"/>
      <c r="GPM68" s="15"/>
      <c r="GPN68" s="15"/>
      <c r="GPO68" s="15"/>
      <c r="GPP68" s="15"/>
      <c r="GPQ68" s="15"/>
      <c r="GPR68" s="15"/>
      <c r="GPS68" s="15"/>
      <c r="GPT68" s="15"/>
      <c r="GPU68" s="15"/>
      <c r="GPV68" s="15"/>
      <c r="GPW68" s="15"/>
      <c r="GPX68" s="15"/>
      <c r="GPY68" s="15"/>
      <c r="GPZ68" s="15"/>
      <c r="GQA68" s="15"/>
      <c r="GQB68" s="15"/>
      <c r="GQC68" s="15"/>
      <c r="GQD68" s="15"/>
      <c r="GQE68" s="15"/>
      <c r="GQF68" s="15"/>
      <c r="GQG68" s="15"/>
      <c r="GQH68" s="15"/>
      <c r="GQI68" s="15"/>
      <c r="GQJ68" s="15"/>
      <c r="GQK68" s="15"/>
      <c r="GQL68" s="15"/>
      <c r="GQM68" s="15"/>
      <c r="GQN68" s="15"/>
      <c r="GQO68" s="15"/>
      <c r="GQP68" s="15"/>
      <c r="GQQ68" s="15"/>
      <c r="GQR68" s="15"/>
      <c r="GQS68" s="15"/>
      <c r="GQT68" s="15"/>
      <c r="GQU68" s="15"/>
      <c r="GQV68" s="15"/>
      <c r="GQW68" s="15"/>
      <c r="GQX68" s="15"/>
      <c r="GQY68" s="15"/>
      <c r="GQZ68" s="15"/>
      <c r="GRA68" s="15"/>
      <c r="GRB68" s="15"/>
      <c r="GRC68" s="15"/>
      <c r="GRD68" s="15"/>
      <c r="GRE68" s="15"/>
      <c r="GRF68" s="15"/>
      <c r="GRG68" s="15"/>
      <c r="GRH68" s="15"/>
      <c r="GRI68" s="15"/>
      <c r="GRJ68" s="15"/>
      <c r="GRK68" s="15"/>
      <c r="GRL68" s="15"/>
      <c r="GRM68" s="15"/>
      <c r="GRN68" s="15"/>
      <c r="GRO68" s="15"/>
      <c r="GRP68" s="15"/>
      <c r="GRQ68" s="15"/>
      <c r="GRR68" s="15"/>
      <c r="GRS68" s="15"/>
      <c r="GRT68" s="15"/>
      <c r="GRU68" s="15"/>
      <c r="GRV68" s="15"/>
      <c r="GRW68" s="15"/>
      <c r="GRX68" s="15"/>
      <c r="GRY68" s="15"/>
      <c r="GRZ68" s="15"/>
      <c r="GSA68" s="15"/>
      <c r="GSB68" s="15"/>
      <c r="GSC68" s="15"/>
      <c r="GSD68" s="15"/>
      <c r="GSE68" s="15"/>
      <c r="GSF68" s="15"/>
      <c r="GSG68" s="15"/>
      <c r="GSH68" s="15"/>
      <c r="GSI68" s="15"/>
      <c r="GSJ68" s="15"/>
      <c r="GSK68" s="15"/>
      <c r="GSL68" s="15"/>
      <c r="GSM68" s="15"/>
      <c r="GSN68" s="15"/>
      <c r="GSO68" s="15"/>
      <c r="GSP68" s="15"/>
      <c r="GSQ68" s="15"/>
      <c r="GSR68" s="15"/>
      <c r="GSS68" s="15"/>
      <c r="GST68" s="15"/>
      <c r="GSU68" s="15"/>
      <c r="GSV68" s="15"/>
      <c r="GSW68" s="15"/>
      <c r="GSX68" s="15"/>
      <c r="GSY68" s="15"/>
      <c r="GSZ68" s="15"/>
      <c r="GTA68" s="15"/>
      <c r="GTB68" s="15"/>
      <c r="GTC68" s="15"/>
      <c r="GTD68" s="15"/>
      <c r="GTE68" s="15"/>
      <c r="GTF68" s="15"/>
      <c r="GTG68" s="15"/>
      <c r="GTH68" s="15"/>
      <c r="GTI68" s="15"/>
      <c r="GTJ68" s="15"/>
      <c r="GTK68" s="15"/>
      <c r="GTL68" s="15"/>
      <c r="GTM68" s="15"/>
      <c r="GTN68" s="15"/>
      <c r="GTO68" s="15"/>
      <c r="GTP68" s="15"/>
      <c r="GTQ68" s="15"/>
      <c r="GTR68" s="15"/>
      <c r="GTS68" s="15"/>
      <c r="GTT68" s="15"/>
      <c r="GTU68" s="15"/>
      <c r="GTV68" s="15"/>
      <c r="GTW68" s="15"/>
      <c r="GTX68" s="15"/>
      <c r="GTY68" s="15"/>
      <c r="GTZ68" s="15"/>
      <c r="GUA68" s="15"/>
      <c r="GUB68" s="15"/>
      <c r="GUC68" s="15"/>
      <c r="GUD68" s="15"/>
      <c r="GUE68" s="15"/>
      <c r="GUF68" s="15"/>
      <c r="GUG68" s="15"/>
      <c r="GUH68" s="15"/>
      <c r="GUI68" s="15"/>
      <c r="GUJ68" s="15"/>
      <c r="GUK68" s="15"/>
      <c r="GUL68" s="15"/>
      <c r="GUM68" s="15"/>
      <c r="GUN68" s="15"/>
      <c r="GUO68" s="15"/>
      <c r="GUP68" s="15"/>
      <c r="GUQ68" s="15"/>
      <c r="GUR68" s="15"/>
      <c r="GUS68" s="15"/>
      <c r="GUT68" s="15"/>
      <c r="GUU68" s="15"/>
      <c r="GUV68" s="15"/>
      <c r="GUW68" s="15"/>
      <c r="GUX68" s="15"/>
      <c r="GUY68" s="15"/>
      <c r="GUZ68" s="15"/>
      <c r="GVA68" s="15"/>
      <c r="GVB68" s="15"/>
      <c r="GVC68" s="15"/>
      <c r="GVD68" s="15"/>
      <c r="GVE68" s="15"/>
      <c r="GVF68" s="15"/>
      <c r="GVG68" s="15"/>
      <c r="GVH68" s="15"/>
      <c r="GVI68" s="15"/>
      <c r="GVJ68" s="15"/>
      <c r="GVK68" s="15"/>
      <c r="GVL68" s="15"/>
      <c r="GVM68" s="15"/>
      <c r="GVN68" s="15"/>
      <c r="GVO68" s="15"/>
      <c r="GVP68" s="15"/>
      <c r="GVQ68" s="15"/>
      <c r="GVR68" s="15"/>
      <c r="GVS68" s="15"/>
      <c r="GVT68" s="15"/>
      <c r="GVU68" s="15"/>
      <c r="GVV68" s="15"/>
      <c r="GVW68" s="15"/>
      <c r="GVX68" s="15"/>
      <c r="GVY68" s="15"/>
      <c r="GVZ68" s="15"/>
      <c r="GWA68" s="15"/>
      <c r="GWB68" s="15"/>
      <c r="GWC68" s="15"/>
      <c r="GWD68" s="15"/>
      <c r="GWE68" s="15"/>
      <c r="GWF68" s="15"/>
      <c r="GWG68" s="15"/>
      <c r="GWH68" s="15"/>
      <c r="GWI68" s="15"/>
      <c r="GWJ68" s="15"/>
      <c r="GWK68" s="15"/>
      <c r="GWL68" s="15"/>
      <c r="GWM68" s="15"/>
      <c r="GWN68" s="15"/>
      <c r="GWO68" s="15"/>
      <c r="GWP68" s="15"/>
      <c r="GWQ68" s="15"/>
      <c r="GWR68" s="15"/>
      <c r="GWS68" s="15"/>
      <c r="GWT68" s="15"/>
      <c r="GWU68" s="15"/>
      <c r="GWV68" s="15"/>
      <c r="GWW68" s="15"/>
      <c r="GWX68" s="15"/>
      <c r="GWY68" s="15"/>
      <c r="GWZ68" s="15"/>
      <c r="GXA68" s="15"/>
      <c r="GXB68" s="15"/>
      <c r="GXC68" s="15"/>
      <c r="GXD68" s="15"/>
      <c r="GXE68" s="15"/>
      <c r="GXF68" s="15"/>
      <c r="GXG68" s="15"/>
      <c r="GXH68" s="15"/>
      <c r="GXI68" s="15"/>
      <c r="GXJ68" s="15"/>
      <c r="GXK68" s="15"/>
      <c r="GXL68" s="15"/>
      <c r="GXM68" s="15"/>
      <c r="GXN68" s="15"/>
      <c r="GXO68" s="15"/>
      <c r="GXP68" s="15"/>
      <c r="GXQ68" s="15"/>
      <c r="GXR68" s="15"/>
      <c r="GXS68" s="15"/>
      <c r="GXT68" s="15"/>
      <c r="GXU68" s="15"/>
      <c r="GXV68" s="15"/>
      <c r="GXW68" s="15"/>
      <c r="GXX68" s="15"/>
      <c r="GXY68" s="15"/>
      <c r="GXZ68" s="15"/>
      <c r="GYA68" s="15"/>
      <c r="GYB68" s="15"/>
      <c r="GYC68" s="15"/>
      <c r="GYD68" s="15"/>
      <c r="GYE68" s="15"/>
      <c r="GYF68" s="15"/>
      <c r="GYG68" s="15"/>
      <c r="GYH68" s="15"/>
      <c r="GYI68" s="15"/>
      <c r="GYJ68" s="15"/>
      <c r="GYK68" s="15"/>
      <c r="GYL68" s="15"/>
      <c r="GYM68" s="15"/>
      <c r="GYN68" s="15"/>
      <c r="GYO68" s="15"/>
      <c r="GYP68" s="15"/>
      <c r="GYQ68" s="15"/>
      <c r="GYR68" s="15"/>
      <c r="GYS68" s="15"/>
      <c r="GYT68" s="15"/>
      <c r="GYU68" s="15"/>
      <c r="GYV68" s="15"/>
      <c r="GYW68" s="15"/>
      <c r="GYX68" s="15"/>
      <c r="GYY68" s="15"/>
      <c r="GYZ68" s="15"/>
      <c r="GZA68" s="15"/>
      <c r="GZB68" s="15"/>
      <c r="GZC68" s="15"/>
      <c r="GZD68" s="15"/>
      <c r="GZE68" s="15"/>
      <c r="GZF68" s="15"/>
      <c r="GZG68" s="15"/>
      <c r="GZH68" s="15"/>
      <c r="GZI68" s="15"/>
      <c r="GZJ68" s="15"/>
      <c r="GZK68" s="15"/>
      <c r="GZL68" s="15"/>
      <c r="GZM68" s="15"/>
      <c r="GZN68" s="15"/>
      <c r="GZO68" s="15"/>
      <c r="GZP68" s="15"/>
      <c r="GZQ68" s="15"/>
      <c r="GZR68" s="15"/>
      <c r="GZS68" s="15"/>
      <c r="GZT68" s="15"/>
      <c r="GZU68" s="15"/>
      <c r="GZV68" s="15"/>
      <c r="GZW68" s="15"/>
      <c r="GZX68" s="15"/>
      <c r="GZY68" s="15"/>
      <c r="GZZ68" s="15"/>
      <c r="HAA68" s="15"/>
      <c r="HAB68" s="15"/>
      <c r="HAC68" s="15"/>
      <c r="HAD68" s="15"/>
      <c r="HAE68" s="15"/>
      <c r="HAF68" s="15"/>
      <c r="HAG68" s="15"/>
      <c r="HAH68" s="15"/>
      <c r="HAI68" s="15"/>
      <c r="HAJ68" s="15"/>
      <c r="HAK68" s="15"/>
      <c r="HAL68" s="15"/>
      <c r="HAM68" s="15"/>
      <c r="HAN68" s="15"/>
      <c r="HAO68" s="15"/>
      <c r="HAP68" s="15"/>
      <c r="HAQ68" s="15"/>
      <c r="HAR68" s="15"/>
      <c r="HAS68" s="15"/>
      <c r="HAT68" s="15"/>
      <c r="HAU68" s="15"/>
      <c r="HAV68" s="15"/>
      <c r="HAW68" s="15"/>
      <c r="HAX68" s="15"/>
      <c r="HAY68" s="15"/>
      <c r="HAZ68" s="15"/>
      <c r="HBA68" s="15"/>
      <c r="HBB68" s="15"/>
      <c r="HBC68" s="15"/>
      <c r="HBD68" s="15"/>
      <c r="HBE68" s="15"/>
      <c r="HBF68" s="15"/>
      <c r="HBG68" s="15"/>
      <c r="HBH68" s="15"/>
      <c r="HBI68" s="15"/>
      <c r="HBJ68" s="15"/>
      <c r="HBK68" s="15"/>
      <c r="HBL68" s="15"/>
      <c r="HBM68" s="15"/>
      <c r="HBN68" s="15"/>
      <c r="HBO68" s="15"/>
      <c r="HBP68" s="15"/>
      <c r="HBQ68" s="15"/>
      <c r="HBR68" s="15"/>
      <c r="HBS68" s="15"/>
      <c r="HBT68" s="15"/>
      <c r="HBU68" s="15"/>
      <c r="HBV68" s="15"/>
      <c r="HBW68" s="15"/>
      <c r="HBX68" s="15"/>
      <c r="HBY68" s="15"/>
      <c r="HBZ68" s="15"/>
      <c r="HCA68" s="15"/>
      <c r="HCB68" s="15"/>
      <c r="HCC68" s="15"/>
      <c r="HCD68" s="15"/>
      <c r="HCE68" s="15"/>
      <c r="HCF68" s="15"/>
      <c r="HCG68" s="15"/>
      <c r="HCH68" s="15"/>
      <c r="HCI68" s="15"/>
      <c r="HCJ68" s="15"/>
      <c r="HCK68" s="15"/>
      <c r="HCL68" s="15"/>
      <c r="HCM68" s="15"/>
      <c r="HCN68" s="15"/>
      <c r="HCO68" s="15"/>
      <c r="HCP68" s="15"/>
      <c r="HCQ68" s="15"/>
      <c r="HCR68" s="15"/>
      <c r="HCS68" s="15"/>
      <c r="HCT68" s="15"/>
      <c r="HCU68" s="15"/>
      <c r="HCV68" s="15"/>
      <c r="HCW68" s="15"/>
      <c r="HCX68" s="15"/>
      <c r="HCY68" s="15"/>
      <c r="HCZ68" s="15"/>
      <c r="HDA68" s="15"/>
      <c r="HDB68" s="15"/>
      <c r="HDC68" s="15"/>
      <c r="HDD68" s="15"/>
      <c r="HDE68" s="15"/>
      <c r="HDF68" s="15"/>
      <c r="HDG68" s="15"/>
      <c r="HDH68" s="15"/>
      <c r="HDI68" s="15"/>
      <c r="HDJ68" s="15"/>
      <c r="HDK68" s="15"/>
      <c r="HDL68" s="15"/>
      <c r="HDM68" s="15"/>
      <c r="HDN68" s="15"/>
      <c r="HDO68" s="15"/>
      <c r="HDP68" s="15"/>
      <c r="HDQ68" s="15"/>
      <c r="HDR68" s="15"/>
      <c r="HDS68" s="15"/>
      <c r="HDT68" s="15"/>
      <c r="HDU68" s="15"/>
      <c r="HDV68" s="15"/>
      <c r="HDW68" s="15"/>
      <c r="HDX68" s="15"/>
      <c r="HDY68" s="15"/>
      <c r="HDZ68" s="15"/>
      <c r="HEA68" s="15"/>
      <c r="HEB68" s="15"/>
      <c r="HEC68" s="15"/>
      <c r="HED68" s="15"/>
      <c r="HEE68" s="15"/>
      <c r="HEF68" s="15"/>
      <c r="HEG68" s="15"/>
      <c r="HEH68" s="15"/>
      <c r="HEI68" s="15"/>
      <c r="HEJ68" s="15"/>
      <c r="HEK68" s="15"/>
      <c r="HEL68" s="15"/>
      <c r="HEM68" s="15"/>
      <c r="HEN68" s="15"/>
      <c r="HEO68" s="15"/>
      <c r="HEP68" s="15"/>
      <c r="HEQ68" s="15"/>
      <c r="HER68" s="15"/>
      <c r="HES68" s="15"/>
      <c r="HET68" s="15"/>
      <c r="HEU68" s="15"/>
      <c r="HEV68" s="15"/>
      <c r="HEW68" s="15"/>
      <c r="HEX68" s="15"/>
      <c r="HEY68" s="15"/>
      <c r="HEZ68" s="15"/>
      <c r="HFA68" s="15"/>
      <c r="HFB68" s="15"/>
      <c r="HFC68" s="15"/>
      <c r="HFD68" s="15"/>
      <c r="HFE68" s="15"/>
      <c r="HFF68" s="15"/>
      <c r="HFG68" s="15"/>
      <c r="HFH68" s="15"/>
      <c r="HFI68" s="15"/>
      <c r="HFJ68" s="15"/>
      <c r="HFK68" s="15"/>
      <c r="HFL68" s="15"/>
      <c r="HFM68" s="15"/>
      <c r="HFN68" s="15"/>
      <c r="HFO68" s="15"/>
      <c r="HFP68" s="15"/>
      <c r="HFQ68" s="15"/>
      <c r="HFR68" s="15"/>
      <c r="HFS68" s="15"/>
      <c r="HFT68" s="15"/>
      <c r="HFU68" s="15"/>
      <c r="HFV68" s="15"/>
      <c r="HFW68" s="15"/>
      <c r="HFX68" s="15"/>
      <c r="HFY68" s="15"/>
      <c r="HFZ68" s="15"/>
      <c r="HGA68" s="15"/>
      <c r="HGB68" s="15"/>
      <c r="HGC68" s="15"/>
      <c r="HGD68" s="15"/>
      <c r="HGE68" s="15"/>
      <c r="HGF68" s="15"/>
      <c r="HGG68" s="15"/>
      <c r="HGH68" s="15"/>
      <c r="HGI68" s="15"/>
      <c r="HGJ68" s="15"/>
      <c r="HGK68" s="15"/>
      <c r="HGL68" s="15"/>
      <c r="HGM68" s="15"/>
      <c r="HGN68" s="15"/>
      <c r="HGO68" s="15"/>
      <c r="HGP68" s="15"/>
      <c r="HGQ68" s="15"/>
      <c r="HGR68" s="15"/>
      <c r="HGS68" s="15"/>
      <c r="HGT68" s="15"/>
      <c r="HGU68" s="15"/>
      <c r="HGV68" s="15"/>
      <c r="HGW68" s="15"/>
      <c r="HGX68" s="15"/>
      <c r="HGY68" s="15"/>
      <c r="HGZ68" s="15"/>
      <c r="HHA68" s="15"/>
      <c r="HHB68" s="15"/>
      <c r="HHC68" s="15"/>
      <c r="HHD68" s="15"/>
      <c r="HHE68" s="15"/>
      <c r="HHF68" s="15"/>
      <c r="HHG68" s="15"/>
      <c r="HHH68" s="15"/>
      <c r="HHI68" s="15"/>
      <c r="HHJ68" s="15"/>
      <c r="HHK68" s="15"/>
      <c r="HHL68" s="15"/>
      <c r="HHM68" s="15"/>
      <c r="HHN68" s="15"/>
      <c r="HHO68" s="15"/>
      <c r="HHP68" s="15"/>
      <c r="HHQ68" s="15"/>
      <c r="HHR68" s="15"/>
      <c r="HHS68" s="15"/>
      <c r="HHT68" s="15"/>
      <c r="HHU68" s="15"/>
      <c r="HHV68" s="15"/>
      <c r="HHW68" s="15"/>
      <c r="HHX68" s="15"/>
      <c r="HHY68" s="15"/>
      <c r="HHZ68" s="15"/>
      <c r="HIA68" s="15"/>
      <c r="HIB68" s="15"/>
      <c r="HIC68" s="15"/>
      <c r="HID68" s="15"/>
      <c r="HIE68" s="15"/>
      <c r="HIF68" s="15"/>
      <c r="HIG68" s="15"/>
      <c r="HIH68" s="15"/>
      <c r="HII68" s="15"/>
      <c r="HIJ68" s="15"/>
      <c r="HIK68" s="15"/>
      <c r="HIL68" s="15"/>
      <c r="HIM68" s="15"/>
      <c r="HIN68" s="15"/>
      <c r="HIO68" s="15"/>
      <c r="HIP68" s="15"/>
      <c r="HIQ68" s="15"/>
      <c r="HIR68" s="15"/>
      <c r="HIS68" s="15"/>
      <c r="HIT68" s="15"/>
      <c r="HIU68" s="15"/>
      <c r="HIV68" s="15"/>
      <c r="HIW68" s="15"/>
      <c r="HIX68" s="15"/>
      <c r="HIY68" s="15"/>
      <c r="HIZ68" s="15"/>
      <c r="HJA68" s="15"/>
      <c r="HJB68" s="15"/>
      <c r="HJC68" s="15"/>
      <c r="HJD68" s="15"/>
      <c r="HJE68" s="15"/>
      <c r="HJF68" s="15"/>
      <c r="HJG68" s="15"/>
      <c r="HJH68" s="15"/>
      <c r="HJI68" s="15"/>
      <c r="HJJ68" s="15"/>
      <c r="HJK68" s="15"/>
      <c r="HJL68" s="15"/>
      <c r="HJM68" s="15"/>
      <c r="HJN68" s="15"/>
      <c r="HJO68" s="15"/>
      <c r="HJP68" s="15"/>
      <c r="HJQ68" s="15"/>
      <c r="HJR68" s="15"/>
      <c r="HJS68" s="15"/>
      <c r="HJT68" s="15"/>
      <c r="HJU68" s="15"/>
      <c r="HJV68" s="15"/>
      <c r="HJW68" s="15"/>
      <c r="HJX68" s="15"/>
      <c r="HJY68" s="15"/>
      <c r="HJZ68" s="15"/>
      <c r="HKA68" s="15"/>
      <c r="HKB68" s="15"/>
      <c r="HKC68" s="15"/>
      <c r="HKD68" s="15"/>
      <c r="HKE68" s="15"/>
      <c r="HKF68" s="15"/>
      <c r="HKG68" s="15"/>
      <c r="HKH68" s="15"/>
      <c r="HKI68" s="15"/>
      <c r="HKJ68" s="15"/>
      <c r="HKK68" s="15"/>
      <c r="HKL68" s="15"/>
      <c r="HKM68" s="15"/>
      <c r="HKN68" s="15"/>
      <c r="HKO68" s="15"/>
      <c r="HKP68" s="15"/>
      <c r="HKQ68" s="15"/>
      <c r="HKR68" s="15"/>
      <c r="HKS68" s="15"/>
      <c r="HKT68" s="15"/>
      <c r="HKU68" s="15"/>
      <c r="HKV68" s="15"/>
      <c r="HKW68" s="15"/>
      <c r="HKX68" s="15"/>
      <c r="HKY68" s="15"/>
      <c r="HKZ68" s="15"/>
      <c r="HLA68" s="15"/>
      <c r="HLB68" s="15"/>
      <c r="HLC68" s="15"/>
      <c r="HLD68" s="15"/>
      <c r="HLE68" s="15"/>
      <c r="HLF68" s="15"/>
      <c r="HLG68" s="15"/>
      <c r="HLH68" s="15"/>
      <c r="HLI68" s="15"/>
      <c r="HLJ68" s="15"/>
      <c r="HLK68" s="15"/>
      <c r="HLL68" s="15"/>
      <c r="HLM68" s="15"/>
      <c r="HLN68" s="15"/>
      <c r="HLO68" s="15"/>
      <c r="HLP68" s="15"/>
      <c r="HLQ68" s="15"/>
      <c r="HLR68" s="15"/>
      <c r="HLS68" s="15"/>
      <c r="HLT68" s="15"/>
      <c r="HLU68" s="15"/>
      <c r="HLV68" s="15"/>
      <c r="HLW68" s="15"/>
      <c r="HLX68" s="15"/>
      <c r="HLY68" s="15"/>
      <c r="HLZ68" s="15"/>
      <c r="HMA68" s="15"/>
      <c r="HMB68" s="15"/>
      <c r="HMC68" s="15"/>
      <c r="HMD68" s="15"/>
      <c r="HME68" s="15"/>
      <c r="HMF68" s="15"/>
      <c r="HMG68" s="15"/>
      <c r="HMH68" s="15"/>
      <c r="HMI68" s="15"/>
      <c r="HMJ68" s="15"/>
      <c r="HMK68" s="15"/>
      <c r="HML68" s="15"/>
      <c r="HMM68" s="15"/>
      <c r="HMN68" s="15"/>
      <c r="HMO68" s="15"/>
      <c r="HMP68" s="15"/>
      <c r="HMQ68" s="15"/>
      <c r="HMR68" s="15"/>
      <c r="HMS68" s="15"/>
      <c r="HMT68" s="15"/>
      <c r="HMU68" s="15"/>
      <c r="HMV68" s="15"/>
      <c r="HMW68" s="15"/>
      <c r="HMX68" s="15"/>
      <c r="HMY68" s="15"/>
      <c r="HMZ68" s="15"/>
      <c r="HNA68" s="15"/>
      <c r="HNB68" s="15"/>
      <c r="HNC68" s="15"/>
      <c r="HND68" s="15"/>
      <c r="HNE68" s="15"/>
      <c r="HNF68" s="15"/>
      <c r="HNG68" s="15"/>
      <c r="HNH68" s="15"/>
      <c r="HNI68" s="15"/>
      <c r="HNJ68" s="15"/>
      <c r="HNK68" s="15"/>
      <c r="HNL68" s="15"/>
      <c r="HNM68" s="15"/>
      <c r="HNN68" s="15"/>
      <c r="HNO68" s="15"/>
      <c r="HNP68" s="15"/>
      <c r="HNQ68" s="15"/>
      <c r="HNR68" s="15"/>
      <c r="HNS68" s="15"/>
      <c r="HNT68" s="15"/>
      <c r="HNU68" s="15"/>
      <c r="HNV68" s="15"/>
      <c r="HNW68" s="15"/>
      <c r="HNX68" s="15"/>
      <c r="HNY68" s="15"/>
      <c r="HNZ68" s="15"/>
      <c r="HOA68" s="15"/>
      <c r="HOB68" s="15"/>
      <c r="HOC68" s="15"/>
      <c r="HOD68" s="15"/>
      <c r="HOE68" s="15"/>
      <c r="HOF68" s="15"/>
      <c r="HOG68" s="15"/>
      <c r="HOH68" s="15"/>
      <c r="HOI68" s="15"/>
      <c r="HOJ68" s="15"/>
      <c r="HOK68" s="15"/>
      <c r="HOL68" s="15"/>
      <c r="HOM68" s="15"/>
      <c r="HON68" s="15"/>
      <c r="HOO68" s="15"/>
      <c r="HOP68" s="15"/>
      <c r="HOQ68" s="15"/>
      <c r="HOR68" s="15"/>
      <c r="HOS68" s="15"/>
      <c r="HOT68" s="15"/>
      <c r="HOU68" s="15"/>
      <c r="HOV68" s="15"/>
      <c r="HOW68" s="15"/>
      <c r="HOX68" s="15"/>
      <c r="HOY68" s="15"/>
      <c r="HOZ68" s="15"/>
      <c r="HPA68" s="15"/>
      <c r="HPB68" s="15"/>
      <c r="HPC68" s="15"/>
      <c r="HPD68" s="15"/>
      <c r="HPE68" s="15"/>
      <c r="HPF68" s="15"/>
      <c r="HPG68" s="15"/>
      <c r="HPH68" s="15"/>
      <c r="HPI68" s="15"/>
      <c r="HPJ68" s="15"/>
      <c r="HPK68" s="15"/>
      <c r="HPL68" s="15"/>
      <c r="HPM68" s="15"/>
      <c r="HPN68" s="15"/>
      <c r="HPO68" s="15"/>
      <c r="HPP68" s="15"/>
      <c r="HPQ68" s="15"/>
      <c r="HPR68" s="15"/>
      <c r="HPS68" s="15"/>
      <c r="HPT68" s="15"/>
      <c r="HPU68" s="15"/>
      <c r="HPV68" s="15"/>
      <c r="HPW68" s="15"/>
      <c r="HPX68" s="15"/>
      <c r="HPY68" s="15"/>
      <c r="HPZ68" s="15"/>
      <c r="HQA68" s="15"/>
      <c r="HQB68" s="15"/>
      <c r="HQC68" s="15"/>
      <c r="HQD68" s="15"/>
      <c r="HQE68" s="15"/>
      <c r="HQF68" s="15"/>
      <c r="HQG68" s="15"/>
      <c r="HQH68" s="15"/>
      <c r="HQI68" s="15"/>
      <c r="HQJ68" s="15"/>
      <c r="HQK68" s="15"/>
      <c r="HQL68" s="15"/>
      <c r="HQM68" s="15"/>
      <c r="HQN68" s="15"/>
      <c r="HQO68" s="15"/>
      <c r="HQP68" s="15"/>
      <c r="HQQ68" s="15"/>
      <c r="HQR68" s="15"/>
      <c r="HQS68" s="15"/>
      <c r="HQT68" s="15"/>
      <c r="HQU68" s="15"/>
      <c r="HQV68" s="15"/>
      <c r="HQW68" s="15"/>
      <c r="HQX68" s="15"/>
      <c r="HQY68" s="15"/>
      <c r="HQZ68" s="15"/>
      <c r="HRA68" s="15"/>
      <c r="HRB68" s="15"/>
      <c r="HRC68" s="15"/>
      <c r="HRD68" s="15"/>
      <c r="HRE68" s="15"/>
      <c r="HRF68" s="15"/>
      <c r="HRG68" s="15"/>
      <c r="HRH68" s="15"/>
      <c r="HRI68" s="15"/>
      <c r="HRJ68" s="15"/>
      <c r="HRK68" s="15"/>
      <c r="HRL68" s="15"/>
      <c r="HRM68" s="15"/>
      <c r="HRN68" s="15"/>
      <c r="HRO68" s="15"/>
      <c r="HRP68" s="15"/>
      <c r="HRQ68" s="15"/>
      <c r="HRR68" s="15"/>
      <c r="HRS68" s="15"/>
      <c r="HRT68" s="15"/>
      <c r="HRU68" s="15"/>
      <c r="HRV68" s="15"/>
      <c r="HRW68" s="15"/>
      <c r="HRX68" s="15"/>
      <c r="HRY68" s="15"/>
      <c r="HRZ68" s="15"/>
      <c r="HSA68" s="15"/>
      <c r="HSB68" s="15"/>
      <c r="HSC68" s="15"/>
      <c r="HSD68" s="15"/>
      <c r="HSE68" s="15"/>
      <c r="HSF68" s="15"/>
      <c r="HSG68" s="15"/>
      <c r="HSH68" s="15"/>
      <c r="HSI68" s="15"/>
      <c r="HSJ68" s="15"/>
      <c r="HSK68" s="15"/>
      <c r="HSL68" s="15"/>
      <c r="HSM68" s="15"/>
      <c r="HSN68" s="15"/>
      <c r="HSO68" s="15"/>
      <c r="HSP68" s="15"/>
      <c r="HSQ68" s="15"/>
      <c r="HSR68" s="15"/>
      <c r="HSS68" s="15"/>
      <c r="HST68" s="15"/>
      <c r="HSU68" s="15"/>
      <c r="HSV68" s="15"/>
      <c r="HSW68" s="15"/>
      <c r="HSX68" s="15"/>
      <c r="HSY68" s="15"/>
      <c r="HSZ68" s="15"/>
      <c r="HTA68" s="15"/>
      <c r="HTB68" s="15"/>
      <c r="HTC68" s="15"/>
      <c r="HTD68" s="15"/>
      <c r="HTE68" s="15"/>
      <c r="HTF68" s="15"/>
      <c r="HTG68" s="15"/>
      <c r="HTH68" s="15"/>
      <c r="HTI68" s="15"/>
      <c r="HTJ68" s="15"/>
      <c r="HTK68" s="15"/>
      <c r="HTL68" s="15"/>
      <c r="HTM68" s="15"/>
      <c r="HTN68" s="15"/>
      <c r="HTO68" s="15"/>
      <c r="HTP68" s="15"/>
      <c r="HTQ68" s="15"/>
      <c r="HTR68" s="15"/>
      <c r="HTS68" s="15"/>
      <c r="HTT68" s="15"/>
      <c r="HTU68" s="15"/>
      <c r="HTV68" s="15"/>
      <c r="HTW68" s="15"/>
      <c r="HTX68" s="15"/>
      <c r="HTY68" s="15"/>
      <c r="HTZ68" s="15"/>
      <c r="HUA68" s="15"/>
      <c r="HUB68" s="15"/>
      <c r="HUC68" s="15"/>
      <c r="HUD68" s="15"/>
      <c r="HUE68" s="15"/>
      <c r="HUF68" s="15"/>
      <c r="HUG68" s="15"/>
      <c r="HUH68" s="15"/>
      <c r="HUI68" s="15"/>
      <c r="HUJ68" s="15"/>
      <c r="HUK68" s="15"/>
      <c r="HUL68" s="15"/>
      <c r="HUM68" s="15"/>
      <c r="HUN68" s="15"/>
      <c r="HUO68" s="15"/>
      <c r="HUP68" s="15"/>
      <c r="HUQ68" s="15"/>
      <c r="HUR68" s="15"/>
      <c r="HUS68" s="15"/>
      <c r="HUT68" s="15"/>
      <c r="HUU68" s="15"/>
      <c r="HUV68" s="15"/>
      <c r="HUW68" s="15"/>
      <c r="HUX68" s="15"/>
      <c r="HUY68" s="15"/>
      <c r="HUZ68" s="15"/>
      <c r="HVA68" s="15"/>
      <c r="HVB68" s="15"/>
      <c r="HVC68" s="15"/>
      <c r="HVD68" s="15"/>
      <c r="HVE68" s="15"/>
      <c r="HVF68" s="15"/>
      <c r="HVG68" s="15"/>
      <c r="HVH68" s="15"/>
      <c r="HVI68" s="15"/>
      <c r="HVJ68" s="15"/>
      <c r="HVK68" s="15"/>
      <c r="HVL68" s="15"/>
      <c r="HVM68" s="15"/>
      <c r="HVN68" s="15"/>
      <c r="HVO68" s="15"/>
      <c r="HVP68" s="15"/>
      <c r="HVQ68" s="15"/>
      <c r="HVR68" s="15"/>
      <c r="HVS68" s="15"/>
      <c r="HVT68" s="15"/>
      <c r="HVU68" s="15"/>
      <c r="HVV68" s="15"/>
      <c r="HVW68" s="15"/>
      <c r="HVX68" s="15"/>
      <c r="HVY68" s="15"/>
      <c r="HVZ68" s="15"/>
      <c r="HWA68" s="15"/>
      <c r="HWB68" s="15"/>
      <c r="HWC68" s="15"/>
      <c r="HWD68" s="15"/>
      <c r="HWE68" s="15"/>
      <c r="HWF68" s="15"/>
      <c r="HWG68" s="15"/>
      <c r="HWH68" s="15"/>
      <c r="HWI68" s="15"/>
      <c r="HWJ68" s="15"/>
      <c r="HWK68" s="15"/>
      <c r="HWL68" s="15"/>
      <c r="HWM68" s="15"/>
      <c r="HWN68" s="15"/>
      <c r="HWO68" s="15"/>
      <c r="HWP68" s="15"/>
      <c r="HWQ68" s="15"/>
      <c r="HWR68" s="15"/>
      <c r="HWS68" s="15"/>
      <c r="HWT68" s="15"/>
      <c r="HWU68" s="15"/>
      <c r="HWV68" s="15"/>
      <c r="HWW68" s="15"/>
      <c r="HWX68" s="15"/>
      <c r="HWY68" s="15"/>
      <c r="HWZ68" s="15"/>
      <c r="HXA68" s="15"/>
      <c r="HXB68" s="15"/>
      <c r="HXC68" s="15"/>
      <c r="HXD68" s="15"/>
      <c r="HXE68" s="15"/>
      <c r="HXF68" s="15"/>
      <c r="HXG68" s="15"/>
      <c r="HXH68" s="15"/>
      <c r="HXI68" s="15"/>
      <c r="HXJ68" s="15"/>
      <c r="HXK68" s="15"/>
      <c r="HXL68" s="15"/>
      <c r="HXM68" s="15"/>
      <c r="HXN68" s="15"/>
      <c r="HXO68" s="15"/>
      <c r="HXP68" s="15"/>
      <c r="HXQ68" s="15"/>
      <c r="HXR68" s="15"/>
      <c r="HXS68" s="15"/>
      <c r="HXT68" s="15"/>
      <c r="HXU68" s="15"/>
      <c r="HXV68" s="15"/>
      <c r="HXW68" s="15"/>
      <c r="HXX68" s="15"/>
      <c r="HXY68" s="15"/>
      <c r="HXZ68" s="15"/>
      <c r="HYA68" s="15"/>
      <c r="HYB68" s="15"/>
      <c r="HYC68" s="15"/>
      <c r="HYD68" s="15"/>
      <c r="HYE68" s="15"/>
      <c r="HYF68" s="15"/>
      <c r="HYG68" s="15"/>
      <c r="HYH68" s="15"/>
      <c r="HYI68" s="15"/>
      <c r="HYJ68" s="15"/>
      <c r="HYK68" s="15"/>
      <c r="HYL68" s="15"/>
      <c r="HYM68" s="15"/>
      <c r="HYN68" s="15"/>
      <c r="HYO68" s="15"/>
      <c r="HYP68" s="15"/>
      <c r="HYQ68" s="15"/>
      <c r="HYR68" s="15"/>
      <c r="HYS68" s="15"/>
      <c r="HYT68" s="15"/>
      <c r="HYU68" s="15"/>
      <c r="HYV68" s="15"/>
      <c r="HYW68" s="15"/>
      <c r="HYX68" s="15"/>
      <c r="HYY68" s="15"/>
      <c r="HYZ68" s="15"/>
      <c r="HZA68" s="15"/>
      <c r="HZB68" s="15"/>
      <c r="HZC68" s="15"/>
      <c r="HZD68" s="15"/>
      <c r="HZE68" s="15"/>
      <c r="HZF68" s="15"/>
      <c r="HZG68" s="15"/>
      <c r="HZH68" s="15"/>
      <c r="HZI68" s="15"/>
      <c r="HZJ68" s="15"/>
      <c r="HZK68" s="15"/>
      <c r="HZL68" s="15"/>
      <c r="HZM68" s="15"/>
      <c r="HZN68" s="15"/>
      <c r="HZO68" s="15"/>
      <c r="HZP68" s="15"/>
      <c r="HZQ68" s="15"/>
      <c r="HZR68" s="15"/>
      <c r="HZS68" s="15"/>
      <c r="HZT68" s="15"/>
      <c r="HZU68" s="15"/>
      <c r="HZV68" s="15"/>
      <c r="HZW68" s="15"/>
      <c r="HZX68" s="15"/>
      <c r="HZY68" s="15"/>
      <c r="HZZ68" s="15"/>
      <c r="IAA68" s="15"/>
      <c r="IAB68" s="15"/>
      <c r="IAC68" s="15"/>
      <c r="IAD68" s="15"/>
      <c r="IAE68" s="15"/>
      <c r="IAF68" s="15"/>
      <c r="IAG68" s="15"/>
      <c r="IAH68" s="15"/>
      <c r="IAI68" s="15"/>
      <c r="IAJ68" s="15"/>
      <c r="IAK68" s="15"/>
      <c r="IAL68" s="15"/>
      <c r="IAM68" s="15"/>
      <c r="IAN68" s="15"/>
      <c r="IAO68" s="15"/>
      <c r="IAP68" s="15"/>
      <c r="IAQ68" s="15"/>
      <c r="IAR68" s="15"/>
      <c r="IAS68" s="15"/>
      <c r="IAT68" s="15"/>
      <c r="IAU68" s="15"/>
      <c r="IAV68" s="15"/>
      <c r="IAW68" s="15"/>
      <c r="IAX68" s="15"/>
      <c r="IAY68" s="15"/>
      <c r="IAZ68" s="15"/>
      <c r="IBA68" s="15"/>
      <c r="IBB68" s="15"/>
      <c r="IBC68" s="15"/>
      <c r="IBD68" s="15"/>
      <c r="IBE68" s="15"/>
      <c r="IBF68" s="15"/>
      <c r="IBG68" s="15"/>
      <c r="IBH68" s="15"/>
      <c r="IBI68" s="15"/>
      <c r="IBJ68" s="15"/>
      <c r="IBK68" s="15"/>
      <c r="IBL68" s="15"/>
      <c r="IBM68" s="15"/>
      <c r="IBN68" s="15"/>
      <c r="IBO68" s="15"/>
      <c r="IBP68" s="15"/>
      <c r="IBQ68" s="15"/>
      <c r="IBR68" s="15"/>
      <c r="IBS68" s="15"/>
      <c r="IBT68" s="15"/>
      <c r="IBU68" s="15"/>
      <c r="IBV68" s="15"/>
      <c r="IBW68" s="15"/>
      <c r="IBX68" s="15"/>
      <c r="IBY68" s="15"/>
      <c r="IBZ68" s="15"/>
      <c r="ICA68" s="15"/>
      <c r="ICB68" s="15"/>
      <c r="ICC68" s="15"/>
      <c r="ICD68" s="15"/>
      <c r="ICE68" s="15"/>
      <c r="ICF68" s="15"/>
      <c r="ICG68" s="15"/>
      <c r="ICH68" s="15"/>
      <c r="ICI68" s="15"/>
      <c r="ICJ68" s="15"/>
      <c r="ICK68" s="15"/>
      <c r="ICL68" s="15"/>
      <c r="ICM68" s="15"/>
      <c r="ICN68" s="15"/>
      <c r="ICO68" s="15"/>
      <c r="ICP68" s="15"/>
      <c r="ICQ68" s="15"/>
      <c r="ICR68" s="15"/>
      <c r="ICS68" s="15"/>
      <c r="ICT68" s="15"/>
      <c r="ICU68" s="15"/>
      <c r="ICV68" s="15"/>
      <c r="ICW68" s="15"/>
      <c r="ICX68" s="15"/>
      <c r="ICY68" s="15"/>
      <c r="ICZ68" s="15"/>
      <c r="IDA68" s="15"/>
      <c r="IDB68" s="15"/>
      <c r="IDC68" s="15"/>
      <c r="IDD68" s="15"/>
      <c r="IDE68" s="15"/>
      <c r="IDF68" s="15"/>
      <c r="IDG68" s="15"/>
      <c r="IDH68" s="15"/>
      <c r="IDI68" s="15"/>
      <c r="IDJ68" s="15"/>
      <c r="IDK68" s="15"/>
      <c r="IDL68" s="15"/>
      <c r="IDM68" s="15"/>
      <c r="IDN68" s="15"/>
      <c r="IDO68" s="15"/>
      <c r="IDP68" s="15"/>
      <c r="IDQ68" s="15"/>
      <c r="IDR68" s="15"/>
      <c r="IDS68" s="15"/>
      <c r="IDT68" s="15"/>
      <c r="IDU68" s="15"/>
      <c r="IDV68" s="15"/>
      <c r="IDW68" s="15"/>
      <c r="IDX68" s="15"/>
      <c r="IDY68" s="15"/>
      <c r="IDZ68" s="15"/>
      <c r="IEA68" s="15"/>
      <c r="IEB68" s="15"/>
      <c r="IEC68" s="15"/>
      <c r="IED68" s="15"/>
      <c r="IEE68" s="15"/>
      <c r="IEF68" s="15"/>
      <c r="IEG68" s="15"/>
      <c r="IEH68" s="15"/>
      <c r="IEI68" s="15"/>
      <c r="IEJ68" s="15"/>
      <c r="IEK68" s="15"/>
      <c r="IEL68" s="15"/>
      <c r="IEM68" s="15"/>
      <c r="IEN68" s="15"/>
      <c r="IEO68" s="15"/>
      <c r="IEP68" s="15"/>
      <c r="IEQ68" s="15"/>
      <c r="IER68" s="15"/>
      <c r="IES68" s="15"/>
      <c r="IET68" s="15"/>
      <c r="IEU68" s="15"/>
      <c r="IEV68" s="15"/>
      <c r="IEW68" s="15"/>
      <c r="IEX68" s="15"/>
      <c r="IEY68" s="15"/>
      <c r="IEZ68" s="15"/>
      <c r="IFA68" s="15"/>
      <c r="IFB68" s="15"/>
      <c r="IFC68" s="15"/>
      <c r="IFD68" s="15"/>
      <c r="IFE68" s="15"/>
      <c r="IFF68" s="15"/>
      <c r="IFG68" s="15"/>
      <c r="IFH68" s="15"/>
      <c r="IFI68" s="15"/>
      <c r="IFJ68" s="15"/>
      <c r="IFK68" s="15"/>
      <c r="IFL68" s="15"/>
      <c r="IFM68" s="15"/>
      <c r="IFN68" s="15"/>
      <c r="IFO68" s="15"/>
      <c r="IFP68" s="15"/>
      <c r="IFQ68" s="15"/>
      <c r="IFR68" s="15"/>
      <c r="IFS68" s="15"/>
      <c r="IFT68" s="15"/>
      <c r="IFU68" s="15"/>
      <c r="IFV68" s="15"/>
      <c r="IFW68" s="15"/>
      <c r="IFX68" s="15"/>
      <c r="IFY68" s="15"/>
      <c r="IFZ68" s="15"/>
      <c r="IGA68" s="15"/>
      <c r="IGB68" s="15"/>
      <c r="IGC68" s="15"/>
      <c r="IGD68" s="15"/>
      <c r="IGE68" s="15"/>
      <c r="IGF68" s="15"/>
      <c r="IGG68" s="15"/>
      <c r="IGH68" s="15"/>
      <c r="IGI68" s="15"/>
      <c r="IGJ68" s="15"/>
      <c r="IGK68" s="15"/>
      <c r="IGL68" s="15"/>
      <c r="IGM68" s="15"/>
      <c r="IGN68" s="15"/>
      <c r="IGO68" s="15"/>
      <c r="IGP68" s="15"/>
      <c r="IGQ68" s="15"/>
      <c r="IGR68" s="15"/>
      <c r="IGS68" s="15"/>
      <c r="IGT68" s="15"/>
      <c r="IGU68" s="15"/>
      <c r="IGV68" s="15"/>
      <c r="IGW68" s="15"/>
      <c r="IGX68" s="15"/>
      <c r="IGY68" s="15"/>
      <c r="IGZ68" s="15"/>
      <c r="IHA68" s="15"/>
      <c r="IHB68" s="15"/>
      <c r="IHC68" s="15"/>
      <c r="IHD68" s="15"/>
      <c r="IHE68" s="15"/>
      <c r="IHF68" s="15"/>
      <c r="IHG68" s="15"/>
      <c r="IHH68" s="15"/>
      <c r="IHI68" s="15"/>
      <c r="IHJ68" s="15"/>
      <c r="IHK68" s="15"/>
      <c r="IHL68" s="15"/>
      <c r="IHM68" s="15"/>
      <c r="IHN68" s="15"/>
      <c r="IHO68" s="15"/>
      <c r="IHP68" s="15"/>
      <c r="IHQ68" s="15"/>
      <c r="IHR68" s="15"/>
      <c r="IHS68" s="15"/>
      <c r="IHT68" s="15"/>
      <c r="IHU68" s="15"/>
      <c r="IHV68" s="15"/>
      <c r="IHW68" s="15"/>
      <c r="IHX68" s="15"/>
      <c r="IHY68" s="15"/>
      <c r="IHZ68" s="15"/>
      <c r="IIA68" s="15"/>
      <c r="IIB68" s="15"/>
      <c r="IIC68" s="15"/>
      <c r="IID68" s="15"/>
      <c r="IIE68" s="15"/>
      <c r="IIF68" s="15"/>
      <c r="IIG68" s="15"/>
      <c r="IIH68" s="15"/>
      <c r="III68" s="15"/>
      <c r="IIJ68" s="15"/>
      <c r="IIK68" s="15"/>
      <c r="IIL68" s="15"/>
      <c r="IIM68" s="15"/>
      <c r="IIN68" s="15"/>
      <c r="IIO68" s="15"/>
      <c r="IIP68" s="15"/>
      <c r="IIQ68" s="15"/>
      <c r="IIR68" s="15"/>
      <c r="IIS68" s="15"/>
      <c r="IIT68" s="15"/>
      <c r="IIU68" s="15"/>
      <c r="IIV68" s="15"/>
      <c r="IIW68" s="15"/>
      <c r="IIX68" s="15"/>
      <c r="IIY68" s="15"/>
      <c r="IIZ68" s="15"/>
      <c r="IJA68" s="15"/>
      <c r="IJB68" s="15"/>
      <c r="IJC68" s="15"/>
      <c r="IJD68" s="15"/>
      <c r="IJE68" s="15"/>
      <c r="IJF68" s="15"/>
      <c r="IJG68" s="15"/>
      <c r="IJH68" s="15"/>
      <c r="IJI68" s="15"/>
      <c r="IJJ68" s="15"/>
      <c r="IJK68" s="15"/>
      <c r="IJL68" s="15"/>
      <c r="IJM68" s="15"/>
      <c r="IJN68" s="15"/>
      <c r="IJO68" s="15"/>
      <c r="IJP68" s="15"/>
      <c r="IJQ68" s="15"/>
      <c r="IJR68" s="15"/>
      <c r="IJS68" s="15"/>
      <c r="IJT68" s="15"/>
      <c r="IJU68" s="15"/>
      <c r="IJV68" s="15"/>
      <c r="IJW68" s="15"/>
      <c r="IJX68" s="15"/>
      <c r="IJY68" s="15"/>
      <c r="IJZ68" s="15"/>
      <c r="IKA68" s="15"/>
      <c r="IKB68" s="15"/>
      <c r="IKC68" s="15"/>
      <c r="IKD68" s="15"/>
      <c r="IKE68" s="15"/>
      <c r="IKF68" s="15"/>
      <c r="IKG68" s="15"/>
      <c r="IKH68" s="15"/>
      <c r="IKI68" s="15"/>
      <c r="IKJ68" s="15"/>
      <c r="IKK68" s="15"/>
      <c r="IKL68" s="15"/>
      <c r="IKM68" s="15"/>
      <c r="IKN68" s="15"/>
      <c r="IKO68" s="15"/>
      <c r="IKP68" s="15"/>
      <c r="IKQ68" s="15"/>
      <c r="IKR68" s="15"/>
      <c r="IKS68" s="15"/>
      <c r="IKT68" s="15"/>
      <c r="IKU68" s="15"/>
      <c r="IKV68" s="15"/>
      <c r="IKW68" s="15"/>
      <c r="IKX68" s="15"/>
      <c r="IKY68" s="15"/>
      <c r="IKZ68" s="15"/>
      <c r="ILA68" s="15"/>
      <c r="ILB68" s="15"/>
      <c r="ILC68" s="15"/>
      <c r="ILD68" s="15"/>
      <c r="ILE68" s="15"/>
      <c r="ILF68" s="15"/>
      <c r="ILG68" s="15"/>
      <c r="ILH68" s="15"/>
      <c r="ILI68" s="15"/>
      <c r="ILJ68" s="15"/>
      <c r="ILK68" s="15"/>
      <c r="ILL68" s="15"/>
      <c r="ILM68" s="15"/>
      <c r="ILN68" s="15"/>
      <c r="ILO68" s="15"/>
      <c r="ILP68" s="15"/>
      <c r="ILQ68" s="15"/>
      <c r="ILR68" s="15"/>
      <c r="ILS68" s="15"/>
      <c r="ILT68" s="15"/>
      <c r="ILU68" s="15"/>
      <c r="ILV68" s="15"/>
      <c r="ILW68" s="15"/>
      <c r="ILX68" s="15"/>
      <c r="ILY68" s="15"/>
      <c r="ILZ68" s="15"/>
      <c r="IMA68" s="15"/>
      <c r="IMB68" s="15"/>
      <c r="IMC68" s="15"/>
      <c r="IMD68" s="15"/>
      <c r="IME68" s="15"/>
      <c r="IMF68" s="15"/>
      <c r="IMG68" s="15"/>
      <c r="IMH68" s="15"/>
      <c r="IMI68" s="15"/>
      <c r="IMJ68" s="15"/>
      <c r="IMK68" s="15"/>
      <c r="IML68" s="15"/>
      <c r="IMM68" s="15"/>
      <c r="IMN68" s="15"/>
      <c r="IMO68" s="15"/>
      <c r="IMP68" s="15"/>
      <c r="IMQ68" s="15"/>
      <c r="IMR68" s="15"/>
      <c r="IMS68" s="15"/>
      <c r="IMT68" s="15"/>
      <c r="IMU68" s="15"/>
      <c r="IMV68" s="15"/>
      <c r="IMW68" s="15"/>
      <c r="IMX68" s="15"/>
      <c r="IMY68" s="15"/>
      <c r="IMZ68" s="15"/>
      <c r="INA68" s="15"/>
      <c r="INB68" s="15"/>
      <c r="INC68" s="15"/>
      <c r="IND68" s="15"/>
      <c r="INE68" s="15"/>
      <c r="INF68" s="15"/>
      <c r="ING68" s="15"/>
      <c r="INH68" s="15"/>
      <c r="INI68" s="15"/>
      <c r="INJ68" s="15"/>
      <c r="INK68" s="15"/>
      <c r="INL68" s="15"/>
      <c r="INM68" s="15"/>
      <c r="INN68" s="15"/>
      <c r="INO68" s="15"/>
      <c r="INP68" s="15"/>
      <c r="INQ68" s="15"/>
      <c r="INR68" s="15"/>
      <c r="INS68" s="15"/>
      <c r="INT68" s="15"/>
      <c r="INU68" s="15"/>
      <c r="INV68" s="15"/>
      <c r="INW68" s="15"/>
      <c r="INX68" s="15"/>
      <c r="INY68" s="15"/>
      <c r="INZ68" s="15"/>
      <c r="IOA68" s="15"/>
      <c r="IOB68" s="15"/>
      <c r="IOC68" s="15"/>
      <c r="IOD68" s="15"/>
      <c r="IOE68" s="15"/>
      <c r="IOF68" s="15"/>
      <c r="IOG68" s="15"/>
      <c r="IOH68" s="15"/>
      <c r="IOI68" s="15"/>
      <c r="IOJ68" s="15"/>
      <c r="IOK68" s="15"/>
      <c r="IOL68" s="15"/>
      <c r="IOM68" s="15"/>
      <c r="ION68" s="15"/>
      <c r="IOO68" s="15"/>
      <c r="IOP68" s="15"/>
      <c r="IOQ68" s="15"/>
      <c r="IOR68" s="15"/>
      <c r="IOS68" s="15"/>
      <c r="IOT68" s="15"/>
      <c r="IOU68" s="15"/>
      <c r="IOV68" s="15"/>
      <c r="IOW68" s="15"/>
      <c r="IOX68" s="15"/>
      <c r="IOY68" s="15"/>
      <c r="IOZ68" s="15"/>
      <c r="IPA68" s="15"/>
      <c r="IPB68" s="15"/>
      <c r="IPC68" s="15"/>
      <c r="IPD68" s="15"/>
      <c r="IPE68" s="15"/>
      <c r="IPF68" s="15"/>
      <c r="IPG68" s="15"/>
      <c r="IPH68" s="15"/>
      <c r="IPI68" s="15"/>
      <c r="IPJ68" s="15"/>
      <c r="IPK68" s="15"/>
      <c r="IPL68" s="15"/>
      <c r="IPM68" s="15"/>
      <c r="IPN68" s="15"/>
      <c r="IPO68" s="15"/>
      <c r="IPP68" s="15"/>
      <c r="IPQ68" s="15"/>
      <c r="IPR68" s="15"/>
      <c r="IPS68" s="15"/>
      <c r="IPT68" s="15"/>
      <c r="IPU68" s="15"/>
      <c r="IPV68" s="15"/>
      <c r="IPW68" s="15"/>
      <c r="IPX68" s="15"/>
      <c r="IPY68" s="15"/>
      <c r="IPZ68" s="15"/>
      <c r="IQA68" s="15"/>
      <c r="IQB68" s="15"/>
      <c r="IQC68" s="15"/>
      <c r="IQD68" s="15"/>
      <c r="IQE68" s="15"/>
      <c r="IQF68" s="15"/>
      <c r="IQG68" s="15"/>
      <c r="IQH68" s="15"/>
      <c r="IQI68" s="15"/>
      <c r="IQJ68" s="15"/>
      <c r="IQK68" s="15"/>
      <c r="IQL68" s="15"/>
      <c r="IQM68" s="15"/>
      <c r="IQN68" s="15"/>
      <c r="IQO68" s="15"/>
      <c r="IQP68" s="15"/>
      <c r="IQQ68" s="15"/>
      <c r="IQR68" s="15"/>
      <c r="IQS68" s="15"/>
      <c r="IQT68" s="15"/>
      <c r="IQU68" s="15"/>
      <c r="IQV68" s="15"/>
      <c r="IQW68" s="15"/>
      <c r="IQX68" s="15"/>
      <c r="IQY68" s="15"/>
      <c r="IQZ68" s="15"/>
      <c r="IRA68" s="15"/>
      <c r="IRB68" s="15"/>
      <c r="IRC68" s="15"/>
      <c r="IRD68" s="15"/>
      <c r="IRE68" s="15"/>
      <c r="IRF68" s="15"/>
      <c r="IRG68" s="15"/>
      <c r="IRH68" s="15"/>
      <c r="IRI68" s="15"/>
      <c r="IRJ68" s="15"/>
      <c r="IRK68" s="15"/>
      <c r="IRL68" s="15"/>
      <c r="IRM68" s="15"/>
      <c r="IRN68" s="15"/>
      <c r="IRO68" s="15"/>
      <c r="IRP68" s="15"/>
      <c r="IRQ68" s="15"/>
      <c r="IRR68" s="15"/>
      <c r="IRS68" s="15"/>
      <c r="IRT68" s="15"/>
      <c r="IRU68" s="15"/>
      <c r="IRV68" s="15"/>
      <c r="IRW68" s="15"/>
      <c r="IRX68" s="15"/>
      <c r="IRY68" s="15"/>
      <c r="IRZ68" s="15"/>
      <c r="ISA68" s="15"/>
      <c r="ISB68" s="15"/>
      <c r="ISC68" s="15"/>
      <c r="ISD68" s="15"/>
      <c r="ISE68" s="15"/>
      <c r="ISF68" s="15"/>
      <c r="ISG68" s="15"/>
      <c r="ISH68" s="15"/>
      <c r="ISI68" s="15"/>
      <c r="ISJ68" s="15"/>
      <c r="ISK68" s="15"/>
      <c r="ISL68" s="15"/>
      <c r="ISM68" s="15"/>
      <c r="ISN68" s="15"/>
      <c r="ISO68" s="15"/>
      <c r="ISP68" s="15"/>
      <c r="ISQ68" s="15"/>
      <c r="ISR68" s="15"/>
      <c r="ISS68" s="15"/>
      <c r="IST68" s="15"/>
      <c r="ISU68" s="15"/>
      <c r="ISV68" s="15"/>
      <c r="ISW68" s="15"/>
      <c r="ISX68" s="15"/>
      <c r="ISY68" s="15"/>
      <c r="ISZ68" s="15"/>
      <c r="ITA68" s="15"/>
      <c r="ITB68" s="15"/>
      <c r="ITC68" s="15"/>
      <c r="ITD68" s="15"/>
      <c r="ITE68" s="15"/>
      <c r="ITF68" s="15"/>
      <c r="ITG68" s="15"/>
      <c r="ITH68" s="15"/>
      <c r="ITI68" s="15"/>
      <c r="ITJ68" s="15"/>
      <c r="ITK68" s="15"/>
      <c r="ITL68" s="15"/>
      <c r="ITM68" s="15"/>
      <c r="ITN68" s="15"/>
      <c r="ITO68" s="15"/>
      <c r="ITP68" s="15"/>
      <c r="ITQ68" s="15"/>
      <c r="ITR68" s="15"/>
      <c r="ITS68" s="15"/>
      <c r="ITT68" s="15"/>
      <c r="ITU68" s="15"/>
      <c r="ITV68" s="15"/>
      <c r="ITW68" s="15"/>
      <c r="ITX68" s="15"/>
      <c r="ITY68" s="15"/>
      <c r="ITZ68" s="15"/>
      <c r="IUA68" s="15"/>
      <c r="IUB68" s="15"/>
      <c r="IUC68" s="15"/>
      <c r="IUD68" s="15"/>
      <c r="IUE68" s="15"/>
      <c r="IUF68" s="15"/>
      <c r="IUG68" s="15"/>
      <c r="IUH68" s="15"/>
      <c r="IUI68" s="15"/>
      <c r="IUJ68" s="15"/>
      <c r="IUK68" s="15"/>
      <c r="IUL68" s="15"/>
      <c r="IUM68" s="15"/>
      <c r="IUN68" s="15"/>
      <c r="IUO68" s="15"/>
      <c r="IUP68" s="15"/>
      <c r="IUQ68" s="15"/>
      <c r="IUR68" s="15"/>
      <c r="IUS68" s="15"/>
      <c r="IUT68" s="15"/>
      <c r="IUU68" s="15"/>
      <c r="IUV68" s="15"/>
      <c r="IUW68" s="15"/>
      <c r="IUX68" s="15"/>
      <c r="IUY68" s="15"/>
      <c r="IUZ68" s="15"/>
      <c r="IVA68" s="15"/>
      <c r="IVB68" s="15"/>
      <c r="IVC68" s="15"/>
      <c r="IVD68" s="15"/>
      <c r="IVE68" s="15"/>
      <c r="IVF68" s="15"/>
      <c r="IVG68" s="15"/>
      <c r="IVH68" s="15"/>
      <c r="IVI68" s="15"/>
      <c r="IVJ68" s="15"/>
      <c r="IVK68" s="15"/>
      <c r="IVL68" s="15"/>
      <c r="IVM68" s="15"/>
      <c r="IVN68" s="15"/>
      <c r="IVO68" s="15"/>
      <c r="IVP68" s="15"/>
      <c r="IVQ68" s="15"/>
      <c r="IVR68" s="15"/>
      <c r="IVS68" s="15"/>
      <c r="IVT68" s="15"/>
      <c r="IVU68" s="15"/>
      <c r="IVV68" s="15"/>
      <c r="IVW68" s="15"/>
      <c r="IVX68" s="15"/>
      <c r="IVY68" s="15"/>
      <c r="IVZ68" s="15"/>
      <c r="IWA68" s="15"/>
      <c r="IWB68" s="15"/>
      <c r="IWC68" s="15"/>
      <c r="IWD68" s="15"/>
      <c r="IWE68" s="15"/>
      <c r="IWF68" s="15"/>
      <c r="IWG68" s="15"/>
      <c r="IWH68" s="15"/>
      <c r="IWI68" s="15"/>
      <c r="IWJ68" s="15"/>
      <c r="IWK68" s="15"/>
      <c r="IWL68" s="15"/>
      <c r="IWM68" s="15"/>
      <c r="IWN68" s="15"/>
      <c r="IWO68" s="15"/>
      <c r="IWP68" s="15"/>
      <c r="IWQ68" s="15"/>
      <c r="IWR68" s="15"/>
      <c r="IWS68" s="15"/>
      <c r="IWT68" s="15"/>
      <c r="IWU68" s="15"/>
      <c r="IWV68" s="15"/>
      <c r="IWW68" s="15"/>
      <c r="IWX68" s="15"/>
      <c r="IWY68" s="15"/>
      <c r="IWZ68" s="15"/>
      <c r="IXA68" s="15"/>
      <c r="IXB68" s="15"/>
      <c r="IXC68" s="15"/>
      <c r="IXD68" s="15"/>
      <c r="IXE68" s="15"/>
      <c r="IXF68" s="15"/>
      <c r="IXG68" s="15"/>
      <c r="IXH68" s="15"/>
      <c r="IXI68" s="15"/>
      <c r="IXJ68" s="15"/>
      <c r="IXK68" s="15"/>
      <c r="IXL68" s="15"/>
      <c r="IXM68" s="15"/>
      <c r="IXN68" s="15"/>
      <c r="IXO68" s="15"/>
      <c r="IXP68" s="15"/>
      <c r="IXQ68" s="15"/>
      <c r="IXR68" s="15"/>
      <c r="IXS68" s="15"/>
      <c r="IXT68" s="15"/>
      <c r="IXU68" s="15"/>
      <c r="IXV68" s="15"/>
      <c r="IXW68" s="15"/>
      <c r="IXX68" s="15"/>
      <c r="IXY68" s="15"/>
      <c r="IXZ68" s="15"/>
      <c r="IYA68" s="15"/>
      <c r="IYB68" s="15"/>
      <c r="IYC68" s="15"/>
      <c r="IYD68" s="15"/>
      <c r="IYE68" s="15"/>
      <c r="IYF68" s="15"/>
      <c r="IYG68" s="15"/>
      <c r="IYH68" s="15"/>
      <c r="IYI68" s="15"/>
      <c r="IYJ68" s="15"/>
      <c r="IYK68" s="15"/>
      <c r="IYL68" s="15"/>
      <c r="IYM68" s="15"/>
      <c r="IYN68" s="15"/>
      <c r="IYO68" s="15"/>
      <c r="IYP68" s="15"/>
      <c r="IYQ68" s="15"/>
      <c r="IYR68" s="15"/>
      <c r="IYS68" s="15"/>
      <c r="IYT68" s="15"/>
      <c r="IYU68" s="15"/>
      <c r="IYV68" s="15"/>
      <c r="IYW68" s="15"/>
      <c r="IYX68" s="15"/>
      <c r="IYY68" s="15"/>
      <c r="IYZ68" s="15"/>
      <c r="IZA68" s="15"/>
      <c r="IZB68" s="15"/>
      <c r="IZC68" s="15"/>
      <c r="IZD68" s="15"/>
      <c r="IZE68" s="15"/>
      <c r="IZF68" s="15"/>
      <c r="IZG68" s="15"/>
      <c r="IZH68" s="15"/>
      <c r="IZI68" s="15"/>
      <c r="IZJ68" s="15"/>
      <c r="IZK68" s="15"/>
      <c r="IZL68" s="15"/>
      <c r="IZM68" s="15"/>
      <c r="IZN68" s="15"/>
      <c r="IZO68" s="15"/>
      <c r="IZP68" s="15"/>
      <c r="IZQ68" s="15"/>
      <c r="IZR68" s="15"/>
      <c r="IZS68" s="15"/>
      <c r="IZT68" s="15"/>
      <c r="IZU68" s="15"/>
      <c r="IZV68" s="15"/>
      <c r="IZW68" s="15"/>
      <c r="IZX68" s="15"/>
      <c r="IZY68" s="15"/>
      <c r="IZZ68" s="15"/>
      <c r="JAA68" s="15"/>
      <c r="JAB68" s="15"/>
      <c r="JAC68" s="15"/>
      <c r="JAD68" s="15"/>
      <c r="JAE68" s="15"/>
      <c r="JAF68" s="15"/>
      <c r="JAG68" s="15"/>
      <c r="JAH68" s="15"/>
      <c r="JAI68" s="15"/>
      <c r="JAJ68" s="15"/>
      <c r="JAK68" s="15"/>
      <c r="JAL68" s="15"/>
      <c r="JAM68" s="15"/>
      <c r="JAN68" s="15"/>
      <c r="JAO68" s="15"/>
      <c r="JAP68" s="15"/>
      <c r="JAQ68" s="15"/>
      <c r="JAR68" s="15"/>
      <c r="JAS68" s="15"/>
      <c r="JAT68" s="15"/>
      <c r="JAU68" s="15"/>
      <c r="JAV68" s="15"/>
      <c r="JAW68" s="15"/>
      <c r="JAX68" s="15"/>
      <c r="JAY68" s="15"/>
      <c r="JAZ68" s="15"/>
      <c r="JBA68" s="15"/>
      <c r="JBB68" s="15"/>
      <c r="JBC68" s="15"/>
      <c r="JBD68" s="15"/>
      <c r="JBE68" s="15"/>
      <c r="JBF68" s="15"/>
      <c r="JBG68" s="15"/>
      <c r="JBH68" s="15"/>
      <c r="JBI68" s="15"/>
      <c r="JBJ68" s="15"/>
      <c r="JBK68" s="15"/>
      <c r="JBL68" s="15"/>
      <c r="JBM68" s="15"/>
      <c r="JBN68" s="15"/>
      <c r="JBO68" s="15"/>
      <c r="JBP68" s="15"/>
      <c r="JBQ68" s="15"/>
      <c r="JBR68" s="15"/>
      <c r="JBS68" s="15"/>
      <c r="JBT68" s="15"/>
      <c r="JBU68" s="15"/>
      <c r="JBV68" s="15"/>
      <c r="JBW68" s="15"/>
      <c r="JBX68" s="15"/>
      <c r="JBY68" s="15"/>
      <c r="JBZ68" s="15"/>
      <c r="JCA68" s="15"/>
      <c r="JCB68" s="15"/>
      <c r="JCC68" s="15"/>
      <c r="JCD68" s="15"/>
      <c r="JCE68" s="15"/>
      <c r="JCF68" s="15"/>
      <c r="JCG68" s="15"/>
      <c r="JCH68" s="15"/>
      <c r="JCI68" s="15"/>
      <c r="JCJ68" s="15"/>
      <c r="JCK68" s="15"/>
      <c r="JCL68" s="15"/>
      <c r="JCM68" s="15"/>
      <c r="JCN68" s="15"/>
      <c r="JCO68" s="15"/>
      <c r="JCP68" s="15"/>
      <c r="JCQ68" s="15"/>
      <c r="JCR68" s="15"/>
      <c r="JCS68" s="15"/>
      <c r="JCT68" s="15"/>
      <c r="JCU68" s="15"/>
      <c r="JCV68" s="15"/>
      <c r="JCW68" s="15"/>
      <c r="JCX68" s="15"/>
      <c r="JCY68" s="15"/>
      <c r="JCZ68" s="15"/>
      <c r="JDA68" s="15"/>
      <c r="JDB68" s="15"/>
      <c r="JDC68" s="15"/>
      <c r="JDD68" s="15"/>
      <c r="JDE68" s="15"/>
      <c r="JDF68" s="15"/>
      <c r="JDG68" s="15"/>
      <c r="JDH68" s="15"/>
      <c r="JDI68" s="15"/>
      <c r="JDJ68" s="15"/>
      <c r="JDK68" s="15"/>
      <c r="JDL68" s="15"/>
      <c r="JDM68" s="15"/>
      <c r="JDN68" s="15"/>
      <c r="JDO68" s="15"/>
      <c r="JDP68" s="15"/>
      <c r="JDQ68" s="15"/>
      <c r="JDR68" s="15"/>
      <c r="JDS68" s="15"/>
      <c r="JDT68" s="15"/>
      <c r="JDU68" s="15"/>
      <c r="JDV68" s="15"/>
      <c r="JDW68" s="15"/>
      <c r="JDX68" s="15"/>
      <c r="JDY68" s="15"/>
      <c r="JDZ68" s="15"/>
      <c r="JEA68" s="15"/>
      <c r="JEB68" s="15"/>
      <c r="JEC68" s="15"/>
      <c r="JED68" s="15"/>
      <c r="JEE68" s="15"/>
      <c r="JEF68" s="15"/>
      <c r="JEG68" s="15"/>
      <c r="JEH68" s="15"/>
      <c r="JEI68" s="15"/>
      <c r="JEJ68" s="15"/>
      <c r="JEK68" s="15"/>
      <c r="JEL68" s="15"/>
      <c r="JEM68" s="15"/>
      <c r="JEN68" s="15"/>
      <c r="JEO68" s="15"/>
      <c r="JEP68" s="15"/>
      <c r="JEQ68" s="15"/>
      <c r="JER68" s="15"/>
      <c r="JES68" s="15"/>
      <c r="JET68" s="15"/>
      <c r="JEU68" s="15"/>
      <c r="JEV68" s="15"/>
      <c r="JEW68" s="15"/>
      <c r="JEX68" s="15"/>
      <c r="JEY68" s="15"/>
      <c r="JEZ68" s="15"/>
      <c r="JFA68" s="15"/>
      <c r="JFB68" s="15"/>
      <c r="JFC68" s="15"/>
      <c r="JFD68" s="15"/>
      <c r="JFE68" s="15"/>
      <c r="JFF68" s="15"/>
      <c r="JFG68" s="15"/>
      <c r="JFH68" s="15"/>
      <c r="JFI68" s="15"/>
      <c r="JFJ68" s="15"/>
      <c r="JFK68" s="15"/>
      <c r="JFL68" s="15"/>
      <c r="JFM68" s="15"/>
      <c r="JFN68" s="15"/>
      <c r="JFO68" s="15"/>
      <c r="JFP68" s="15"/>
      <c r="JFQ68" s="15"/>
      <c r="JFR68" s="15"/>
      <c r="JFS68" s="15"/>
      <c r="JFT68" s="15"/>
      <c r="JFU68" s="15"/>
      <c r="JFV68" s="15"/>
      <c r="JFW68" s="15"/>
      <c r="JFX68" s="15"/>
      <c r="JFY68" s="15"/>
      <c r="JFZ68" s="15"/>
      <c r="JGA68" s="15"/>
      <c r="JGB68" s="15"/>
      <c r="JGC68" s="15"/>
      <c r="JGD68" s="15"/>
      <c r="JGE68" s="15"/>
      <c r="JGF68" s="15"/>
      <c r="JGG68" s="15"/>
      <c r="JGH68" s="15"/>
      <c r="JGI68" s="15"/>
      <c r="JGJ68" s="15"/>
      <c r="JGK68" s="15"/>
      <c r="JGL68" s="15"/>
      <c r="JGM68" s="15"/>
      <c r="JGN68" s="15"/>
      <c r="JGO68" s="15"/>
      <c r="JGP68" s="15"/>
      <c r="JGQ68" s="15"/>
      <c r="JGR68" s="15"/>
      <c r="JGS68" s="15"/>
      <c r="JGT68" s="15"/>
      <c r="JGU68" s="15"/>
      <c r="JGV68" s="15"/>
      <c r="JGW68" s="15"/>
      <c r="JGX68" s="15"/>
      <c r="JGY68" s="15"/>
      <c r="JGZ68" s="15"/>
      <c r="JHA68" s="15"/>
      <c r="JHB68" s="15"/>
      <c r="JHC68" s="15"/>
      <c r="JHD68" s="15"/>
      <c r="JHE68" s="15"/>
      <c r="JHF68" s="15"/>
      <c r="JHG68" s="15"/>
      <c r="JHH68" s="15"/>
      <c r="JHI68" s="15"/>
      <c r="JHJ68" s="15"/>
      <c r="JHK68" s="15"/>
      <c r="JHL68" s="15"/>
      <c r="JHM68" s="15"/>
      <c r="JHN68" s="15"/>
      <c r="JHO68" s="15"/>
      <c r="JHP68" s="15"/>
      <c r="JHQ68" s="15"/>
      <c r="JHR68" s="15"/>
      <c r="JHS68" s="15"/>
      <c r="JHT68" s="15"/>
      <c r="JHU68" s="15"/>
      <c r="JHV68" s="15"/>
      <c r="JHW68" s="15"/>
      <c r="JHX68" s="15"/>
      <c r="JHY68" s="15"/>
      <c r="JHZ68" s="15"/>
      <c r="JIA68" s="15"/>
      <c r="JIB68" s="15"/>
      <c r="JIC68" s="15"/>
      <c r="JID68" s="15"/>
      <c r="JIE68" s="15"/>
      <c r="JIF68" s="15"/>
      <c r="JIG68" s="15"/>
      <c r="JIH68" s="15"/>
      <c r="JII68" s="15"/>
      <c r="JIJ68" s="15"/>
      <c r="JIK68" s="15"/>
      <c r="JIL68" s="15"/>
      <c r="JIM68" s="15"/>
      <c r="JIN68" s="15"/>
      <c r="JIO68" s="15"/>
      <c r="JIP68" s="15"/>
      <c r="JIQ68" s="15"/>
      <c r="JIR68" s="15"/>
      <c r="JIS68" s="15"/>
      <c r="JIT68" s="15"/>
      <c r="JIU68" s="15"/>
      <c r="JIV68" s="15"/>
      <c r="JIW68" s="15"/>
      <c r="JIX68" s="15"/>
      <c r="JIY68" s="15"/>
      <c r="JIZ68" s="15"/>
      <c r="JJA68" s="15"/>
      <c r="JJB68" s="15"/>
      <c r="JJC68" s="15"/>
      <c r="JJD68" s="15"/>
      <c r="JJE68" s="15"/>
      <c r="JJF68" s="15"/>
      <c r="JJG68" s="15"/>
      <c r="JJH68" s="15"/>
      <c r="JJI68" s="15"/>
      <c r="JJJ68" s="15"/>
      <c r="JJK68" s="15"/>
      <c r="JJL68" s="15"/>
      <c r="JJM68" s="15"/>
      <c r="JJN68" s="15"/>
      <c r="JJO68" s="15"/>
      <c r="JJP68" s="15"/>
      <c r="JJQ68" s="15"/>
      <c r="JJR68" s="15"/>
      <c r="JJS68" s="15"/>
      <c r="JJT68" s="15"/>
      <c r="JJU68" s="15"/>
      <c r="JJV68" s="15"/>
      <c r="JJW68" s="15"/>
      <c r="JJX68" s="15"/>
      <c r="JJY68" s="15"/>
      <c r="JJZ68" s="15"/>
      <c r="JKA68" s="15"/>
      <c r="JKB68" s="15"/>
      <c r="JKC68" s="15"/>
      <c r="JKD68" s="15"/>
      <c r="JKE68" s="15"/>
      <c r="JKF68" s="15"/>
      <c r="JKG68" s="15"/>
      <c r="JKH68" s="15"/>
      <c r="JKI68" s="15"/>
      <c r="JKJ68" s="15"/>
      <c r="JKK68" s="15"/>
      <c r="JKL68" s="15"/>
      <c r="JKM68" s="15"/>
      <c r="JKN68" s="15"/>
      <c r="JKO68" s="15"/>
      <c r="JKP68" s="15"/>
      <c r="JKQ68" s="15"/>
      <c r="JKR68" s="15"/>
      <c r="JKS68" s="15"/>
      <c r="JKT68" s="15"/>
      <c r="JKU68" s="15"/>
      <c r="JKV68" s="15"/>
      <c r="JKW68" s="15"/>
      <c r="JKX68" s="15"/>
      <c r="JKY68" s="15"/>
      <c r="JKZ68" s="15"/>
      <c r="JLA68" s="15"/>
      <c r="JLB68" s="15"/>
      <c r="JLC68" s="15"/>
      <c r="JLD68" s="15"/>
      <c r="JLE68" s="15"/>
      <c r="JLF68" s="15"/>
      <c r="JLG68" s="15"/>
      <c r="JLH68" s="15"/>
      <c r="JLI68" s="15"/>
      <c r="JLJ68" s="15"/>
      <c r="JLK68" s="15"/>
      <c r="JLL68" s="15"/>
      <c r="JLM68" s="15"/>
      <c r="JLN68" s="15"/>
      <c r="JLO68" s="15"/>
      <c r="JLP68" s="15"/>
      <c r="JLQ68" s="15"/>
      <c r="JLR68" s="15"/>
      <c r="JLS68" s="15"/>
      <c r="JLT68" s="15"/>
      <c r="JLU68" s="15"/>
      <c r="JLV68" s="15"/>
      <c r="JLW68" s="15"/>
      <c r="JLX68" s="15"/>
      <c r="JLY68" s="15"/>
      <c r="JLZ68" s="15"/>
      <c r="JMA68" s="15"/>
      <c r="JMB68" s="15"/>
      <c r="JMC68" s="15"/>
      <c r="JMD68" s="15"/>
      <c r="JME68" s="15"/>
      <c r="JMF68" s="15"/>
      <c r="JMG68" s="15"/>
      <c r="JMH68" s="15"/>
      <c r="JMI68" s="15"/>
      <c r="JMJ68" s="15"/>
      <c r="JMK68" s="15"/>
      <c r="JML68" s="15"/>
      <c r="JMM68" s="15"/>
      <c r="JMN68" s="15"/>
      <c r="JMO68" s="15"/>
      <c r="JMP68" s="15"/>
      <c r="JMQ68" s="15"/>
      <c r="JMR68" s="15"/>
      <c r="JMS68" s="15"/>
      <c r="JMT68" s="15"/>
      <c r="JMU68" s="15"/>
      <c r="JMV68" s="15"/>
      <c r="JMW68" s="15"/>
      <c r="JMX68" s="15"/>
      <c r="JMY68" s="15"/>
      <c r="JMZ68" s="15"/>
      <c r="JNA68" s="15"/>
      <c r="JNB68" s="15"/>
      <c r="JNC68" s="15"/>
      <c r="JND68" s="15"/>
      <c r="JNE68" s="15"/>
      <c r="JNF68" s="15"/>
      <c r="JNG68" s="15"/>
      <c r="JNH68" s="15"/>
      <c r="JNI68" s="15"/>
      <c r="JNJ68" s="15"/>
      <c r="JNK68" s="15"/>
      <c r="JNL68" s="15"/>
      <c r="JNM68" s="15"/>
      <c r="JNN68" s="15"/>
      <c r="JNO68" s="15"/>
      <c r="JNP68" s="15"/>
      <c r="JNQ68" s="15"/>
      <c r="JNR68" s="15"/>
      <c r="JNS68" s="15"/>
      <c r="JNT68" s="15"/>
      <c r="JNU68" s="15"/>
      <c r="JNV68" s="15"/>
      <c r="JNW68" s="15"/>
      <c r="JNX68" s="15"/>
      <c r="JNY68" s="15"/>
      <c r="JNZ68" s="15"/>
      <c r="JOA68" s="15"/>
      <c r="JOB68" s="15"/>
      <c r="JOC68" s="15"/>
      <c r="JOD68" s="15"/>
      <c r="JOE68" s="15"/>
      <c r="JOF68" s="15"/>
      <c r="JOG68" s="15"/>
      <c r="JOH68" s="15"/>
      <c r="JOI68" s="15"/>
      <c r="JOJ68" s="15"/>
      <c r="JOK68" s="15"/>
      <c r="JOL68" s="15"/>
      <c r="JOM68" s="15"/>
      <c r="JON68" s="15"/>
      <c r="JOO68" s="15"/>
      <c r="JOP68" s="15"/>
      <c r="JOQ68" s="15"/>
      <c r="JOR68" s="15"/>
      <c r="JOS68" s="15"/>
      <c r="JOT68" s="15"/>
      <c r="JOU68" s="15"/>
      <c r="JOV68" s="15"/>
      <c r="JOW68" s="15"/>
      <c r="JOX68" s="15"/>
      <c r="JOY68" s="15"/>
      <c r="JOZ68" s="15"/>
      <c r="JPA68" s="15"/>
      <c r="JPB68" s="15"/>
      <c r="JPC68" s="15"/>
      <c r="JPD68" s="15"/>
      <c r="JPE68" s="15"/>
      <c r="JPF68" s="15"/>
      <c r="JPG68" s="15"/>
      <c r="JPH68" s="15"/>
      <c r="JPI68" s="15"/>
      <c r="JPJ68" s="15"/>
      <c r="JPK68" s="15"/>
      <c r="JPL68" s="15"/>
      <c r="JPM68" s="15"/>
      <c r="JPN68" s="15"/>
      <c r="JPO68" s="15"/>
      <c r="JPP68" s="15"/>
      <c r="JPQ68" s="15"/>
      <c r="JPR68" s="15"/>
      <c r="JPS68" s="15"/>
      <c r="JPT68" s="15"/>
      <c r="JPU68" s="15"/>
      <c r="JPV68" s="15"/>
      <c r="JPW68" s="15"/>
      <c r="JPX68" s="15"/>
      <c r="JPY68" s="15"/>
      <c r="JPZ68" s="15"/>
      <c r="JQA68" s="15"/>
      <c r="JQB68" s="15"/>
      <c r="JQC68" s="15"/>
      <c r="JQD68" s="15"/>
      <c r="JQE68" s="15"/>
      <c r="JQF68" s="15"/>
      <c r="JQG68" s="15"/>
      <c r="JQH68" s="15"/>
      <c r="JQI68" s="15"/>
      <c r="JQJ68" s="15"/>
      <c r="JQK68" s="15"/>
      <c r="JQL68" s="15"/>
      <c r="JQM68" s="15"/>
      <c r="JQN68" s="15"/>
      <c r="JQO68" s="15"/>
      <c r="JQP68" s="15"/>
      <c r="JQQ68" s="15"/>
      <c r="JQR68" s="15"/>
      <c r="JQS68" s="15"/>
      <c r="JQT68" s="15"/>
      <c r="JQU68" s="15"/>
      <c r="JQV68" s="15"/>
      <c r="JQW68" s="15"/>
      <c r="JQX68" s="15"/>
      <c r="JQY68" s="15"/>
      <c r="JQZ68" s="15"/>
      <c r="JRA68" s="15"/>
      <c r="JRB68" s="15"/>
      <c r="JRC68" s="15"/>
      <c r="JRD68" s="15"/>
      <c r="JRE68" s="15"/>
      <c r="JRF68" s="15"/>
      <c r="JRG68" s="15"/>
      <c r="JRH68" s="15"/>
      <c r="JRI68" s="15"/>
      <c r="JRJ68" s="15"/>
      <c r="JRK68" s="15"/>
      <c r="JRL68" s="15"/>
      <c r="JRM68" s="15"/>
      <c r="JRN68" s="15"/>
      <c r="JRO68" s="15"/>
      <c r="JRP68" s="15"/>
      <c r="JRQ68" s="15"/>
      <c r="JRR68" s="15"/>
      <c r="JRS68" s="15"/>
      <c r="JRT68" s="15"/>
      <c r="JRU68" s="15"/>
      <c r="JRV68" s="15"/>
      <c r="JRW68" s="15"/>
      <c r="JRX68" s="15"/>
      <c r="JRY68" s="15"/>
      <c r="JRZ68" s="15"/>
      <c r="JSA68" s="15"/>
      <c r="JSB68" s="15"/>
      <c r="JSC68" s="15"/>
      <c r="JSD68" s="15"/>
      <c r="JSE68" s="15"/>
      <c r="JSF68" s="15"/>
      <c r="JSG68" s="15"/>
      <c r="JSH68" s="15"/>
      <c r="JSI68" s="15"/>
      <c r="JSJ68" s="15"/>
      <c r="JSK68" s="15"/>
      <c r="JSL68" s="15"/>
      <c r="JSM68" s="15"/>
      <c r="JSN68" s="15"/>
      <c r="JSO68" s="15"/>
      <c r="JSP68" s="15"/>
      <c r="JSQ68" s="15"/>
      <c r="JSR68" s="15"/>
      <c r="JSS68" s="15"/>
      <c r="JST68" s="15"/>
      <c r="JSU68" s="15"/>
      <c r="JSV68" s="15"/>
      <c r="JSW68" s="15"/>
      <c r="JSX68" s="15"/>
      <c r="JSY68" s="15"/>
      <c r="JSZ68" s="15"/>
      <c r="JTA68" s="15"/>
      <c r="JTB68" s="15"/>
      <c r="JTC68" s="15"/>
      <c r="JTD68" s="15"/>
      <c r="JTE68" s="15"/>
      <c r="JTF68" s="15"/>
      <c r="JTG68" s="15"/>
      <c r="JTH68" s="15"/>
      <c r="JTI68" s="15"/>
      <c r="JTJ68" s="15"/>
      <c r="JTK68" s="15"/>
      <c r="JTL68" s="15"/>
      <c r="JTM68" s="15"/>
      <c r="JTN68" s="15"/>
      <c r="JTO68" s="15"/>
      <c r="JTP68" s="15"/>
      <c r="JTQ68" s="15"/>
      <c r="JTR68" s="15"/>
      <c r="JTS68" s="15"/>
      <c r="JTT68" s="15"/>
      <c r="JTU68" s="15"/>
      <c r="JTV68" s="15"/>
      <c r="JTW68" s="15"/>
      <c r="JTX68" s="15"/>
      <c r="JTY68" s="15"/>
      <c r="JTZ68" s="15"/>
      <c r="JUA68" s="15"/>
      <c r="JUB68" s="15"/>
      <c r="JUC68" s="15"/>
      <c r="JUD68" s="15"/>
      <c r="JUE68" s="15"/>
      <c r="JUF68" s="15"/>
      <c r="JUG68" s="15"/>
      <c r="JUH68" s="15"/>
      <c r="JUI68" s="15"/>
      <c r="JUJ68" s="15"/>
      <c r="JUK68" s="15"/>
      <c r="JUL68" s="15"/>
      <c r="JUM68" s="15"/>
      <c r="JUN68" s="15"/>
      <c r="JUO68" s="15"/>
      <c r="JUP68" s="15"/>
      <c r="JUQ68" s="15"/>
      <c r="JUR68" s="15"/>
      <c r="JUS68" s="15"/>
      <c r="JUT68" s="15"/>
      <c r="JUU68" s="15"/>
      <c r="JUV68" s="15"/>
      <c r="JUW68" s="15"/>
      <c r="JUX68" s="15"/>
      <c r="JUY68" s="15"/>
      <c r="JUZ68" s="15"/>
      <c r="JVA68" s="15"/>
      <c r="JVB68" s="15"/>
      <c r="JVC68" s="15"/>
      <c r="JVD68" s="15"/>
      <c r="JVE68" s="15"/>
      <c r="JVF68" s="15"/>
      <c r="JVG68" s="15"/>
      <c r="JVH68" s="15"/>
      <c r="JVI68" s="15"/>
      <c r="JVJ68" s="15"/>
      <c r="JVK68" s="15"/>
      <c r="JVL68" s="15"/>
      <c r="JVM68" s="15"/>
      <c r="JVN68" s="15"/>
      <c r="JVO68" s="15"/>
      <c r="JVP68" s="15"/>
      <c r="JVQ68" s="15"/>
      <c r="JVR68" s="15"/>
      <c r="JVS68" s="15"/>
      <c r="JVT68" s="15"/>
      <c r="JVU68" s="15"/>
      <c r="JVV68" s="15"/>
      <c r="JVW68" s="15"/>
      <c r="JVX68" s="15"/>
      <c r="JVY68" s="15"/>
      <c r="JVZ68" s="15"/>
      <c r="JWA68" s="15"/>
      <c r="JWB68" s="15"/>
      <c r="JWC68" s="15"/>
      <c r="JWD68" s="15"/>
      <c r="JWE68" s="15"/>
      <c r="JWF68" s="15"/>
      <c r="JWG68" s="15"/>
      <c r="JWH68" s="15"/>
      <c r="JWI68" s="15"/>
      <c r="JWJ68" s="15"/>
      <c r="JWK68" s="15"/>
      <c r="JWL68" s="15"/>
      <c r="JWM68" s="15"/>
      <c r="JWN68" s="15"/>
      <c r="JWO68" s="15"/>
      <c r="JWP68" s="15"/>
      <c r="JWQ68" s="15"/>
      <c r="JWR68" s="15"/>
      <c r="JWS68" s="15"/>
      <c r="JWT68" s="15"/>
      <c r="JWU68" s="15"/>
      <c r="JWV68" s="15"/>
      <c r="JWW68" s="15"/>
      <c r="JWX68" s="15"/>
      <c r="JWY68" s="15"/>
      <c r="JWZ68" s="15"/>
      <c r="JXA68" s="15"/>
      <c r="JXB68" s="15"/>
      <c r="JXC68" s="15"/>
      <c r="JXD68" s="15"/>
      <c r="JXE68" s="15"/>
      <c r="JXF68" s="15"/>
      <c r="JXG68" s="15"/>
      <c r="JXH68" s="15"/>
      <c r="JXI68" s="15"/>
      <c r="JXJ68" s="15"/>
      <c r="JXK68" s="15"/>
      <c r="JXL68" s="15"/>
      <c r="JXM68" s="15"/>
      <c r="JXN68" s="15"/>
      <c r="JXO68" s="15"/>
      <c r="JXP68" s="15"/>
      <c r="JXQ68" s="15"/>
      <c r="JXR68" s="15"/>
      <c r="JXS68" s="15"/>
      <c r="JXT68" s="15"/>
      <c r="JXU68" s="15"/>
      <c r="JXV68" s="15"/>
      <c r="JXW68" s="15"/>
      <c r="JXX68" s="15"/>
      <c r="JXY68" s="15"/>
      <c r="JXZ68" s="15"/>
      <c r="JYA68" s="15"/>
      <c r="JYB68" s="15"/>
      <c r="JYC68" s="15"/>
      <c r="JYD68" s="15"/>
      <c r="JYE68" s="15"/>
      <c r="JYF68" s="15"/>
      <c r="JYG68" s="15"/>
      <c r="JYH68" s="15"/>
      <c r="JYI68" s="15"/>
      <c r="JYJ68" s="15"/>
      <c r="JYK68" s="15"/>
      <c r="JYL68" s="15"/>
      <c r="JYM68" s="15"/>
      <c r="JYN68" s="15"/>
      <c r="JYO68" s="15"/>
      <c r="JYP68" s="15"/>
      <c r="JYQ68" s="15"/>
      <c r="JYR68" s="15"/>
      <c r="JYS68" s="15"/>
      <c r="JYT68" s="15"/>
      <c r="JYU68" s="15"/>
      <c r="JYV68" s="15"/>
      <c r="JYW68" s="15"/>
      <c r="JYX68" s="15"/>
      <c r="JYY68" s="15"/>
      <c r="JYZ68" s="15"/>
      <c r="JZA68" s="15"/>
      <c r="JZB68" s="15"/>
      <c r="JZC68" s="15"/>
      <c r="JZD68" s="15"/>
      <c r="JZE68" s="15"/>
      <c r="JZF68" s="15"/>
      <c r="JZG68" s="15"/>
      <c r="JZH68" s="15"/>
      <c r="JZI68" s="15"/>
      <c r="JZJ68" s="15"/>
      <c r="JZK68" s="15"/>
      <c r="JZL68" s="15"/>
      <c r="JZM68" s="15"/>
      <c r="JZN68" s="15"/>
      <c r="JZO68" s="15"/>
      <c r="JZP68" s="15"/>
      <c r="JZQ68" s="15"/>
      <c r="JZR68" s="15"/>
      <c r="JZS68" s="15"/>
      <c r="JZT68" s="15"/>
      <c r="JZU68" s="15"/>
      <c r="JZV68" s="15"/>
      <c r="JZW68" s="15"/>
      <c r="JZX68" s="15"/>
      <c r="JZY68" s="15"/>
      <c r="JZZ68" s="15"/>
      <c r="KAA68" s="15"/>
      <c r="KAB68" s="15"/>
      <c r="KAC68" s="15"/>
      <c r="KAD68" s="15"/>
      <c r="KAE68" s="15"/>
      <c r="KAF68" s="15"/>
      <c r="KAG68" s="15"/>
      <c r="KAH68" s="15"/>
      <c r="KAI68" s="15"/>
      <c r="KAJ68" s="15"/>
      <c r="KAK68" s="15"/>
      <c r="KAL68" s="15"/>
      <c r="KAM68" s="15"/>
      <c r="KAN68" s="15"/>
      <c r="KAO68" s="15"/>
      <c r="KAP68" s="15"/>
      <c r="KAQ68" s="15"/>
      <c r="KAR68" s="15"/>
      <c r="KAS68" s="15"/>
      <c r="KAT68" s="15"/>
      <c r="KAU68" s="15"/>
      <c r="KAV68" s="15"/>
      <c r="KAW68" s="15"/>
      <c r="KAX68" s="15"/>
      <c r="KAY68" s="15"/>
      <c r="KAZ68" s="15"/>
      <c r="KBA68" s="15"/>
      <c r="KBB68" s="15"/>
      <c r="KBC68" s="15"/>
      <c r="KBD68" s="15"/>
      <c r="KBE68" s="15"/>
      <c r="KBF68" s="15"/>
      <c r="KBG68" s="15"/>
      <c r="KBH68" s="15"/>
      <c r="KBI68" s="15"/>
      <c r="KBJ68" s="15"/>
      <c r="KBK68" s="15"/>
      <c r="KBL68" s="15"/>
      <c r="KBM68" s="15"/>
      <c r="KBN68" s="15"/>
      <c r="KBO68" s="15"/>
      <c r="KBP68" s="15"/>
      <c r="KBQ68" s="15"/>
      <c r="KBR68" s="15"/>
      <c r="KBS68" s="15"/>
      <c r="KBT68" s="15"/>
      <c r="KBU68" s="15"/>
      <c r="KBV68" s="15"/>
      <c r="KBW68" s="15"/>
      <c r="KBX68" s="15"/>
      <c r="KBY68" s="15"/>
      <c r="KBZ68" s="15"/>
      <c r="KCA68" s="15"/>
      <c r="KCB68" s="15"/>
      <c r="KCC68" s="15"/>
      <c r="KCD68" s="15"/>
      <c r="KCE68" s="15"/>
      <c r="KCF68" s="15"/>
      <c r="KCG68" s="15"/>
      <c r="KCH68" s="15"/>
      <c r="KCI68" s="15"/>
      <c r="KCJ68" s="15"/>
      <c r="KCK68" s="15"/>
      <c r="KCL68" s="15"/>
      <c r="KCM68" s="15"/>
      <c r="KCN68" s="15"/>
      <c r="KCO68" s="15"/>
      <c r="KCP68" s="15"/>
      <c r="KCQ68" s="15"/>
      <c r="KCR68" s="15"/>
      <c r="KCS68" s="15"/>
      <c r="KCT68" s="15"/>
      <c r="KCU68" s="15"/>
      <c r="KCV68" s="15"/>
      <c r="KCW68" s="15"/>
      <c r="KCX68" s="15"/>
      <c r="KCY68" s="15"/>
      <c r="KCZ68" s="15"/>
      <c r="KDA68" s="15"/>
      <c r="KDB68" s="15"/>
      <c r="KDC68" s="15"/>
      <c r="KDD68" s="15"/>
      <c r="KDE68" s="15"/>
      <c r="KDF68" s="15"/>
      <c r="KDG68" s="15"/>
      <c r="KDH68" s="15"/>
      <c r="KDI68" s="15"/>
      <c r="KDJ68" s="15"/>
      <c r="KDK68" s="15"/>
      <c r="KDL68" s="15"/>
      <c r="KDM68" s="15"/>
      <c r="KDN68" s="15"/>
      <c r="KDO68" s="15"/>
      <c r="KDP68" s="15"/>
      <c r="KDQ68" s="15"/>
      <c r="KDR68" s="15"/>
      <c r="KDS68" s="15"/>
      <c r="KDT68" s="15"/>
      <c r="KDU68" s="15"/>
      <c r="KDV68" s="15"/>
      <c r="KDW68" s="15"/>
      <c r="KDX68" s="15"/>
      <c r="KDY68" s="15"/>
      <c r="KDZ68" s="15"/>
      <c r="KEA68" s="15"/>
      <c r="KEB68" s="15"/>
      <c r="KEC68" s="15"/>
      <c r="KED68" s="15"/>
      <c r="KEE68" s="15"/>
      <c r="KEF68" s="15"/>
      <c r="KEG68" s="15"/>
      <c r="KEH68" s="15"/>
      <c r="KEI68" s="15"/>
      <c r="KEJ68" s="15"/>
      <c r="KEK68" s="15"/>
      <c r="KEL68" s="15"/>
      <c r="KEM68" s="15"/>
      <c r="KEN68" s="15"/>
      <c r="KEO68" s="15"/>
      <c r="KEP68" s="15"/>
      <c r="KEQ68" s="15"/>
      <c r="KER68" s="15"/>
      <c r="KES68" s="15"/>
      <c r="KET68" s="15"/>
      <c r="KEU68" s="15"/>
      <c r="KEV68" s="15"/>
      <c r="KEW68" s="15"/>
      <c r="KEX68" s="15"/>
      <c r="KEY68" s="15"/>
      <c r="KEZ68" s="15"/>
      <c r="KFA68" s="15"/>
      <c r="KFB68" s="15"/>
      <c r="KFC68" s="15"/>
      <c r="KFD68" s="15"/>
      <c r="KFE68" s="15"/>
      <c r="KFF68" s="15"/>
      <c r="KFG68" s="15"/>
      <c r="KFH68" s="15"/>
      <c r="KFI68" s="15"/>
      <c r="KFJ68" s="15"/>
      <c r="KFK68" s="15"/>
      <c r="KFL68" s="15"/>
      <c r="KFM68" s="15"/>
      <c r="KFN68" s="15"/>
      <c r="KFO68" s="15"/>
      <c r="KFP68" s="15"/>
      <c r="KFQ68" s="15"/>
      <c r="KFR68" s="15"/>
      <c r="KFS68" s="15"/>
      <c r="KFT68" s="15"/>
      <c r="KFU68" s="15"/>
      <c r="KFV68" s="15"/>
      <c r="KFW68" s="15"/>
      <c r="KFX68" s="15"/>
      <c r="KFY68" s="15"/>
      <c r="KFZ68" s="15"/>
      <c r="KGA68" s="15"/>
      <c r="KGB68" s="15"/>
      <c r="KGC68" s="15"/>
      <c r="KGD68" s="15"/>
      <c r="KGE68" s="15"/>
      <c r="KGF68" s="15"/>
      <c r="KGG68" s="15"/>
      <c r="KGH68" s="15"/>
      <c r="KGI68" s="15"/>
      <c r="KGJ68" s="15"/>
      <c r="KGK68" s="15"/>
      <c r="KGL68" s="15"/>
      <c r="KGM68" s="15"/>
      <c r="KGN68" s="15"/>
      <c r="KGO68" s="15"/>
      <c r="KGP68" s="15"/>
      <c r="KGQ68" s="15"/>
      <c r="KGR68" s="15"/>
      <c r="KGS68" s="15"/>
      <c r="KGT68" s="15"/>
      <c r="KGU68" s="15"/>
      <c r="KGV68" s="15"/>
      <c r="KGW68" s="15"/>
      <c r="KGX68" s="15"/>
      <c r="KGY68" s="15"/>
      <c r="KGZ68" s="15"/>
      <c r="KHA68" s="15"/>
      <c r="KHB68" s="15"/>
      <c r="KHC68" s="15"/>
      <c r="KHD68" s="15"/>
      <c r="KHE68" s="15"/>
      <c r="KHF68" s="15"/>
      <c r="KHG68" s="15"/>
      <c r="KHH68" s="15"/>
      <c r="KHI68" s="15"/>
      <c r="KHJ68" s="15"/>
      <c r="KHK68" s="15"/>
      <c r="KHL68" s="15"/>
      <c r="KHM68" s="15"/>
      <c r="KHN68" s="15"/>
      <c r="KHO68" s="15"/>
      <c r="KHP68" s="15"/>
      <c r="KHQ68" s="15"/>
      <c r="KHR68" s="15"/>
      <c r="KHS68" s="15"/>
      <c r="KHT68" s="15"/>
      <c r="KHU68" s="15"/>
      <c r="KHV68" s="15"/>
      <c r="KHW68" s="15"/>
      <c r="KHX68" s="15"/>
      <c r="KHY68" s="15"/>
      <c r="KHZ68" s="15"/>
      <c r="KIA68" s="15"/>
      <c r="KIB68" s="15"/>
      <c r="KIC68" s="15"/>
      <c r="KID68" s="15"/>
      <c r="KIE68" s="15"/>
      <c r="KIF68" s="15"/>
      <c r="KIG68" s="15"/>
      <c r="KIH68" s="15"/>
      <c r="KII68" s="15"/>
      <c r="KIJ68" s="15"/>
      <c r="KIK68" s="15"/>
      <c r="KIL68" s="15"/>
      <c r="KIM68" s="15"/>
      <c r="KIN68" s="15"/>
      <c r="KIO68" s="15"/>
      <c r="KIP68" s="15"/>
      <c r="KIQ68" s="15"/>
      <c r="KIR68" s="15"/>
      <c r="KIS68" s="15"/>
      <c r="KIT68" s="15"/>
      <c r="KIU68" s="15"/>
      <c r="KIV68" s="15"/>
      <c r="KIW68" s="15"/>
      <c r="KIX68" s="15"/>
      <c r="KIY68" s="15"/>
      <c r="KIZ68" s="15"/>
      <c r="KJA68" s="15"/>
      <c r="KJB68" s="15"/>
      <c r="KJC68" s="15"/>
      <c r="KJD68" s="15"/>
      <c r="KJE68" s="15"/>
      <c r="KJF68" s="15"/>
      <c r="KJG68" s="15"/>
      <c r="KJH68" s="15"/>
      <c r="KJI68" s="15"/>
      <c r="KJJ68" s="15"/>
      <c r="KJK68" s="15"/>
      <c r="KJL68" s="15"/>
      <c r="KJM68" s="15"/>
      <c r="KJN68" s="15"/>
      <c r="KJO68" s="15"/>
      <c r="KJP68" s="15"/>
      <c r="KJQ68" s="15"/>
      <c r="KJR68" s="15"/>
      <c r="KJS68" s="15"/>
      <c r="KJT68" s="15"/>
      <c r="KJU68" s="15"/>
      <c r="KJV68" s="15"/>
      <c r="KJW68" s="15"/>
      <c r="KJX68" s="15"/>
      <c r="KJY68" s="15"/>
      <c r="KJZ68" s="15"/>
      <c r="KKA68" s="15"/>
      <c r="KKB68" s="15"/>
      <c r="KKC68" s="15"/>
      <c r="KKD68" s="15"/>
      <c r="KKE68" s="15"/>
      <c r="KKF68" s="15"/>
      <c r="KKG68" s="15"/>
      <c r="KKH68" s="15"/>
      <c r="KKI68" s="15"/>
      <c r="KKJ68" s="15"/>
      <c r="KKK68" s="15"/>
      <c r="KKL68" s="15"/>
      <c r="KKM68" s="15"/>
      <c r="KKN68" s="15"/>
      <c r="KKO68" s="15"/>
      <c r="KKP68" s="15"/>
      <c r="KKQ68" s="15"/>
      <c r="KKR68" s="15"/>
      <c r="KKS68" s="15"/>
      <c r="KKT68" s="15"/>
      <c r="KKU68" s="15"/>
      <c r="KKV68" s="15"/>
      <c r="KKW68" s="15"/>
      <c r="KKX68" s="15"/>
      <c r="KKY68" s="15"/>
      <c r="KKZ68" s="15"/>
      <c r="KLA68" s="15"/>
      <c r="KLB68" s="15"/>
      <c r="KLC68" s="15"/>
      <c r="KLD68" s="15"/>
      <c r="KLE68" s="15"/>
      <c r="KLF68" s="15"/>
      <c r="KLG68" s="15"/>
      <c r="KLH68" s="15"/>
      <c r="KLI68" s="15"/>
      <c r="KLJ68" s="15"/>
      <c r="KLK68" s="15"/>
      <c r="KLL68" s="15"/>
      <c r="KLM68" s="15"/>
      <c r="KLN68" s="15"/>
      <c r="KLO68" s="15"/>
      <c r="KLP68" s="15"/>
      <c r="KLQ68" s="15"/>
      <c r="KLR68" s="15"/>
      <c r="KLS68" s="15"/>
      <c r="KLT68" s="15"/>
      <c r="KLU68" s="15"/>
      <c r="KLV68" s="15"/>
      <c r="KLW68" s="15"/>
      <c r="KLX68" s="15"/>
      <c r="KLY68" s="15"/>
      <c r="KLZ68" s="15"/>
      <c r="KMA68" s="15"/>
      <c r="KMB68" s="15"/>
      <c r="KMC68" s="15"/>
      <c r="KMD68" s="15"/>
      <c r="KME68" s="15"/>
      <c r="KMF68" s="15"/>
      <c r="KMG68" s="15"/>
      <c r="KMH68" s="15"/>
      <c r="KMI68" s="15"/>
      <c r="KMJ68" s="15"/>
      <c r="KMK68" s="15"/>
      <c r="KML68" s="15"/>
      <c r="KMM68" s="15"/>
      <c r="KMN68" s="15"/>
      <c r="KMO68" s="15"/>
      <c r="KMP68" s="15"/>
      <c r="KMQ68" s="15"/>
      <c r="KMR68" s="15"/>
      <c r="KMS68" s="15"/>
      <c r="KMT68" s="15"/>
      <c r="KMU68" s="15"/>
      <c r="KMV68" s="15"/>
      <c r="KMW68" s="15"/>
      <c r="KMX68" s="15"/>
      <c r="KMY68" s="15"/>
      <c r="KMZ68" s="15"/>
      <c r="KNA68" s="15"/>
      <c r="KNB68" s="15"/>
      <c r="KNC68" s="15"/>
      <c r="KND68" s="15"/>
      <c r="KNE68" s="15"/>
      <c r="KNF68" s="15"/>
      <c r="KNG68" s="15"/>
      <c r="KNH68" s="15"/>
      <c r="KNI68" s="15"/>
      <c r="KNJ68" s="15"/>
      <c r="KNK68" s="15"/>
      <c r="KNL68" s="15"/>
      <c r="KNM68" s="15"/>
      <c r="KNN68" s="15"/>
      <c r="KNO68" s="15"/>
      <c r="KNP68" s="15"/>
      <c r="KNQ68" s="15"/>
      <c r="KNR68" s="15"/>
      <c r="KNS68" s="15"/>
      <c r="KNT68" s="15"/>
      <c r="KNU68" s="15"/>
      <c r="KNV68" s="15"/>
      <c r="KNW68" s="15"/>
      <c r="KNX68" s="15"/>
      <c r="KNY68" s="15"/>
      <c r="KNZ68" s="15"/>
      <c r="KOA68" s="15"/>
      <c r="KOB68" s="15"/>
      <c r="KOC68" s="15"/>
      <c r="KOD68" s="15"/>
      <c r="KOE68" s="15"/>
      <c r="KOF68" s="15"/>
      <c r="KOG68" s="15"/>
      <c r="KOH68" s="15"/>
      <c r="KOI68" s="15"/>
      <c r="KOJ68" s="15"/>
      <c r="KOK68" s="15"/>
      <c r="KOL68" s="15"/>
      <c r="KOM68" s="15"/>
      <c r="KON68" s="15"/>
      <c r="KOO68" s="15"/>
      <c r="KOP68" s="15"/>
      <c r="KOQ68" s="15"/>
      <c r="KOR68" s="15"/>
      <c r="KOS68" s="15"/>
      <c r="KOT68" s="15"/>
      <c r="KOU68" s="15"/>
      <c r="KOV68" s="15"/>
      <c r="KOW68" s="15"/>
      <c r="KOX68" s="15"/>
      <c r="KOY68" s="15"/>
      <c r="KOZ68" s="15"/>
      <c r="KPA68" s="15"/>
      <c r="KPB68" s="15"/>
      <c r="KPC68" s="15"/>
      <c r="KPD68" s="15"/>
      <c r="KPE68" s="15"/>
      <c r="KPF68" s="15"/>
      <c r="KPG68" s="15"/>
      <c r="KPH68" s="15"/>
      <c r="KPI68" s="15"/>
      <c r="KPJ68" s="15"/>
      <c r="KPK68" s="15"/>
      <c r="KPL68" s="15"/>
      <c r="KPM68" s="15"/>
      <c r="KPN68" s="15"/>
      <c r="KPO68" s="15"/>
      <c r="KPP68" s="15"/>
      <c r="KPQ68" s="15"/>
      <c r="KPR68" s="15"/>
      <c r="KPS68" s="15"/>
      <c r="KPT68" s="15"/>
      <c r="KPU68" s="15"/>
      <c r="KPV68" s="15"/>
      <c r="KPW68" s="15"/>
      <c r="KPX68" s="15"/>
      <c r="KPY68" s="15"/>
      <c r="KPZ68" s="15"/>
      <c r="KQA68" s="15"/>
      <c r="KQB68" s="15"/>
      <c r="KQC68" s="15"/>
      <c r="KQD68" s="15"/>
      <c r="KQE68" s="15"/>
      <c r="KQF68" s="15"/>
      <c r="KQG68" s="15"/>
      <c r="KQH68" s="15"/>
      <c r="KQI68" s="15"/>
      <c r="KQJ68" s="15"/>
      <c r="KQK68" s="15"/>
      <c r="KQL68" s="15"/>
      <c r="KQM68" s="15"/>
      <c r="KQN68" s="15"/>
      <c r="KQO68" s="15"/>
      <c r="KQP68" s="15"/>
      <c r="KQQ68" s="15"/>
      <c r="KQR68" s="15"/>
      <c r="KQS68" s="15"/>
      <c r="KQT68" s="15"/>
      <c r="KQU68" s="15"/>
      <c r="KQV68" s="15"/>
      <c r="KQW68" s="15"/>
      <c r="KQX68" s="15"/>
      <c r="KQY68" s="15"/>
      <c r="KQZ68" s="15"/>
      <c r="KRA68" s="15"/>
      <c r="KRB68" s="15"/>
      <c r="KRC68" s="15"/>
      <c r="KRD68" s="15"/>
      <c r="KRE68" s="15"/>
      <c r="KRF68" s="15"/>
      <c r="KRG68" s="15"/>
      <c r="KRH68" s="15"/>
      <c r="KRI68" s="15"/>
      <c r="KRJ68" s="15"/>
      <c r="KRK68" s="15"/>
      <c r="KRL68" s="15"/>
      <c r="KRM68" s="15"/>
      <c r="KRN68" s="15"/>
      <c r="KRO68" s="15"/>
      <c r="KRP68" s="15"/>
      <c r="KRQ68" s="15"/>
      <c r="KRR68" s="15"/>
      <c r="KRS68" s="15"/>
      <c r="KRT68" s="15"/>
      <c r="KRU68" s="15"/>
      <c r="KRV68" s="15"/>
      <c r="KRW68" s="15"/>
      <c r="KRX68" s="15"/>
      <c r="KRY68" s="15"/>
      <c r="KRZ68" s="15"/>
      <c r="KSA68" s="15"/>
      <c r="KSB68" s="15"/>
      <c r="KSC68" s="15"/>
      <c r="KSD68" s="15"/>
      <c r="KSE68" s="15"/>
      <c r="KSF68" s="15"/>
      <c r="KSG68" s="15"/>
      <c r="KSH68" s="15"/>
      <c r="KSI68" s="15"/>
      <c r="KSJ68" s="15"/>
      <c r="KSK68" s="15"/>
      <c r="KSL68" s="15"/>
      <c r="KSM68" s="15"/>
      <c r="KSN68" s="15"/>
      <c r="KSO68" s="15"/>
      <c r="KSP68" s="15"/>
      <c r="KSQ68" s="15"/>
      <c r="KSR68" s="15"/>
      <c r="KSS68" s="15"/>
      <c r="KST68" s="15"/>
      <c r="KSU68" s="15"/>
      <c r="KSV68" s="15"/>
      <c r="KSW68" s="15"/>
      <c r="KSX68" s="15"/>
      <c r="KSY68" s="15"/>
      <c r="KSZ68" s="15"/>
      <c r="KTA68" s="15"/>
      <c r="KTB68" s="15"/>
      <c r="KTC68" s="15"/>
      <c r="KTD68" s="15"/>
      <c r="KTE68" s="15"/>
      <c r="KTF68" s="15"/>
      <c r="KTG68" s="15"/>
      <c r="KTH68" s="15"/>
      <c r="KTI68" s="15"/>
      <c r="KTJ68" s="15"/>
      <c r="KTK68" s="15"/>
      <c r="KTL68" s="15"/>
      <c r="KTM68" s="15"/>
      <c r="KTN68" s="15"/>
      <c r="KTO68" s="15"/>
      <c r="KTP68" s="15"/>
      <c r="KTQ68" s="15"/>
      <c r="KTR68" s="15"/>
      <c r="KTS68" s="15"/>
      <c r="KTT68" s="15"/>
      <c r="KTU68" s="15"/>
      <c r="KTV68" s="15"/>
      <c r="KTW68" s="15"/>
      <c r="KTX68" s="15"/>
      <c r="KTY68" s="15"/>
      <c r="KTZ68" s="15"/>
      <c r="KUA68" s="15"/>
      <c r="KUB68" s="15"/>
      <c r="KUC68" s="15"/>
      <c r="KUD68" s="15"/>
      <c r="KUE68" s="15"/>
      <c r="KUF68" s="15"/>
      <c r="KUG68" s="15"/>
      <c r="KUH68" s="15"/>
      <c r="KUI68" s="15"/>
      <c r="KUJ68" s="15"/>
      <c r="KUK68" s="15"/>
      <c r="KUL68" s="15"/>
      <c r="KUM68" s="15"/>
      <c r="KUN68" s="15"/>
      <c r="KUO68" s="15"/>
      <c r="KUP68" s="15"/>
      <c r="KUQ68" s="15"/>
      <c r="KUR68" s="15"/>
      <c r="KUS68" s="15"/>
      <c r="KUT68" s="15"/>
      <c r="KUU68" s="15"/>
      <c r="KUV68" s="15"/>
      <c r="KUW68" s="15"/>
      <c r="KUX68" s="15"/>
      <c r="KUY68" s="15"/>
      <c r="KUZ68" s="15"/>
      <c r="KVA68" s="15"/>
      <c r="KVB68" s="15"/>
      <c r="KVC68" s="15"/>
      <c r="KVD68" s="15"/>
      <c r="KVE68" s="15"/>
      <c r="KVF68" s="15"/>
      <c r="KVG68" s="15"/>
      <c r="KVH68" s="15"/>
      <c r="KVI68" s="15"/>
      <c r="KVJ68" s="15"/>
      <c r="KVK68" s="15"/>
      <c r="KVL68" s="15"/>
      <c r="KVM68" s="15"/>
      <c r="KVN68" s="15"/>
      <c r="KVO68" s="15"/>
      <c r="KVP68" s="15"/>
      <c r="KVQ68" s="15"/>
      <c r="KVR68" s="15"/>
      <c r="KVS68" s="15"/>
      <c r="KVT68" s="15"/>
      <c r="KVU68" s="15"/>
      <c r="KVV68" s="15"/>
      <c r="KVW68" s="15"/>
      <c r="KVX68" s="15"/>
      <c r="KVY68" s="15"/>
      <c r="KVZ68" s="15"/>
      <c r="KWA68" s="15"/>
      <c r="KWB68" s="15"/>
      <c r="KWC68" s="15"/>
      <c r="KWD68" s="15"/>
      <c r="KWE68" s="15"/>
      <c r="KWF68" s="15"/>
      <c r="KWG68" s="15"/>
      <c r="KWH68" s="15"/>
      <c r="KWI68" s="15"/>
      <c r="KWJ68" s="15"/>
      <c r="KWK68" s="15"/>
      <c r="KWL68" s="15"/>
      <c r="KWM68" s="15"/>
      <c r="KWN68" s="15"/>
      <c r="KWO68" s="15"/>
      <c r="KWP68" s="15"/>
      <c r="KWQ68" s="15"/>
      <c r="KWR68" s="15"/>
      <c r="KWS68" s="15"/>
      <c r="KWT68" s="15"/>
      <c r="KWU68" s="15"/>
      <c r="KWV68" s="15"/>
      <c r="KWW68" s="15"/>
      <c r="KWX68" s="15"/>
      <c r="KWY68" s="15"/>
      <c r="KWZ68" s="15"/>
      <c r="KXA68" s="15"/>
      <c r="KXB68" s="15"/>
      <c r="KXC68" s="15"/>
      <c r="KXD68" s="15"/>
      <c r="KXE68" s="15"/>
      <c r="KXF68" s="15"/>
      <c r="KXG68" s="15"/>
      <c r="KXH68" s="15"/>
      <c r="KXI68" s="15"/>
      <c r="KXJ68" s="15"/>
      <c r="KXK68" s="15"/>
      <c r="KXL68" s="15"/>
      <c r="KXM68" s="15"/>
      <c r="KXN68" s="15"/>
      <c r="KXO68" s="15"/>
      <c r="KXP68" s="15"/>
      <c r="KXQ68" s="15"/>
      <c r="KXR68" s="15"/>
      <c r="KXS68" s="15"/>
      <c r="KXT68" s="15"/>
      <c r="KXU68" s="15"/>
      <c r="KXV68" s="15"/>
      <c r="KXW68" s="15"/>
      <c r="KXX68" s="15"/>
      <c r="KXY68" s="15"/>
      <c r="KXZ68" s="15"/>
      <c r="KYA68" s="15"/>
      <c r="KYB68" s="15"/>
      <c r="KYC68" s="15"/>
      <c r="KYD68" s="15"/>
      <c r="KYE68" s="15"/>
      <c r="KYF68" s="15"/>
      <c r="KYG68" s="15"/>
      <c r="KYH68" s="15"/>
      <c r="KYI68" s="15"/>
      <c r="KYJ68" s="15"/>
      <c r="KYK68" s="15"/>
      <c r="KYL68" s="15"/>
      <c r="KYM68" s="15"/>
      <c r="KYN68" s="15"/>
      <c r="KYO68" s="15"/>
      <c r="KYP68" s="15"/>
      <c r="KYQ68" s="15"/>
      <c r="KYR68" s="15"/>
      <c r="KYS68" s="15"/>
      <c r="KYT68" s="15"/>
      <c r="KYU68" s="15"/>
      <c r="KYV68" s="15"/>
      <c r="KYW68" s="15"/>
      <c r="KYX68" s="15"/>
      <c r="KYY68" s="15"/>
      <c r="KYZ68" s="15"/>
      <c r="KZA68" s="15"/>
      <c r="KZB68" s="15"/>
      <c r="KZC68" s="15"/>
      <c r="KZD68" s="15"/>
      <c r="KZE68" s="15"/>
      <c r="KZF68" s="15"/>
      <c r="KZG68" s="15"/>
      <c r="KZH68" s="15"/>
      <c r="KZI68" s="15"/>
      <c r="KZJ68" s="15"/>
      <c r="KZK68" s="15"/>
      <c r="KZL68" s="15"/>
      <c r="KZM68" s="15"/>
      <c r="KZN68" s="15"/>
      <c r="KZO68" s="15"/>
      <c r="KZP68" s="15"/>
      <c r="KZQ68" s="15"/>
      <c r="KZR68" s="15"/>
      <c r="KZS68" s="15"/>
      <c r="KZT68" s="15"/>
      <c r="KZU68" s="15"/>
      <c r="KZV68" s="15"/>
      <c r="KZW68" s="15"/>
      <c r="KZX68" s="15"/>
      <c r="KZY68" s="15"/>
      <c r="KZZ68" s="15"/>
      <c r="LAA68" s="15"/>
      <c r="LAB68" s="15"/>
      <c r="LAC68" s="15"/>
      <c r="LAD68" s="15"/>
      <c r="LAE68" s="15"/>
      <c r="LAF68" s="15"/>
      <c r="LAG68" s="15"/>
      <c r="LAH68" s="15"/>
      <c r="LAI68" s="15"/>
      <c r="LAJ68" s="15"/>
      <c r="LAK68" s="15"/>
      <c r="LAL68" s="15"/>
      <c r="LAM68" s="15"/>
      <c r="LAN68" s="15"/>
      <c r="LAO68" s="15"/>
      <c r="LAP68" s="15"/>
      <c r="LAQ68" s="15"/>
      <c r="LAR68" s="15"/>
      <c r="LAS68" s="15"/>
      <c r="LAT68" s="15"/>
      <c r="LAU68" s="15"/>
      <c r="LAV68" s="15"/>
      <c r="LAW68" s="15"/>
      <c r="LAX68" s="15"/>
      <c r="LAY68" s="15"/>
      <c r="LAZ68" s="15"/>
      <c r="LBA68" s="15"/>
      <c r="LBB68" s="15"/>
      <c r="LBC68" s="15"/>
      <c r="LBD68" s="15"/>
      <c r="LBE68" s="15"/>
      <c r="LBF68" s="15"/>
      <c r="LBG68" s="15"/>
      <c r="LBH68" s="15"/>
      <c r="LBI68" s="15"/>
      <c r="LBJ68" s="15"/>
      <c r="LBK68" s="15"/>
      <c r="LBL68" s="15"/>
      <c r="LBM68" s="15"/>
      <c r="LBN68" s="15"/>
      <c r="LBO68" s="15"/>
      <c r="LBP68" s="15"/>
      <c r="LBQ68" s="15"/>
      <c r="LBR68" s="15"/>
      <c r="LBS68" s="15"/>
      <c r="LBT68" s="15"/>
      <c r="LBU68" s="15"/>
      <c r="LBV68" s="15"/>
      <c r="LBW68" s="15"/>
      <c r="LBX68" s="15"/>
      <c r="LBY68" s="15"/>
      <c r="LBZ68" s="15"/>
      <c r="LCA68" s="15"/>
      <c r="LCB68" s="15"/>
      <c r="LCC68" s="15"/>
      <c r="LCD68" s="15"/>
      <c r="LCE68" s="15"/>
      <c r="LCF68" s="15"/>
      <c r="LCG68" s="15"/>
      <c r="LCH68" s="15"/>
      <c r="LCI68" s="15"/>
      <c r="LCJ68" s="15"/>
      <c r="LCK68" s="15"/>
      <c r="LCL68" s="15"/>
      <c r="LCM68" s="15"/>
      <c r="LCN68" s="15"/>
      <c r="LCO68" s="15"/>
      <c r="LCP68" s="15"/>
      <c r="LCQ68" s="15"/>
      <c r="LCR68" s="15"/>
      <c r="LCS68" s="15"/>
      <c r="LCT68" s="15"/>
      <c r="LCU68" s="15"/>
      <c r="LCV68" s="15"/>
      <c r="LCW68" s="15"/>
      <c r="LCX68" s="15"/>
      <c r="LCY68" s="15"/>
      <c r="LCZ68" s="15"/>
      <c r="LDA68" s="15"/>
      <c r="LDB68" s="15"/>
      <c r="LDC68" s="15"/>
      <c r="LDD68" s="15"/>
      <c r="LDE68" s="15"/>
      <c r="LDF68" s="15"/>
      <c r="LDG68" s="15"/>
      <c r="LDH68" s="15"/>
      <c r="LDI68" s="15"/>
      <c r="LDJ68" s="15"/>
      <c r="LDK68" s="15"/>
      <c r="LDL68" s="15"/>
      <c r="LDM68" s="15"/>
      <c r="LDN68" s="15"/>
      <c r="LDO68" s="15"/>
      <c r="LDP68" s="15"/>
      <c r="LDQ68" s="15"/>
      <c r="LDR68" s="15"/>
      <c r="LDS68" s="15"/>
      <c r="LDT68" s="15"/>
      <c r="LDU68" s="15"/>
      <c r="LDV68" s="15"/>
      <c r="LDW68" s="15"/>
      <c r="LDX68" s="15"/>
      <c r="LDY68" s="15"/>
      <c r="LDZ68" s="15"/>
      <c r="LEA68" s="15"/>
      <c r="LEB68" s="15"/>
      <c r="LEC68" s="15"/>
      <c r="LED68" s="15"/>
      <c r="LEE68" s="15"/>
      <c r="LEF68" s="15"/>
      <c r="LEG68" s="15"/>
      <c r="LEH68" s="15"/>
      <c r="LEI68" s="15"/>
      <c r="LEJ68" s="15"/>
      <c r="LEK68" s="15"/>
      <c r="LEL68" s="15"/>
      <c r="LEM68" s="15"/>
      <c r="LEN68" s="15"/>
      <c r="LEO68" s="15"/>
      <c r="LEP68" s="15"/>
      <c r="LEQ68" s="15"/>
      <c r="LER68" s="15"/>
      <c r="LES68" s="15"/>
      <c r="LET68" s="15"/>
      <c r="LEU68" s="15"/>
      <c r="LEV68" s="15"/>
      <c r="LEW68" s="15"/>
      <c r="LEX68" s="15"/>
      <c r="LEY68" s="15"/>
      <c r="LEZ68" s="15"/>
      <c r="LFA68" s="15"/>
      <c r="LFB68" s="15"/>
      <c r="LFC68" s="15"/>
      <c r="LFD68" s="15"/>
      <c r="LFE68" s="15"/>
      <c r="LFF68" s="15"/>
      <c r="LFG68" s="15"/>
      <c r="LFH68" s="15"/>
      <c r="LFI68" s="15"/>
      <c r="LFJ68" s="15"/>
      <c r="LFK68" s="15"/>
      <c r="LFL68" s="15"/>
      <c r="LFM68" s="15"/>
      <c r="LFN68" s="15"/>
      <c r="LFO68" s="15"/>
      <c r="LFP68" s="15"/>
      <c r="LFQ68" s="15"/>
      <c r="LFR68" s="15"/>
      <c r="LFS68" s="15"/>
      <c r="LFT68" s="15"/>
      <c r="LFU68" s="15"/>
      <c r="LFV68" s="15"/>
      <c r="LFW68" s="15"/>
      <c r="LFX68" s="15"/>
      <c r="LFY68" s="15"/>
      <c r="LFZ68" s="15"/>
      <c r="LGA68" s="15"/>
      <c r="LGB68" s="15"/>
      <c r="LGC68" s="15"/>
      <c r="LGD68" s="15"/>
      <c r="LGE68" s="15"/>
      <c r="LGF68" s="15"/>
      <c r="LGG68" s="15"/>
      <c r="LGH68" s="15"/>
      <c r="LGI68" s="15"/>
      <c r="LGJ68" s="15"/>
      <c r="LGK68" s="15"/>
      <c r="LGL68" s="15"/>
      <c r="LGM68" s="15"/>
      <c r="LGN68" s="15"/>
      <c r="LGO68" s="15"/>
      <c r="LGP68" s="15"/>
      <c r="LGQ68" s="15"/>
      <c r="LGR68" s="15"/>
      <c r="LGS68" s="15"/>
      <c r="LGT68" s="15"/>
      <c r="LGU68" s="15"/>
      <c r="LGV68" s="15"/>
      <c r="LGW68" s="15"/>
      <c r="LGX68" s="15"/>
      <c r="LGY68" s="15"/>
      <c r="LGZ68" s="15"/>
      <c r="LHA68" s="15"/>
      <c r="LHB68" s="15"/>
      <c r="LHC68" s="15"/>
      <c r="LHD68" s="15"/>
      <c r="LHE68" s="15"/>
      <c r="LHF68" s="15"/>
      <c r="LHG68" s="15"/>
      <c r="LHH68" s="15"/>
      <c r="LHI68" s="15"/>
      <c r="LHJ68" s="15"/>
      <c r="LHK68" s="15"/>
      <c r="LHL68" s="15"/>
      <c r="LHM68" s="15"/>
      <c r="LHN68" s="15"/>
      <c r="LHO68" s="15"/>
      <c r="LHP68" s="15"/>
      <c r="LHQ68" s="15"/>
      <c r="LHR68" s="15"/>
      <c r="LHS68" s="15"/>
      <c r="LHT68" s="15"/>
      <c r="LHU68" s="15"/>
      <c r="LHV68" s="15"/>
      <c r="LHW68" s="15"/>
      <c r="LHX68" s="15"/>
      <c r="LHY68" s="15"/>
      <c r="LHZ68" s="15"/>
      <c r="LIA68" s="15"/>
      <c r="LIB68" s="15"/>
      <c r="LIC68" s="15"/>
      <c r="LID68" s="15"/>
      <c r="LIE68" s="15"/>
      <c r="LIF68" s="15"/>
      <c r="LIG68" s="15"/>
      <c r="LIH68" s="15"/>
      <c r="LII68" s="15"/>
      <c r="LIJ68" s="15"/>
      <c r="LIK68" s="15"/>
      <c r="LIL68" s="15"/>
      <c r="LIM68" s="15"/>
      <c r="LIN68" s="15"/>
      <c r="LIO68" s="15"/>
      <c r="LIP68" s="15"/>
      <c r="LIQ68" s="15"/>
      <c r="LIR68" s="15"/>
      <c r="LIS68" s="15"/>
      <c r="LIT68" s="15"/>
      <c r="LIU68" s="15"/>
      <c r="LIV68" s="15"/>
      <c r="LIW68" s="15"/>
      <c r="LIX68" s="15"/>
      <c r="LIY68" s="15"/>
      <c r="LIZ68" s="15"/>
      <c r="LJA68" s="15"/>
      <c r="LJB68" s="15"/>
      <c r="LJC68" s="15"/>
      <c r="LJD68" s="15"/>
      <c r="LJE68" s="15"/>
      <c r="LJF68" s="15"/>
      <c r="LJG68" s="15"/>
      <c r="LJH68" s="15"/>
      <c r="LJI68" s="15"/>
      <c r="LJJ68" s="15"/>
      <c r="LJK68" s="15"/>
      <c r="LJL68" s="15"/>
      <c r="LJM68" s="15"/>
      <c r="LJN68" s="15"/>
      <c r="LJO68" s="15"/>
      <c r="LJP68" s="15"/>
      <c r="LJQ68" s="15"/>
      <c r="LJR68" s="15"/>
      <c r="LJS68" s="15"/>
      <c r="LJT68" s="15"/>
      <c r="LJU68" s="15"/>
      <c r="LJV68" s="15"/>
      <c r="LJW68" s="15"/>
      <c r="LJX68" s="15"/>
      <c r="LJY68" s="15"/>
      <c r="LJZ68" s="15"/>
      <c r="LKA68" s="15"/>
      <c r="LKB68" s="15"/>
      <c r="LKC68" s="15"/>
      <c r="LKD68" s="15"/>
      <c r="LKE68" s="15"/>
      <c r="LKF68" s="15"/>
      <c r="LKG68" s="15"/>
      <c r="LKH68" s="15"/>
      <c r="LKI68" s="15"/>
      <c r="LKJ68" s="15"/>
      <c r="LKK68" s="15"/>
      <c r="LKL68" s="15"/>
      <c r="LKM68" s="15"/>
      <c r="LKN68" s="15"/>
      <c r="LKO68" s="15"/>
      <c r="LKP68" s="15"/>
      <c r="LKQ68" s="15"/>
      <c r="LKR68" s="15"/>
      <c r="LKS68" s="15"/>
      <c r="LKT68" s="15"/>
      <c r="LKU68" s="15"/>
      <c r="LKV68" s="15"/>
      <c r="LKW68" s="15"/>
      <c r="LKX68" s="15"/>
      <c r="LKY68" s="15"/>
      <c r="LKZ68" s="15"/>
      <c r="LLA68" s="15"/>
      <c r="LLB68" s="15"/>
      <c r="LLC68" s="15"/>
      <c r="LLD68" s="15"/>
      <c r="LLE68" s="15"/>
      <c r="LLF68" s="15"/>
      <c r="LLG68" s="15"/>
      <c r="LLH68" s="15"/>
      <c r="LLI68" s="15"/>
      <c r="LLJ68" s="15"/>
      <c r="LLK68" s="15"/>
      <c r="LLL68" s="15"/>
      <c r="LLM68" s="15"/>
      <c r="LLN68" s="15"/>
      <c r="LLO68" s="15"/>
      <c r="LLP68" s="15"/>
      <c r="LLQ68" s="15"/>
      <c r="LLR68" s="15"/>
      <c r="LLS68" s="15"/>
      <c r="LLT68" s="15"/>
      <c r="LLU68" s="15"/>
      <c r="LLV68" s="15"/>
      <c r="LLW68" s="15"/>
      <c r="LLX68" s="15"/>
      <c r="LLY68" s="15"/>
      <c r="LLZ68" s="15"/>
      <c r="LMA68" s="15"/>
      <c r="LMB68" s="15"/>
      <c r="LMC68" s="15"/>
      <c r="LMD68" s="15"/>
      <c r="LME68" s="15"/>
      <c r="LMF68" s="15"/>
      <c r="LMG68" s="15"/>
      <c r="LMH68" s="15"/>
      <c r="LMI68" s="15"/>
      <c r="LMJ68" s="15"/>
      <c r="LMK68" s="15"/>
      <c r="LML68" s="15"/>
      <c r="LMM68" s="15"/>
      <c r="LMN68" s="15"/>
      <c r="LMO68" s="15"/>
      <c r="LMP68" s="15"/>
      <c r="LMQ68" s="15"/>
      <c r="LMR68" s="15"/>
      <c r="LMS68" s="15"/>
      <c r="LMT68" s="15"/>
      <c r="LMU68" s="15"/>
      <c r="LMV68" s="15"/>
      <c r="LMW68" s="15"/>
      <c r="LMX68" s="15"/>
      <c r="LMY68" s="15"/>
      <c r="LMZ68" s="15"/>
      <c r="LNA68" s="15"/>
      <c r="LNB68" s="15"/>
      <c r="LNC68" s="15"/>
      <c r="LND68" s="15"/>
      <c r="LNE68" s="15"/>
      <c r="LNF68" s="15"/>
      <c r="LNG68" s="15"/>
      <c r="LNH68" s="15"/>
      <c r="LNI68" s="15"/>
      <c r="LNJ68" s="15"/>
      <c r="LNK68" s="15"/>
      <c r="LNL68" s="15"/>
      <c r="LNM68" s="15"/>
      <c r="LNN68" s="15"/>
      <c r="LNO68" s="15"/>
      <c r="LNP68" s="15"/>
      <c r="LNQ68" s="15"/>
      <c r="LNR68" s="15"/>
      <c r="LNS68" s="15"/>
      <c r="LNT68" s="15"/>
      <c r="LNU68" s="15"/>
      <c r="LNV68" s="15"/>
      <c r="LNW68" s="15"/>
      <c r="LNX68" s="15"/>
      <c r="LNY68" s="15"/>
      <c r="LNZ68" s="15"/>
      <c r="LOA68" s="15"/>
      <c r="LOB68" s="15"/>
      <c r="LOC68" s="15"/>
      <c r="LOD68" s="15"/>
      <c r="LOE68" s="15"/>
      <c r="LOF68" s="15"/>
      <c r="LOG68" s="15"/>
      <c r="LOH68" s="15"/>
      <c r="LOI68" s="15"/>
      <c r="LOJ68" s="15"/>
      <c r="LOK68" s="15"/>
      <c r="LOL68" s="15"/>
      <c r="LOM68" s="15"/>
      <c r="LON68" s="15"/>
      <c r="LOO68" s="15"/>
      <c r="LOP68" s="15"/>
      <c r="LOQ68" s="15"/>
      <c r="LOR68" s="15"/>
      <c r="LOS68" s="15"/>
      <c r="LOT68" s="15"/>
      <c r="LOU68" s="15"/>
      <c r="LOV68" s="15"/>
      <c r="LOW68" s="15"/>
      <c r="LOX68" s="15"/>
      <c r="LOY68" s="15"/>
      <c r="LOZ68" s="15"/>
      <c r="LPA68" s="15"/>
      <c r="LPB68" s="15"/>
      <c r="LPC68" s="15"/>
      <c r="LPD68" s="15"/>
      <c r="LPE68" s="15"/>
      <c r="LPF68" s="15"/>
      <c r="LPG68" s="15"/>
      <c r="LPH68" s="15"/>
      <c r="LPI68" s="15"/>
      <c r="LPJ68" s="15"/>
      <c r="LPK68" s="15"/>
      <c r="LPL68" s="15"/>
      <c r="LPM68" s="15"/>
      <c r="LPN68" s="15"/>
      <c r="LPO68" s="15"/>
      <c r="LPP68" s="15"/>
      <c r="LPQ68" s="15"/>
      <c r="LPR68" s="15"/>
      <c r="LPS68" s="15"/>
      <c r="LPT68" s="15"/>
      <c r="LPU68" s="15"/>
      <c r="LPV68" s="15"/>
      <c r="LPW68" s="15"/>
      <c r="LPX68" s="15"/>
      <c r="LPY68" s="15"/>
      <c r="LPZ68" s="15"/>
      <c r="LQA68" s="15"/>
      <c r="LQB68" s="15"/>
      <c r="LQC68" s="15"/>
      <c r="LQD68" s="15"/>
      <c r="LQE68" s="15"/>
      <c r="LQF68" s="15"/>
      <c r="LQG68" s="15"/>
      <c r="LQH68" s="15"/>
      <c r="LQI68" s="15"/>
      <c r="LQJ68" s="15"/>
      <c r="LQK68" s="15"/>
      <c r="LQL68" s="15"/>
      <c r="LQM68" s="15"/>
      <c r="LQN68" s="15"/>
      <c r="LQO68" s="15"/>
      <c r="LQP68" s="15"/>
      <c r="LQQ68" s="15"/>
      <c r="LQR68" s="15"/>
      <c r="LQS68" s="15"/>
      <c r="LQT68" s="15"/>
      <c r="LQU68" s="15"/>
      <c r="LQV68" s="15"/>
      <c r="LQW68" s="15"/>
      <c r="LQX68" s="15"/>
      <c r="LQY68" s="15"/>
      <c r="LQZ68" s="15"/>
      <c r="LRA68" s="15"/>
      <c r="LRB68" s="15"/>
      <c r="LRC68" s="15"/>
      <c r="LRD68" s="15"/>
      <c r="LRE68" s="15"/>
      <c r="LRF68" s="15"/>
      <c r="LRG68" s="15"/>
      <c r="LRH68" s="15"/>
      <c r="LRI68" s="15"/>
      <c r="LRJ68" s="15"/>
      <c r="LRK68" s="15"/>
      <c r="LRL68" s="15"/>
      <c r="LRM68" s="15"/>
      <c r="LRN68" s="15"/>
      <c r="LRO68" s="15"/>
      <c r="LRP68" s="15"/>
      <c r="LRQ68" s="15"/>
      <c r="LRR68" s="15"/>
      <c r="LRS68" s="15"/>
      <c r="LRT68" s="15"/>
      <c r="LRU68" s="15"/>
      <c r="LRV68" s="15"/>
      <c r="LRW68" s="15"/>
      <c r="LRX68" s="15"/>
      <c r="LRY68" s="15"/>
      <c r="LRZ68" s="15"/>
      <c r="LSA68" s="15"/>
      <c r="LSB68" s="15"/>
      <c r="LSC68" s="15"/>
      <c r="LSD68" s="15"/>
      <c r="LSE68" s="15"/>
      <c r="LSF68" s="15"/>
      <c r="LSG68" s="15"/>
      <c r="LSH68" s="15"/>
      <c r="LSI68" s="15"/>
      <c r="LSJ68" s="15"/>
      <c r="LSK68" s="15"/>
      <c r="LSL68" s="15"/>
      <c r="LSM68" s="15"/>
      <c r="LSN68" s="15"/>
      <c r="LSO68" s="15"/>
      <c r="LSP68" s="15"/>
      <c r="LSQ68" s="15"/>
      <c r="LSR68" s="15"/>
      <c r="LSS68" s="15"/>
      <c r="LST68" s="15"/>
      <c r="LSU68" s="15"/>
      <c r="LSV68" s="15"/>
      <c r="LSW68" s="15"/>
      <c r="LSX68" s="15"/>
      <c r="LSY68" s="15"/>
      <c r="LSZ68" s="15"/>
      <c r="LTA68" s="15"/>
      <c r="LTB68" s="15"/>
      <c r="LTC68" s="15"/>
      <c r="LTD68" s="15"/>
      <c r="LTE68" s="15"/>
      <c r="LTF68" s="15"/>
      <c r="LTG68" s="15"/>
      <c r="LTH68" s="15"/>
      <c r="LTI68" s="15"/>
      <c r="LTJ68" s="15"/>
      <c r="LTK68" s="15"/>
      <c r="LTL68" s="15"/>
      <c r="LTM68" s="15"/>
      <c r="LTN68" s="15"/>
      <c r="LTO68" s="15"/>
      <c r="LTP68" s="15"/>
      <c r="LTQ68" s="15"/>
      <c r="LTR68" s="15"/>
      <c r="LTS68" s="15"/>
      <c r="LTT68" s="15"/>
      <c r="LTU68" s="15"/>
      <c r="LTV68" s="15"/>
      <c r="LTW68" s="15"/>
      <c r="LTX68" s="15"/>
      <c r="LTY68" s="15"/>
      <c r="LTZ68" s="15"/>
      <c r="LUA68" s="15"/>
      <c r="LUB68" s="15"/>
      <c r="LUC68" s="15"/>
      <c r="LUD68" s="15"/>
      <c r="LUE68" s="15"/>
      <c r="LUF68" s="15"/>
      <c r="LUG68" s="15"/>
      <c r="LUH68" s="15"/>
      <c r="LUI68" s="15"/>
      <c r="LUJ68" s="15"/>
      <c r="LUK68" s="15"/>
      <c r="LUL68" s="15"/>
      <c r="LUM68" s="15"/>
      <c r="LUN68" s="15"/>
      <c r="LUO68" s="15"/>
      <c r="LUP68" s="15"/>
      <c r="LUQ68" s="15"/>
      <c r="LUR68" s="15"/>
      <c r="LUS68" s="15"/>
      <c r="LUT68" s="15"/>
      <c r="LUU68" s="15"/>
      <c r="LUV68" s="15"/>
      <c r="LUW68" s="15"/>
      <c r="LUX68" s="15"/>
      <c r="LUY68" s="15"/>
      <c r="LUZ68" s="15"/>
      <c r="LVA68" s="15"/>
      <c r="LVB68" s="15"/>
      <c r="LVC68" s="15"/>
      <c r="LVD68" s="15"/>
      <c r="LVE68" s="15"/>
      <c r="LVF68" s="15"/>
      <c r="LVG68" s="15"/>
      <c r="LVH68" s="15"/>
      <c r="LVI68" s="15"/>
      <c r="LVJ68" s="15"/>
      <c r="LVK68" s="15"/>
      <c r="LVL68" s="15"/>
      <c r="LVM68" s="15"/>
      <c r="LVN68" s="15"/>
      <c r="LVO68" s="15"/>
      <c r="LVP68" s="15"/>
      <c r="LVQ68" s="15"/>
      <c r="LVR68" s="15"/>
      <c r="LVS68" s="15"/>
      <c r="LVT68" s="15"/>
      <c r="LVU68" s="15"/>
      <c r="LVV68" s="15"/>
      <c r="LVW68" s="15"/>
      <c r="LVX68" s="15"/>
      <c r="LVY68" s="15"/>
      <c r="LVZ68" s="15"/>
      <c r="LWA68" s="15"/>
      <c r="LWB68" s="15"/>
      <c r="LWC68" s="15"/>
      <c r="LWD68" s="15"/>
      <c r="LWE68" s="15"/>
      <c r="LWF68" s="15"/>
      <c r="LWG68" s="15"/>
      <c r="LWH68" s="15"/>
      <c r="LWI68" s="15"/>
      <c r="LWJ68" s="15"/>
      <c r="LWK68" s="15"/>
      <c r="LWL68" s="15"/>
      <c r="LWM68" s="15"/>
      <c r="LWN68" s="15"/>
      <c r="LWO68" s="15"/>
      <c r="LWP68" s="15"/>
      <c r="LWQ68" s="15"/>
      <c r="LWR68" s="15"/>
      <c r="LWS68" s="15"/>
      <c r="LWT68" s="15"/>
      <c r="LWU68" s="15"/>
      <c r="LWV68" s="15"/>
      <c r="LWW68" s="15"/>
      <c r="LWX68" s="15"/>
      <c r="LWY68" s="15"/>
      <c r="LWZ68" s="15"/>
      <c r="LXA68" s="15"/>
      <c r="LXB68" s="15"/>
      <c r="LXC68" s="15"/>
      <c r="LXD68" s="15"/>
      <c r="LXE68" s="15"/>
      <c r="LXF68" s="15"/>
      <c r="LXG68" s="15"/>
      <c r="LXH68" s="15"/>
      <c r="LXI68" s="15"/>
      <c r="LXJ68" s="15"/>
      <c r="LXK68" s="15"/>
      <c r="LXL68" s="15"/>
      <c r="LXM68" s="15"/>
      <c r="LXN68" s="15"/>
      <c r="LXO68" s="15"/>
      <c r="LXP68" s="15"/>
      <c r="LXQ68" s="15"/>
      <c r="LXR68" s="15"/>
      <c r="LXS68" s="15"/>
      <c r="LXT68" s="15"/>
      <c r="LXU68" s="15"/>
      <c r="LXV68" s="15"/>
      <c r="LXW68" s="15"/>
      <c r="LXX68" s="15"/>
      <c r="LXY68" s="15"/>
      <c r="LXZ68" s="15"/>
      <c r="LYA68" s="15"/>
      <c r="LYB68" s="15"/>
      <c r="LYC68" s="15"/>
      <c r="LYD68" s="15"/>
      <c r="LYE68" s="15"/>
      <c r="LYF68" s="15"/>
      <c r="LYG68" s="15"/>
      <c r="LYH68" s="15"/>
      <c r="LYI68" s="15"/>
      <c r="LYJ68" s="15"/>
      <c r="LYK68" s="15"/>
      <c r="LYL68" s="15"/>
      <c r="LYM68" s="15"/>
      <c r="LYN68" s="15"/>
      <c r="LYO68" s="15"/>
      <c r="LYP68" s="15"/>
      <c r="LYQ68" s="15"/>
      <c r="LYR68" s="15"/>
      <c r="LYS68" s="15"/>
      <c r="LYT68" s="15"/>
      <c r="LYU68" s="15"/>
      <c r="LYV68" s="15"/>
      <c r="LYW68" s="15"/>
      <c r="LYX68" s="15"/>
      <c r="LYY68" s="15"/>
      <c r="LYZ68" s="15"/>
      <c r="LZA68" s="15"/>
      <c r="LZB68" s="15"/>
      <c r="LZC68" s="15"/>
      <c r="LZD68" s="15"/>
      <c r="LZE68" s="15"/>
      <c r="LZF68" s="15"/>
      <c r="LZG68" s="15"/>
      <c r="LZH68" s="15"/>
      <c r="LZI68" s="15"/>
      <c r="LZJ68" s="15"/>
      <c r="LZK68" s="15"/>
      <c r="LZL68" s="15"/>
      <c r="LZM68" s="15"/>
      <c r="LZN68" s="15"/>
      <c r="LZO68" s="15"/>
      <c r="LZP68" s="15"/>
      <c r="LZQ68" s="15"/>
      <c r="LZR68" s="15"/>
      <c r="LZS68" s="15"/>
      <c r="LZT68" s="15"/>
      <c r="LZU68" s="15"/>
      <c r="LZV68" s="15"/>
      <c r="LZW68" s="15"/>
      <c r="LZX68" s="15"/>
      <c r="LZY68" s="15"/>
      <c r="LZZ68" s="15"/>
      <c r="MAA68" s="15"/>
      <c r="MAB68" s="15"/>
      <c r="MAC68" s="15"/>
      <c r="MAD68" s="15"/>
      <c r="MAE68" s="15"/>
      <c r="MAF68" s="15"/>
      <c r="MAG68" s="15"/>
      <c r="MAH68" s="15"/>
      <c r="MAI68" s="15"/>
      <c r="MAJ68" s="15"/>
      <c r="MAK68" s="15"/>
      <c r="MAL68" s="15"/>
      <c r="MAM68" s="15"/>
      <c r="MAN68" s="15"/>
      <c r="MAO68" s="15"/>
      <c r="MAP68" s="15"/>
      <c r="MAQ68" s="15"/>
      <c r="MAR68" s="15"/>
      <c r="MAS68" s="15"/>
      <c r="MAT68" s="15"/>
      <c r="MAU68" s="15"/>
      <c r="MAV68" s="15"/>
      <c r="MAW68" s="15"/>
      <c r="MAX68" s="15"/>
      <c r="MAY68" s="15"/>
      <c r="MAZ68" s="15"/>
      <c r="MBA68" s="15"/>
      <c r="MBB68" s="15"/>
      <c r="MBC68" s="15"/>
      <c r="MBD68" s="15"/>
      <c r="MBE68" s="15"/>
      <c r="MBF68" s="15"/>
      <c r="MBG68" s="15"/>
      <c r="MBH68" s="15"/>
      <c r="MBI68" s="15"/>
      <c r="MBJ68" s="15"/>
      <c r="MBK68" s="15"/>
      <c r="MBL68" s="15"/>
      <c r="MBM68" s="15"/>
      <c r="MBN68" s="15"/>
      <c r="MBO68" s="15"/>
      <c r="MBP68" s="15"/>
      <c r="MBQ68" s="15"/>
      <c r="MBR68" s="15"/>
      <c r="MBS68" s="15"/>
      <c r="MBT68" s="15"/>
      <c r="MBU68" s="15"/>
      <c r="MBV68" s="15"/>
      <c r="MBW68" s="15"/>
      <c r="MBX68" s="15"/>
      <c r="MBY68" s="15"/>
      <c r="MBZ68" s="15"/>
      <c r="MCA68" s="15"/>
      <c r="MCB68" s="15"/>
      <c r="MCC68" s="15"/>
      <c r="MCD68" s="15"/>
      <c r="MCE68" s="15"/>
      <c r="MCF68" s="15"/>
      <c r="MCG68" s="15"/>
      <c r="MCH68" s="15"/>
      <c r="MCI68" s="15"/>
      <c r="MCJ68" s="15"/>
      <c r="MCK68" s="15"/>
      <c r="MCL68" s="15"/>
      <c r="MCM68" s="15"/>
      <c r="MCN68" s="15"/>
      <c r="MCO68" s="15"/>
      <c r="MCP68" s="15"/>
      <c r="MCQ68" s="15"/>
      <c r="MCR68" s="15"/>
      <c r="MCS68" s="15"/>
      <c r="MCT68" s="15"/>
      <c r="MCU68" s="15"/>
      <c r="MCV68" s="15"/>
      <c r="MCW68" s="15"/>
      <c r="MCX68" s="15"/>
      <c r="MCY68" s="15"/>
      <c r="MCZ68" s="15"/>
      <c r="MDA68" s="15"/>
      <c r="MDB68" s="15"/>
      <c r="MDC68" s="15"/>
      <c r="MDD68" s="15"/>
      <c r="MDE68" s="15"/>
      <c r="MDF68" s="15"/>
      <c r="MDG68" s="15"/>
      <c r="MDH68" s="15"/>
      <c r="MDI68" s="15"/>
      <c r="MDJ68" s="15"/>
      <c r="MDK68" s="15"/>
      <c r="MDL68" s="15"/>
      <c r="MDM68" s="15"/>
      <c r="MDN68" s="15"/>
      <c r="MDO68" s="15"/>
      <c r="MDP68" s="15"/>
      <c r="MDQ68" s="15"/>
      <c r="MDR68" s="15"/>
      <c r="MDS68" s="15"/>
      <c r="MDT68" s="15"/>
      <c r="MDU68" s="15"/>
      <c r="MDV68" s="15"/>
      <c r="MDW68" s="15"/>
      <c r="MDX68" s="15"/>
      <c r="MDY68" s="15"/>
      <c r="MDZ68" s="15"/>
      <c r="MEA68" s="15"/>
      <c r="MEB68" s="15"/>
      <c r="MEC68" s="15"/>
      <c r="MED68" s="15"/>
      <c r="MEE68" s="15"/>
      <c r="MEF68" s="15"/>
      <c r="MEG68" s="15"/>
      <c r="MEH68" s="15"/>
      <c r="MEI68" s="15"/>
      <c r="MEJ68" s="15"/>
      <c r="MEK68" s="15"/>
      <c r="MEL68" s="15"/>
      <c r="MEM68" s="15"/>
      <c r="MEN68" s="15"/>
      <c r="MEO68" s="15"/>
      <c r="MEP68" s="15"/>
      <c r="MEQ68" s="15"/>
      <c r="MER68" s="15"/>
      <c r="MES68" s="15"/>
      <c r="MET68" s="15"/>
      <c r="MEU68" s="15"/>
      <c r="MEV68" s="15"/>
      <c r="MEW68" s="15"/>
      <c r="MEX68" s="15"/>
      <c r="MEY68" s="15"/>
      <c r="MEZ68" s="15"/>
      <c r="MFA68" s="15"/>
      <c r="MFB68" s="15"/>
      <c r="MFC68" s="15"/>
      <c r="MFD68" s="15"/>
      <c r="MFE68" s="15"/>
      <c r="MFF68" s="15"/>
      <c r="MFG68" s="15"/>
      <c r="MFH68" s="15"/>
      <c r="MFI68" s="15"/>
      <c r="MFJ68" s="15"/>
      <c r="MFK68" s="15"/>
      <c r="MFL68" s="15"/>
      <c r="MFM68" s="15"/>
      <c r="MFN68" s="15"/>
      <c r="MFO68" s="15"/>
      <c r="MFP68" s="15"/>
      <c r="MFQ68" s="15"/>
      <c r="MFR68" s="15"/>
      <c r="MFS68" s="15"/>
      <c r="MFT68" s="15"/>
      <c r="MFU68" s="15"/>
      <c r="MFV68" s="15"/>
      <c r="MFW68" s="15"/>
      <c r="MFX68" s="15"/>
      <c r="MFY68" s="15"/>
      <c r="MFZ68" s="15"/>
      <c r="MGA68" s="15"/>
      <c r="MGB68" s="15"/>
      <c r="MGC68" s="15"/>
      <c r="MGD68" s="15"/>
      <c r="MGE68" s="15"/>
      <c r="MGF68" s="15"/>
      <c r="MGG68" s="15"/>
      <c r="MGH68" s="15"/>
      <c r="MGI68" s="15"/>
      <c r="MGJ68" s="15"/>
      <c r="MGK68" s="15"/>
      <c r="MGL68" s="15"/>
      <c r="MGM68" s="15"/>
      <c r="MGN68" s="15"/>
      <c r="MGO68" s="15"/>
      <c r="MGP68" s="15"/>
      <c r="MGQ68" s="15"/>
      <c r="MGR68" s="15"/>
      <c r="MGS68" s="15"/>
      <c r="MGT68" s="15"/>
      <c r="MGU68" s="15"/>
      <c r="MGV68" s="15"/>
      <c r="MGW68" s="15"/>
      <c r="MGX68" s="15"/>
      <c r="MGY68" s="15"/>
      <c r="MGZ68" s="15"/>
      <c r="MHA68" s="15"/>
      <c r="MHB68" s="15"/>
      <c r="MHC68" s="15"/>
      <c r="MHD68" s="15"/>
      <c r="MHE68" s="15"/>
      <c r="MHF68" s="15"/>
      <c r="MHG68" s="15"/>
      <c r="MHH68" s="15"/>
      <c r="MHI68" s="15"/>
      <c r="MHJ68" s="15"/>
      <c r="MHK68" s="15"/>
      <c r="MHL68" s="15"/>
      <c r="MHM68" s="15"/>
      <c r="MHN68" s="15"/>
      <c r="MHO68" s="15"/>
      <c r="MHP68" s="15"/>
      <c r="MHQ68" s="15"/>
      <c r="MHR68" s="15"/>
      <c r="MHS68" s="15"/>
      <c r="MHT68" s="15"/>
      <c r="MHU68" s="15"/>
      <c r="MHV68" s="15"/>
      <c r="MHW68" s="15"/>
      <c r="MHX68" s="15"/>
      <c r="MHY68" s="15"/>
      <c r="MHZ68" s="15"/>
      <c r="MIA68" s="15"/>
      <c r="MIB68" s="15"/>
      <c r="MIC68" s="15"/>
      <c r="MID68" s="15"/>
      <c r="MIE68" s="15"/>
      <c r="MIF68" s="15"/>
      <c r="MIG68" s="15"/>
      <c r="MIH68" s="15"/>
      <c r="MII68" s="15"/>
      <c r="MIJ68" s="15"/>
      <c r="MIK68" s="15"/>
      <c r="MIL68" s="15"/>
      <c r="MIM68" s="15"/>
      <c r="MIN68" s="15"/>
      <c r="MIO68" s="15"/>
      <c r="MIP68" s="15"/>
      <c r="MIQ68" s="15"/>
      <c r="MIR68" s="15"/>
      <c r="MIS68" s="15"/>
      <c r="MIT68" s="15"/>
      <c r="MIU68" s="15"/>
      <c r="MIV68" s="15"/>
      <c r="MIW68" s="15"/>
      <c r="MIX68" s="15"/>
      <c r="MIY68" s="15"/>
      <c r="MIZ68" s="15"/>
      <c r="MJA68" s="15"/>
      <c r="MJB68" s="15"/>
      <c r="MJC68" s="15"/>
      <c r="MJD68" s="15"/>
      <c r="MJE68" s="15"/>
      <c r="MJF68" s="15"/>
      <c r="MJG68" s="15"/>
      <c r="MJH68" s="15"/>
      <c r="MJI68" s="15"/>
      <c r="MJJ68" s="15"/>
      <c r="MJK68" s="15"/>
      <c r="MJL68" s="15"/>
      <c r="MJM68" s="15"/>
      <c r="MJN68" s="15"/>
      <c r="MJO68" s="15"/>
      <c r="MJP68" s="15"/>
      <c r="MJQ68" s="15"/>
      <c r="MJR68" s="15"/>
      <c r="MJS68" s="15"/>
      <c r="MJT68" s="15"/>
      <c r="MJU68" s="15"/>
      <c r="MJV68" s="15"/>
      <c r="MJW68" s="15"/>
      <c r="MJX68" s="15"/>
      <c r="MJY68" s="15"/>
      <c r="MJZ68" s="15"/>
      <c r="MKA68" s="15"/>
      <c r="MKB68" s="15"/>
      <c r="MKC68" s="15"/>
      <c r="MKD68" s="15"/>
      <c r="MKE68" s="15"/>
      <c r="MKF68" s="15"/>
      <c r="MKG68" s="15"/>
      <c r="MKH68" s="15"/>
      <c r="MKI68" s="15"/>
      <c r="MKJ68" s="15"/>
      <c r="MKK68" s="15"/>
      <c r="MKL68" s="15"/>
      <c r="MKM68" s="15"/>
      <c r="MKN68" s="15"/>
      <c r="MKO68" s="15"/>
      <c r="MKP68" s="15"/>
      <c r="MKQ68" s="15"/>
      <c r="MKR68" s="15"/>
      <c r="MKS68" s="15"/>
      <c r="MKT68" s="15"/>
      <c r="MKU68" s="15"/>
      <c r="MKV68" s="15"/>
      <c r="MKW68" s="15"/>
      <c r="MKX68" s="15"/>
      <c r="MKY68" s="15"/>
      <c r="MKZ68" s="15"/>
      <c r="MLA68" s="15"/>
      <c r="MLB68" s="15"/>
      <c r="MLC68" s="15"/>
      <c r="MLD68" s="15"/>
      <c r="MLE68" s="15"/>
      <c r="MLF68" s="15"/>
      <c r="MLG68" s="15"/>
      <c r="MLH68" s="15"/>
      <c r="MLI68" s="15"/>
      <c r="MLJ68" s="15"/>
      <c r="MLK68" s="15"/>
      <c r="MLL68" s="15"/>
      <c r="MLM68" s="15"/>
      <c r="MLN68" s="15"/>
      <c r="MLO68" s="15"/>
      <c r="MLP68" s="15"/>
      <c r="MLQ68" s="15"/>
      <c r="MLR68" s="15"/>
      <c r="MLS68" s="15"/>
      <c r="MLT68" s="15"/>
      <c r="MLU68" s="15"/>
      <c r="MLV68" s="15"/>
      <c r="MLW68" s="15"/>
      <c r="MLX68" s="15"/>
      <c r="MLY68" s="15"/>
      <c r="MLZ68" s="15"/>
      <c r="MMA68" s="15"/>
      <c r="MMB68" s="15"/>
      <c r="MMC68" s="15"/>
      <c r="MMD68" s="15"/>
      <c r="MME68" s="15"/>
      <c r="MMF68" s="15"/>
      <c r="MMG68" s="15"/>
      <c r="MMH68" s="15"/>
      <c r="MMI68" s="15"/>
      <c r="MMJ68" s="15"/>
      <c r="MMK68" s="15"/>
      <c r="MML68" s="15"/>
      <c r="MMM68" s="15"/>
      <c r="MMN68" s="15"/>
      <c r="MMO68" s="15"/>
      <c r="MMP68" s="15"/>
      <c r="MMQ68" s="15"/>
      <c r="MMR68" s="15"/>
      <c r="MMS68" s="15"/>
      <c r="MMT68" s="15"/>
      <c r="MMU68" s="15"/>
      <c r="MMV68" s="15"/>
      <c r="MMW68" s="15"/>
      <c r="MMX68" s="15"/>
      <c r="MMY68" s="15"/>
      <c r="MMZ68" s="15"/>
      <c r="MNA68" s="15"/>
      <c r="MNB68" s="15"/>
      <c r="MNC68" s="15"/>
      <c r="MND68" s="15"/>
      <c r="MNE68" s="15"/>
      <c r="MNF68" s="15"/>
      <c r="MNG68" s="15"/>
      <c r="MNH68" s="15"/>
      <c r="MNI68" s="15"/>
      <c r="MNJ68" s="15"/>
      <c r="MNK68" s="15"/>
      <c r="MNL68" s="15"/>
      <c r="MNM68" s="15"/>
      <c r="MNN68" s="15"/>
      <c r="MNO68" s="15"/>
      <c r="MNP68" s="15"/>
      <c r="MNQ68" s="15"/>
      <c r="MNR68" s="15"/>
      <c r="MNS68" s="15"/>
      <c r="MNT68" s="15"/>
      <c r="MNU68" s="15"/>
      <c r="MNV68" s="15"/>
      <c r="MNW68" s="15"/>
      <c r="MNX68" s="15"/>
      <c r="MNY68" s="15"/>
      <c r="MNZ68" s="15"/>
      <c r="MOA68" s="15"/>
      <c r="MOB68" s="15"/>
      <c r="MOC68" s="15"/>
      <c r="MOD68" s="15"/>
      <c r="MOE68" s="15"/>
      <c r="MOF68" s="15"/>
      <c r="MOG68" s="15"/>
      <c r="MOH68" s="15"/>
      <c r="MOI68" s="15"/>
      <c r="MOJ68" s="15"/>
      <c r="MOK68" s="15"/>
      <c r="MOL68" s="15"/>
      <c r="MOM68" s="15"/>
      <c r="MON68" s="15"/>
      <c r="MOO68" s="15"/>
      <c r="MOP68" s="15"/>
      <c r="MOQ68" s="15"/>
      <c r="MOR68" s="15"/>
      <c r="MOS68" s="15"/>
      <c r="MOT68" s="15"/>
      <c r="MOU68" s="15"/>
      <c r="MOV68" s="15"/>
      <c r="MOW68" s="15"/>
      <c r="MOX68" s="15"/>
      <c r="MOY68" s="15"/>
      <c r="MOZ68" s="15"/>
      <c r="MPA68" s="15"/>
      <c r="MPB68" s="15"/>
      <c r="MPC68" s="15"/>
      <c r="MPD68" s="15"/>
      <c r="MPE68" s="15"/>
      <c r="MPF68" s="15"/>
      <c r="MPG68" s="15"/>
      <c r="MPH68" s="15"/>
      <c r="MPI68" s="15"/>
      <c r="MPJ68" s="15"/>
      <c r="MPK68" s="15"/>
      <c r="MPL68" s="15"/>
      <c r="MPM68" s="15"/>
      <c r="MPN68" s="15"/>
      <c r="MPO68" s="15"/>
      <c r="MPP68" s="15"/>
      <c r="MPQ68" s="15"/>
      <c r="MPR68" s="15"/>
      <c r="MPS68" s="15"/>
      <c r="MPT68" s="15"/>
      <c r="MPU68" s="15"/>
      <c r="MPV68" s="15"/>
      <c r="MPW68" s="15"/>
      <c r="MPX68" s="15"/>
      <c r="MPY68" s="15"/>
      <c r="MPZ68" s="15"/>
      <c r="MQA68" s="15"/>
      <c r="MQB68" s="15"/>
      <c r="MQC68" s="15"/>
      <c r="MQD68" s="15"/>
      <c r="MQE68" s="15"/>
      <c r="MQF68" s="15"/>
      <c r="MQG68" s="15"/>
      <c r="MQH68" s="15"/>
      <c r="MQI68" s="15"/>
      <c r="MQJ68" s="15"/>
      <c r="MQK68" s="15"/>
      <c r="MQL68" s="15"/>
      <c r="MQM68" s="15"/>
      <c r="MQN68" s="15"/>
      <c r="MQO68" s="15"/>
      <c r="MQP68" s="15"/>
      <c r="MQQ68" s="15"/>
      <c r="MQR68" s="15"/>
      <c r="MQS68" s="15"/>
      <c r="MQT68" s="15"/>
      <c r="MQU68" s="15"/>
      <c r="MQV68" s="15"/>
      <c r="MQW68" s="15"/>
      <c r="MQX68" s="15"/>
      <c r="MQY68" s="15"/>
      <c r="MQZ68" s="15"/>
      <c r="MRA68" s="15"/>
      <c r="MRB68" s="15"/>
      <c r="MRC68" s="15"/>
      <c r="MRD68" s="15"/>
      <c r="MRE68" s="15"/>
      <c r="MRF68" s="15"/>
      <c r="MRG68" s="15"/>
      <c r="MRH68" s="15"/>
      <c r="MRI68" s="15"/>
      <c r="MRJ68" s="15"/>
      <c r="MRK68" s="15"/>
      <c r="MRL68" s="15"/>
      <c r="MRM68" s="15"/>
      <c r="MRN68" s="15"/>
      <c r="MRO68" s="15"/>
      <c r="MRP68" s="15"/>
      <c r="MRQ68" s="15"/>
      <c r="MRR68" s="15"/>
      <c r="MRS68" s="15"/>
      <c r="MRT68" s="15"/>
      <c r="MRU68" s="15"/>
      <c r="MRV68" s="15"/>
      <c r="MRW68" s="15"/>
      <c r="MRX68" s="15"/>
      <c r="MRY68" s="15"/>
      <c r="MRZ68" s="15"/>
      <c r="MSA68" s="15"/>
      <c r="MSB68" s="15"/>
      <c r="MSC68" s="15"/>
      <c r="MSD68" s="15"/>
      <c r="MSE68" s="15"/>
      <c r="MSF68" s="15"/>
      <c r="MSG68" s="15"/>
      <c r="MSH68" s="15"/>
      <c r="MSI68" s="15"/>
      <c r="MSJ68" s="15"/>
      <c r="MSK68" s="15"/>
      <c r="MSL68" s="15"/>
      <c r="MSM68" s="15"/>
      <c r="MSN68" s="15"/>
      <c r="MSO68" s="15"/>
      <c r="MSP68" s="15"/>
      <c r="MSQ68" s="15"/>
      <c r="MSR68" s="15"/>
      <c r="MSS68" s="15"/>
      <c r="MST68" s="15"/>
      <c r="MSU68" s="15"/>
      <c r="MSV68" s="15"/>
      <c r="MSW68" s="15"/>
      <c r="MSX68" s="15"/>
      <c r="MSY68" s="15"/>
      <c r="MSZ68" s="15"/>
      <c r="MTA68" s="15"/>
      <c r="MTB68" s="15"/>
      <c r="MTC68" s="15"/>
      <c r="MTD68" s="15"/>
      <c r="MTE68" s="15"/>
      <c r="MTF68" s="15"/>
      <c r="MTG68" s="15"/>
      <c r="MTH68" s="15"/>
      <c r="MTI68" s="15"/>
      <c r="MTJ68" s="15"/>
      <c r="MTK68" s="15"/>
      <c r="MTL68" s="15"/>
      <c r="MTM68" s="15"/>
      <c r="MTN68" s="15"/>
      <c r="MTO68" s="15"/>
      <c r="MTP68" s="15"/>
      <c r="MTQ68" s="15"/>
      <c r="MTR68" s="15"/>
      <c r="MTS68" s="15"/>
      <c r="MTT68" s="15"/>
      <c r="MTU68" s="15"/>
      <c r="MTV68" s="15"/>
      <c r="MTW68" s="15"/>
      <c r="MTX68" s="15"/>
      <c r="MTY68" s="15"/>
      <c r="MTZ68" s="15"/>
      <c r="MUA68" s="15"/>
      <c r="MUB68" s="15"/>
      <c r="MUC68" s="15"/>
      <c r="MUD68" s="15"/>
      <c r="MUE68" s="15"/>
      <c r="MUF68" s="15"/>
      <c r="MUG68" s="15"/>
      <c r="MUH68" s="15"/>
      <c r="MUI68" s="15"/>
      <c r="MUJ68" s="15"/>
      <c r="MUK68" s="15"/>
      <c r="MUL68" s="15"/>
      <c r="MUM68" s="15"/>
      <c r="MUN68" s="15"/>
      <c r="MUO68" s="15"/>
      <c r="MUP68" s="15"/>
      <c r="MUQ68" s="15"/>
      <c r="MUR68" s="15"/>
      <c r="MUS68" s="15"/>
      <c r="MUT68" s="15"/>
      <c r="MUU68" s="15"/>
      <c r="MUV68" s="15"/>
      <c r="MUW68" s="15"/>
      <c r="MUX68" s="15"/>
      <c r="MUY68" s="15"/>
      <c r="MUZ68" s="15"/>
      <c r="MVA68" s="15"/>
      <c r="MVB68" s="15"/>
      <c r="MVC68" s="15"/>
      <c r="MVD68" s="15"/>
      <c r="MVE68" s="15"/>
      <c r="MVF68" s="15"/>
      <c r="MVG68" s="15"/>
      <c r="MVH68" s="15"/>
      <c r="MVI68" s="15"/>
      <c r="MVJ68" s="15"/>
      <c r="MVK68" s="15"/>
      <c r="MVL68" s="15"/>
      <c r="MVM68" s="15"/>
      <c r="MVN68" s="15"/>
      <c r="MVO68" s="15"/>
      <c r="MVP68" s="15"/>
      <c r="MVQ68" s="15"/>
      <c r="MVR68" s="15"/>
      <c r="MVS68" s="15"/>
      <c r="MVT68" s="15"/>
      <c r="MVU68" s="15"/>
      <c r="MVV68" s="15"/>
      <c r="MVW68" s="15"/>
      <c r="MVX68" s="15"/>
      <c r="MVY68" s="15"/>
      <c r="MVZ68" s="15"/>
      <c r="MWA68" s="15"/>
      <c r="MWB68" s="15"/>
      <c r="MWC68" s="15"/>
      <c r="MWD68" s="15"/>
      <c r="MWE68" s="15"/>
      <c r="MWF68" s="15"/>
      <c r="MWG68" s="15"/>
      <c r="MWH68" s="15"/>
      <c r="MWI68" s="15"/>
      <c r="MWJ68" s="15"/>
      <c r="MWK68" s="15"/>
      <c r="MWL68" s="15"/>
      <c r="MWM68" s="15"/>
      <c r="MWN68" s="15"/>
      <c r="MWO68" s="15"/>
      <c r="MWP68" s="15"/>
      <c r="MWQ68" s="15"/>
      <c r="MWR68" s="15"/>
      <c r="MWS68" s="15"/>
      <c r="MWT68" s="15"/>
      <c r="MWU68" s="15"/>
      <c r="MWV68" s="15"/>
      <c r="MWW68" s="15"/>
      <c r="MWX68" s="15"/>
      <c r="MWY68" s="15"/>
      <c r="MWZ68" s="15"/>
      <c r="MXA68" s="15"/>
      <c r="MXB68" s="15"/>
      <c r="MXC68" s="15"/>
      <c r="MXD68" s="15"/>
      <c r="MXE68" s="15"/>
      <c r="MXF68" s="15"/>
      <c r="MXG68" s="15"/>
      <c r="MXH68" s="15"/>
      <c r="MXI68" s="15"/>
      <c r="MXJ68" s="15"/>
      <c r="MXK68" s="15"/>
      <c r="MXL68" s="15"/>
      <c r="MXM68" s="15"/>
      <c r="MXN68" s="15"/>
      <c r="MXO68" s="15"/>
      <c r="MXP68" s="15"/>
      <c r="MXQ68" s="15"/>
      <c r="MXR68" s="15"/>
      <c r="MXS68" s="15"/>
      <c r="MXT68" s="15"/>
      <c r="MXU68" s="15"/>
      <c r="MXV68" s="15"/>
      <c r="MXW68" s="15"/>
      <c r="MXX68" s="15"/>
      <c r="MXY68" s="15"/>
      <c r="MXZ68" s="15"/>
      <c r="MYA68" s="15"/>
      <c r="MYB68" s="15"/>
      <c r="MYC68" s="15"/>
      <c r="MYD68" s="15"/>
      <c r="MYE68" s="15"/>
      <c r="MYF68" s="15"/>
      <c r="MYG68" s="15"/>
      <c r="MYH68" s="15"/>
      <c r="MYI68" s="15"/>
      <c r="MYJ68" s="15"/>
      <c r="MYK68" s="15"/>
      <c r="MYL68" s="15"/>
      <c r="MYM68" s="15"/>
      <c r="MYN68" s="15"/>
      <c r="MYO68" s="15"/>
      <c r="MYP68" s="15"/>
      <c r="MYQ68" s="15"/>
      <c r="MYR68" s="15"/>
      <c r="MYS68" s="15"/>
      <c r="MYT68" s="15"/>
      <c r="MYU68" s="15"/>
      <c r="MYV68" s="15"/>
      <c r="MYW68" s="15"/>
      <c r="MYX68" s="15"/>
      <c r="MYY68" s="15"/>
      <c r="MYZ68" s="15"/>
      <c r="MZA68" s="15"/>
      <c r="MZB68" s="15"/>
      <c r="MZC68" s="15"/>
      <c r="MZD68" s="15"/>
      <c r="MZE68" s="15"/>
      <c r="MZF68" s="15"/>
      <c r="MZG68" s="15"/>
      <c r="MZH68" s="15"/>
      <c r="MZI68" s="15"/>
      <c r="MZJ68" s="15"/>
      <c r="MZK68" s="15"/>
      <c r="MZL68" s="15"/>
      <c r="MZM68" s="15"/>
      <c r="MZN68" s="15"/>
      <c r="MZO68" s="15"/>
      <c r="MZP68" s="15"/>
      <c r="MZQ68" s="15"/>
      <c r="MZR68" s="15"/>
      <c r="MZS68" s="15"/>
      <c r="MZT68" s="15"/>
      <c r="MZU68" s="15"/>
      <c r="MZV68" s="15"/>
      <c r="MZW68" s="15"/>
      <c r="MZX68" s="15"/>
      <c r="MZY68" s="15"/>
      <c r="MZZ68" s="15"/>
      <c r="NAA68" s="15"/>
      <c r="NAB68" s="15"/>
      <c r="NAC68" s="15"/>
      <c r="NAD68" s="15"/>
      <c r="NAE68" s="15"/>
      <c r="NAF68" s="15"/>
      <c r="NAG68" s="15"/>
      <c r="NAH68" s="15"/>
      <c r="NAI68" s="15"/>
      <c r="NAJ68" s="15"/>
      <c r="NAK68" s="15"/>
      <c r="NAL68" s="15"/>
      <c r="NAM68" s="15"/>
      <c r="NAN68" s="15"/>
      <c r="NAO68" s="15"/>
      <c r="NAP68" s="15"/>
      <c r="NAQ68" s="15"/>
      <c r="NAR68" s="15"/>
      <c r="NAS68" s="15"/>
      <c r="NAT68" s="15"/>
      <c r="NAU68" s="15"/>
      <c r="NAV68" s="15"/>
      <c r="NAW68" s="15"/>
      <c r="NAX68" s="15"/>
      <c r="NAY68" s="15"/>
      <c r="NAZ68" s="15"/>
      <c r="NBA68" s="15"/>
      <c r="NBB68" s="15"/>
      <c r="NBC68" s="15"/>
      <c r="NBD68" s="15"/>
      <c r="NBE68" s="15"/>
      <c r="NBF68" s="15"/>
      <c r="NBG68" s="15"/>
      <c r="NBH68" s="15"/>
      <c r="NBI68" s="15"/>
      <c r="NBJ68" s="15"/>
      <c r="NBK68" s="15"/>
      <c r="NBL68" s="15"/>
      <c r="NBM68" s="15"/>
      <c r="NBN68" s="15"/>
      <c r="NBO68" s="15"/>
      <c r="NBP68" s="15"/>
      <c r="NBQ68" s="15"/>
      <c r="NBR68" s="15"/>
      <c r="NBS68" s="15"/>
      <c r="NBT68" s="15"/>
      <c r="NBU68" s="15"/>
      <c r="NBV68" s="15"/>
      <c r="NBW68" s="15"/>
      <c r="NBX68" s="15"/>
      <c r="NBY68" s="15"/>
      <c r="NBZ68" s="15"/>
      <c r="NCA68" s="15"/>
      <c r="NCB68" s="15"/>
      <c r="NCC68" s="15"/>
      <c r="NCD68" s="15"/>
      <c r="NCE68" s="15"/>
      <c r="NCF68" s="15"/>
      <c r="NCG68" s="15"/>
      <c r="NCH68" s="15"/>
      <c r="NCI68" s="15"/>
      <c r="NCJ68" s="15"/>
      <c r="NCK68" s="15"/>
      <c r="NCL68" s="15"/>
      <c r="NCM68" s="15"/>
      <c r="NCN68" s="15"/>
      <c r="NCO68" s="15"/>
      <c r="NCP68" s="15"/>
      <c r="NCQ68" s="15"/>
      <c r="NCR68" s="15"/>
      <c r="NCS68" s="15"/>
      <c r="NCT68" s="15"/>
      <c r="NCU68" s="15"/>
      <c r="NCV68" s="15"/>
      <c r="NCW68" s="15"/>
      <c r="NCX68" s="15"/>
      <c r="NCY68" s="15"/>
      <c r="NCZ68" s="15"/>
      <c r="NDA68" s="15"/>
      <c r="NDB68" s="15"/>
      <c r="NDC68" s="15"/>
      <c r="NDD68" s="15"/>
      <c r="NDE68" s="15"/>
      <c r="NDF68" s="15"/>
      <c r="NDG68" s="15"/>
      <c r="NDH68" s="15"/>
      <c r="NDI68" s="15"/>
      <c r="NDJ68" s="15"/>
      <c r="NDK68" s="15"/>
      <c r="NDL68" s="15"/>
      <c r="NDM68" s="15"/>
      <c r="NDN68" s="15"/>
      <c r="NDO68" s="15"/>
      <c r="NDP68" s="15"/>
      <c r="NDQ68" s="15"/>
      <c r="NDR68" s="15"/>
      <c r="NDS68" s="15"/>
      <c r="NDT68" s="15"/>
      <c r="NDU68" s="15"/>
      <c r="NDV68" s="15"/>
      <c r="NDW68" s="15"/>
      <c r="NDX68" s="15"/>
      <c r="NDY68" s="15"/>
      <c r="NDZ68" s="15"/>
      <c r="NEA68" s="15"/>
      <c r="NEB68" s="15"/>
      <c r="NEC68" s="15"/>
      <c r="NED68" s="15"/>
      <c r="NEE68" s="15"/>
      <c r="NEF68" s="15"/>
      <c r="NEG68" s="15"/>
      <c r="NEH68" s="15"/>
      <c r="NEI68" s="15"/>
      <c r="NEJ68" s="15"/>
      <c r="NEK68" s="15"/>
      <c r="NEL68" s="15"/>
      <c r="NEM68" s="15"/>
      <c r="NEN68" s="15"/>
      <c r="NEO68" s="15"/>
      <c r="NEP68" s="15"/>
      <c r="NEQ68" s="15"/>
      <c r="NER68" s="15"/>
      <c r="NES68" s="15"/>
      <c r="NET68" s="15"/>
      <c r="NEU68" s="15"/>
      <c r="NEV68" s="15"/>
      <c r="NEW68" s="15"/>
      <c r="NEX68" s="15"/>
      <c r="NEY68" s="15"/>
      <c r="NEZ68" s="15"/>
      <c r="NFA68" s="15"/>
      <c r="NFB68" s="15"/>
      <c r="NFC68" s="15"/>
      <c r="NFD68" s="15"/>
      <c r="NFE68" s="15"/>
      <c r="NFF68" s="15"/>
      <c r="NFG68" s="15"/>
      <c r="NFH68" s="15"/>
      <c r="NFI68" s="15"/>
      <c r="NFJ68" s="15"/>
      <c r="NFK68" s="15"/>
      <c r="NFL68" s="15"/>
      <c r="NFM68" s="15"/>
      <c r="NFN68" s="15"/>
      <c r="NFO68" s="15"/>
      <c r="NFP68" s="15"/>
      <c r="NFQ68" s="15"/>
      <c r="NFR68" s="15"/>
      <c r="NFS68" s="15"/>
      <c r="NFT68" s="15"/>
      <c r="NFU68" s="15"/>
      <c r="NFV68" s="15"/>
      <c r="NFW68" s="15"/>
      <c r="NFX68" s="15"/>
      <c r="NFY68" s="15"/>
      <c r="NFZ68" s="15"/>
      <c r="NGA68" s="15"/>
      <c r="NGB68" s="15"/>
      <c r="NGC68" s="15"/>
      <c r="NGD68" s="15"/>
      <c r="NGE68" s="15"/>
      <c r="NGF68" s="15"/>
      <c r="NGG68" s="15"/>
      <c r="NGH68" s="15"/>
      <c r="NGI68" s="15"/>
      <c r="NGJ68" s="15"/>
      <c r="NGK68" s="15"/>
      <c r="NGL68" s="15"/>
      <c r="NGM68" s="15"/>
      <c r="NGN68" s="15"/>
      <c r="NGO68" s="15"/>
      <c r="NGP68" s="15"/>
      <c r="NGQ68" s="15"/>
      <c r="NGR68" s="15"/>
      <c r="NGS68" s="15"/>
      <c r="NGT68" s="15"/>
      <c r="NGU68" s="15"/>
      <c r="NGV68" s="15"/>
      <c r="NGW68" s="15"/>
      <c r="NGX68" s="15"/>
      <c r="NGY68" s="15"/>
      <c r="NGZ68" s="15"/>
      <c r="NHA68" s="15"/>
      <c r="NHB68" s="15"/>
      <c r="NHC68" s="15"/>
      <c r="NHD68" s="15"/>
      <c r="NHE68" s="15"/>
      <c r="NHF68" s="15"/>
      <c r="NHG68" s="15"/>
      <c r="NHH68" s="15"/>
      <c r="NHI68" s="15"/>
      <c r="NHJ68" s="15"/>
      <c r="NHK68" s="15"/>
      <c r="NHL68" s="15"/>
      <c r="NHM68" s="15"/>
      <c r="NHN68" s="15"/>
      <c r="NHO68" s="15"/>
      <c r="NHP68" s="15"/>
      <c r="NHQ68" s="15"/>
      <c r="NHR68" s="15"/>
      <c r="NHS68" s="15"/>
      <c r="NHT68" s="15"/>
      <c r="NHU68" s="15"/>
      <c r="NHV68" s="15"/>
      <c r="NHW68" s="15"/>
      <c r="NHX68" s="15"/>
      <c r="NHY68" s="15"/>
      <c r="NHZ68" s="15"/>
      <c r="NIA68" s="15"/>
      <c r="NIB68" s="15"/>
      <c r="NIC68" s="15"/>
      <c r="NID68" s="15"/>
      <c r="NIE68" s="15"/>
      <c r="NIF68" s="15"/>
      <c r="NIG68" s="15"/>
      <c r="NIH68" s="15"/>
      <c r="NII68" s="15"/>
      <c r="NIJ68" s="15"/>
      <c r="NIK68" s="15"/>
      <c r="NIL68" s="15"/>
      <c r="NIM68" s="15"/>
      <c r="NIN68" s="15"/>
      <c r="NIO68" s="15"/>
      <c r="NIP68" s="15"/>
      <c r="NIQ68" s="15"/>
      <c r="NIR68" s="15"/>
      <c r="NIS68" s="15"/>
      <c r="NIT68" s="15"/>
      <c r="NIU68" s="15"/>
      <c r="NIV68" s="15"/>
      <c r="NIW68" s="15"/>
      <c r="NIX68" s="15"/>
      <c r="NIY68" s="15"/>
      <c r="NIZ68" s="15"/>
      <c r="NJA68" s="15"/>
      <c r="NJB68" s="15"/>
      <c r="NJC68" s="15"/>
      <c r="NJD68" s="15"/>
      <c r="NJE68" s="15"/>
      <c r="NJF68" s="15"/>
      <c r="NJG68" s="15"/>
      <c r="NJH68" s="15"/>
      <c r="NJI68" s="15"/>
      <c r="NJJ68" s="15"/>
      <c r="NJK68" s="15"/>
      <c r="NJL68" s="15"/>
      <c r="NJM68" s="15"/>
      <c r="NJN68" s="15"/>
      <c r="NJO68" s="15"/>
      <c r="NJP68" s="15"/>
      <c r="NJQ68" s="15"/>
      <c r="NJR68" s="15"/>
      <c r="NJS68" s="15"/>
      <c r="NJT68" s="15"/>
      <c r="NJU68" s="15"/>
      <c r="NJV68" s="15"/>
      <c r="NJW68" s="15"/>
      <c r="NJX68" s="15"/>
      <c r="NJY68" s="15"/>
      <c r="NJZ68" s="15"/>
      <c r="NKA68" s="15"/>
      <c r="NKB68" s="15"/>
      <c r="NKC68" s="15"/>
      <c r="NKD68" s="15"/>
      <c r="NKE68" s="15"/>
      <c r="NKF68" s="15"/>
      <c r="NKG68" s="15"/>
      <c r="NKH68" s="15"/>
      <c r="NKI68" s="15"/>
      <c r="NKJ68" s="15"/>
      <c r="NKK68" s="15"/>
      <c r="NKL68" s="15"/>
      <c r="NKM68" s="15"/>
      <c r="NKN68" s="15"/>
      <c r="NKO68" s="15"/>
      <c r="NKP68" s="15"/>
      <c r="NKQ68" s="15"/>
      <c r="NKR68" s="15"/>
      <c r="NKS68" s="15"/>
      <c r="NKT68" s="15"/>
      <c r="NKU68" s="15"/>
      <c r="NKV68" s="15"/>
      <c r="NKW68" s="15"/>
      <c r="NKX68" s="15"/>
      <c r="NKY68" s="15"/>
      <c r="NKZ68" s="15"/>
      <c r="NLA68" s="15"/>
      <c r="NLB68" s="15"/>
      <c r="NLC68" s="15"/>
      <c r="NLD68" s="15"/>
      <c r="NLE68" s="15"/>
      <c r="NLF68" s="15"/>
      <c r="NLG68" s="15"/>
      <c r="NLH68" s="15"/>
      <c r="NLI68" s="15"/>
      <c r="NLJ68" s="15"/>
      <c r="NLK68" s="15"/>
      <c r="NLL68" s="15"/>
      <c r="NLM68" s="15"/>
      <c r="NLN68" s="15"/>
      <c r="NLO68" s="15"/>
      <c r="NLP68" s="15"/>
      <c r="NLQ68" s="15"/>
      <c r="NLR68" s="15"/>
      <c r="NLS68" s="15"/>
      <c r="NLT68" s="15"/>
      <c r="NLU68" s="15"/>
      <c r="NLV68" s="15"/>
      <c r="NLW68" s="15"/>
      <c r="NLX68" s="15"/>
      <c r="NLY68" s="15"/>
      <c r="NLZ68" s="15"/>
      <c r="NMA68" s="15"/>
      <c r="NMB68" s="15"/>
      <c r="NMC68" s="15"/>
      <c r="NMD68" s="15"/>
      <c r="NME68" s="15"/>
      <c r="NMF68" s="15"/>
      <c r="NMG68" s="15"/>
      <c r="NMH68" s="15"/>
      <c r="NMI68" s="15"/>
      <c r="NMJ68" s="15"/>
      <c r="NMK68" s="15"/>
      <c r="NML68" s="15"/>
      <c r="NMM68" s="15"/>
      <c r="NMN68" s="15"/>
      <c r="NMO68" s="15"/>
      <c r="NMP68" s="15"/>
      <c r="NMQ68" s="15"/>
      <c r="NMR68" s="15"/>
      <c r="NMS68" s="15"/>
      <c r="NMT68" s="15"/>
      <c r="NMU68" s="15"/>
      <c r="NMV68" s="15"/>
      <c r="NMW68" s="15"/>
      <c r="NMX68" s="15"/>
      <c r="NMY68" s="15"/>
      <c r="NMZ68" s="15"/>
      <c r="NNA68" s="15"/>
      <c r="NNB68" s="15"/>
      <c r="NNC68" s="15"/>
      <c r="NND68" s="15"/>
      <c r="NNE68" s="15"/>
      <c r="NNF68" s="15"/>
      <c r="NNG68" s="15"/>
      <c r="NNH68" s="15"/>
      <c r="NNI68" s="15"/>
      <c r="NNJ68" s="15"/>
      <c r="NNK68" s="15"/>
      <c r="NNL68" s="15"/>
      <c r="NNM68" s="15"/>
      <c r="NNN68" s="15"/>
      <c r="NNO68" s="15"/>
      <c r="NNP68" s="15"/>
      <c r="NNQ68" s="15"/>
      <c r="NNR68" s="15"/>
      <c r="NNS68" s="15"/>
      <c r="NNT68" s="15"/>
      <c r="NNU68" s="15"/>
      <c r="NNV68" s="15"/>
      <c r="NNW68" s="15"/>
      <c r="NNX68" s="15"/>
      <c r="NNY68" s="15"/>
      <c r="NNZ68" s="15"/>
      <c r="NOA68" s="15"/>
      <c r="NOB68" s="15"/>
      <c r="NOC68" s="15"/>
      <c r="NOD68" s="15"/>
      <c r="NOE68" s="15"/>
      <c r="NOF68" s="15"/>
      <c r="NOG68" s="15"/>
      <c r="NOH68" s="15"/>
      <c r="NOI68" s="15"/>
      <c r="NOJ68" s="15"/>
      <c r="NOK68" s="15"/>
      <c r="NOL68" s="15"/>
      <c r="NOM68" s="15"/>
      <c r="NON68" s="15"/>
      <c r="NOO68" s="15"/>
      <c r="NOP68" s="15"/>
      <c r="NOQ68" s="15"/>
      <c r="NOR68" s="15"/>
      <c r="NOS68" s="15"/>
      <c r="NOT68" s="15"/>
      <c r="NOU68" s="15"/>
      <c r="NOV68" s="15"/>
      <c r="NOW68" s="15"/>
      <c r="NOX68" s="15"/>
      <c r="NOY68" s="15"/>
      <c r="NOZ68" s="15"/>
      <c r="NPA68" s="15"/>
      <c r="NPB68" s="15"/>
      <c r="NPC68" s="15"/>
      <c r="NPD68" s="15"/>
      <c r="NPE68" s="15"/>
      <c r="NPF68" s="15"/>
      <c r="NPG68" s="15"/>
      <c r="NPH68" s="15"/>
      <c r="NPI68" s="15"/>
      <c r="NPJ68" s="15"/>
      <c r="NPK68" s="15"/>
      <c r="NPL68" s="15"/>
      <c r="NPM68" s="15"/>
      <c r="NPN68" s="15"/>
      <c r="NPO68" s="15"/>
      <c r="NPP68" s="15"/>
      <c r="NPQ68" s="15"/>
      <c r="NPR68" s="15"/>
      <c r="NPS68" s="15"/>
      <c r="NPT68" s="15"/>
      <c r="NPU68" s="15"/>
      <c r="NPV68" s="15"/>
      <c r="NPW68" s="15"/>
      <c r="NPX68" s="15"/>
      <c r="NPY68" s="15"/>
      <c r="NPZ68" s="15"/>
      <c r="NQA68" s="15"/>
      <c r="NQB68" s="15"/>
      <c r="NQC68" s="15"/>
      <c r="NQD68" s="15"/>
      <c r="NQE68" s="15"/>
      <c r="NQF68" s="15"/>
      <c r="NQG68" s="15"/>
      <c r="NQH68" s="15"/>
      <c r="NQI68" s="15"/>
      <c r="NQJ68" s="15"/>
      <c r="NQK68" s="15"/>
      <c r="NQL68" s="15"/>
      <c r="NQM68" s="15"/>
      <c r="NQN68" s="15"/>
      <c r="NQO68" s="15"/>
      <c r="NQP68" s="15"/>
      <c r="NQQ68" s="15"/>
      <c r="NQR68" s="15"/>
      <c r="NQS68" s="15"/>
      <c r="NQT68" s="15"/>
      <c r="NQU68" s="15"/>
      <c r="NQV68" s="15"/>
      <c r="NQW68" s="15"/>
      <c r="NQX68" s="15"/>
      <c r="NQY68" s="15"/>
      <c r="NQZ68" s="15"/>
      <c r="NRA68" s="15"/>
      <c r="NRB68" s="15"/>
      <c r="NRC68" s="15"/>
      <c r="NRD68" s="15"/>
      <c r="NRE68" s="15"/>
      <c r="NRF68" s="15"/>
      <c r="NRG68" s="15"/>
      <c r="NRH68" s="15"/>
      <c r="NRI68" s="15"/>
      <c r="NRJ68" s="15"/>
      <c r="NRK68" s="15"/>
      <c r="NRL68" s="15"/>
      <c r="NRM68" s="15"/>
      <c r="NRN68" s="15"/>
      <c r="NRO68" s="15"/>
      <c r="NRP68" s="15"/>
      <c r="NRQ68" s="15"/>
      <c r="NRR68" s="15"/>
      <c r="NRS68" s="15"/>
      <c r="NRT68" s="15"/>
      <c r="NRU68" s="15"/>
      <c r="NRV68" s="15"/>
      <c r="NRW68" s="15"/>
      <c r="NRX68" s="15"/>
      <c r="NRY68" s="15"/>
      <c r="NRZ68" s="15"/>
      <c r="NSA68" s="15"/>
      <c r="NSB68" s="15"/>
      <c r="NSC68" s="15"/>
      <c r="NSD68" s="15"/>
      <c r="NSE68" s="15"/>
      <c r="NSF68" s="15"/>
      <c r="NSG68" s="15"/>
      <c r="NSH68" s="15"/>
      <c r="NSI68" s="15"/>
      <c r="NSJ68" s="15"/>
      <c r="NSK68" s="15"/>
      <c r="NSL68" s="15"/>
      <c r="NSM68" s="15"/>
      <c r="NSN68" s="15"/>
      <c r="NSO68" s="15"/>
      <c r="NSP68" s="15"/>
      <c r="NSQ68" s="15"/>
      <c r="NSR68" s="15"/>
      <c r="NSS68" s="15"/>
      <c r="NST68" s="15"/>
      <c r="NSU68" s="15"/>
      <c r="NSV68" s="15"/>
      <c r="NSW68" s="15"/>
      <c r="NSX68" s="15"/>
      <c r="NSY68" s="15"/>
      <c r="NSZ68" s="15"/>
      <c r="NTA68" s="15"/>
      <c r="NTB68" s="15"/>
      <c r="NTC68" s="15"/>
      <c r="NTD68" s="15"/>
      <c r="NTE68" s="15"/>
      <c r="NTF68" s="15"/>
      <c r="NTG68" s="15"/>
      <c r="NTH68" s="15"/>
      <c r="NTI68" s="15"/>
      <c r="NTJ68" s="15"/>
      <c r="NTK68" s="15"/>
      <c r="NTL68" s="15"/>
      <c r="NTM68" s="15"/>
      <c r="NTN68" s="15"/>
      <c r="NTO68" s="15"/>
      <c r="NTP68" s="15"/>
      <c r="NTQ68" s="15"/>
      <c r="NTR68" s="15"/>
      <c r="NTS68" s="15"/>
      <c r="NTT68" s="15"/>
      <c r="NTU68" s="15"/>
      <c r="NTV68" s="15"/>
      <c r="NTW68" s="15"/>
      <c r="NTX68" s="15"/>
      <c r="NTY68" s="15"/>
      <c r="NTZ68" s="15"/>
      <c r="NUA68" s="15"/>
      <c r="NUB68" s="15"/>
      <c r="NUC68" s="15"/>
      <c r="NUD68" s="15"/>
      <c r="NUE68" s="15"/>
      <c r="NUF68" s="15"/>
      <c r="NUG68" s="15"/>
      <c r="NUH68" s="15"/>
      <c r="NUI68" s="15"/>
      <c r="NUJ68" s="15"/>
      <c r="NUK68" s="15"/>
      <c r="NUL68" s="15"/>
      <c r="NUM68" s="15"/>
      <c r="NUN68" s="15"/>
      <c r="NUO68" s="15"/>
      <c r="NUP68" s="15"/>
      <c r="NUQ68" s="15"/>
      <c r="NUR68" s="15"/>
      <c r="NUS68" s="15"/>
      <c r="NUT68" s="15"/>
      <c r="NUU68" s="15"/>
      <c r="NUV68" s="15"/>
      <c r="NUW68" s="15"/>
      <c r="NUX68" s="15"/>
      <c r="NUY68" s="15"/>
      <c r="NUZ68" s="15"/>
      <c r="NVA68" s="15"/>
      <c r="NVB68" s="15"/>
      <c r="NVC68" s="15"/>
      <c r="NVD68" s="15"/>
      <c r="NVE68" s="15"/>
      <c r="NVF68" s="15"/>
      <c r="NVG68" s="15"/>
      <c r="NVH68" s="15"/>
      <c r="NVI68" s="15"/>
      <c r="NVJ68" s="15"/>
      <c r="NVK68" s="15"/>
      <c r="NVL68" s="15"/>
      <c r="NVM68" s="15"/>
      <c r="NVN68" s="15"/>
      <c r="NVO68" s="15"/>
      <c r="NVP68" s="15"/>
      <c r="NVQ68" s="15"/>
      <c r="NVR68" s="15"/>
      <c r="NVS68" s="15"/>
      <c r="NVT68" s="15"/>
      <c r="NVU68" s="15"/>
      <c r="NVV68" s="15"/>
      <c r="NVW68" s="15"/>
      <c r="NVX68" s="15"/>
      <c r="NVY68" s="15"/>
      <c r="NVZ68" s="15"/>
      <c r="NWA68" s="15"/>
      <c r="NWB68" s="15"/>
      <c r="NWC68" s="15"/>
      <c r="NWD68" s="15"/>
      <c r="NWE68" s="15"/>
      <c r="NWF68" s="15"/>
      <c r="NWG68" s="15"/>
      <c r="NWH68" s="15"/>
      <c r="NWI68" s="15"/>
      <c r="NWJ68" s="15"/>
      <c r="NWK68" s="15"/>
      <c r="NWL68" s="15"/>
      <c r="NWM68" s="15"/>
      <c r="NWN68" s="15"/>
      <c r="NWO68" s="15"/>
      <c r="NWP68" s="15"/>
      <c r="NWQ68" s="15"/>
      <c r="NWR68" s="15"/>
      <c r="NWS68" s="15"/>
      <c r="NWT68" s="15"/>
      <c r="NWU68" s="15"/>
      <c r="NWV68" s="15"/>
      <c r="NWW68" s="15"/>
      <c r="NWX68" s="15"/>
      <c r="NWY68" s="15"/>
      <c r="NWZ68" s="15"/>
      <c r="NXA68" s="15"/>
      <c r="NXB68" s="15"/>
      <c r="NXC68" s="15"/>
      <c r="NXD68" s="15"/>
      <c r="NXE68" s="15"/>
      <c r="NXF68" s="15"/>
      <c r="NXG68" s="15"/>
      <c r="NXH68" s="15"/>
      <c r="NXI68" s="15"/>
      <c r="NXJ68" s="15"/>
      <c r="NXK68" s="15"/>
      <c r="NXL68" s="15"/>
      <c r="NXM68" s="15"/>
      <c r="NXN68" s="15"/>
      <c r="NXO68" s="15"/>
      <c r="NXP68" s="15"/>
      <c r="NXQ68" s="15"/>
      <c r="NXR68" s="15"/>
      <c r="NXS68" s="15"/>
      <c r="NXT68" s="15"/>
      <c r="NXU68" s="15"/>
      <c r="NXV68" s="15"/>
      <c r="NXW68" s="15"/>
      <c r="NXX68" s="15"/>
      <c r="NXY68" s="15"/>
      <c r="NXZ68" s="15"/>
      <c r="NYA68" s="15"/>
      <c r="NYB68" s="15"/>
      <c r="NYC68" s="15"/>
      <c r="NYD68" s="15"/>
      <c r="NYE68" s="15"/>
      <c r="NYF68" s="15"/>
      <c r="NYG68" s="15"/>
      <c r="NYH68" s="15"/>
      <c r="NYI68" s="15"/>
      <c r="NYJ68" s="15"/>
      <c r="NYK68" s="15"/>
      <c r="NYL68" s="15"/>
      <c r="NYM68" s="15"/>
      <c r="NYN68" s="15"/>
      <c r="NYO68" s="15"/>
      <c r="NYP68" s="15"/>
      <c r="NYQ68" s="15"/>
      <c r="NYR68" s="15"/>
      <c r="NYS68" s="15"/>
      <c r="NYT68" s="15"/>
      <c r="NYU68" s="15"/>
      <c r="NYV68" s="15"/>
      <c r="NYW68" s="15"/>
      <c r="NYX68" s="15"/>
      <c r="NYY68" s="15"/>
      <c r="NYZ68" s="15"/>
      <c r="NZA68" s="15"/>
      <c r="NZB68" s="15"/>
      <c r="NZC68" s="15"/>
      <c r="NZD68" s="15"/>
      <c r="NZE68" s="15"/>
      <c r="NZF68" s="15"/>
      <c r="NZG68" s="15"/>
      <c r="NZH68" s="15"/>
      <c r="NZI68" s="15"/>
      <c r="NZJ68" s="15"/>
      <c r="NZK68" s="15"/>
      <c r="NZL68" s="15"/>
      <c r="NZM68" s="15"/>
      <c r="NZN68" s="15"/>
      <c r="NZO68" s="15"/>
      <c r="NZP68" s="15"/>
      <c r="NZQ68" s="15"/>
      <c r="NZR68" s="15"/>
      <c r="NZS68" s="15"/>
      <c r="NZT68" s="15"/>
      <c r="NZU68" s="15"/>
      <c r="NZV68" s="15"/>
      <c r="NZW68" s="15"/>
      <c r="NZX68" s="15"/>
      <c r="NZY68" s="15"/>
      <c r="NZZ68" s="15"/>
      <c r="OAA68" s="15"/>
      <c r="OAB68" s="15"/>
      <c r="OAC68" s="15"/>
      <c r="OAD68" s="15"/>
      <c r="OAE68" s="15"/>
      <c r="OAF68" s="15"/>
      <c r="OAG68" s="15"/>
      <c r="OAH68" s="15"/>
      <c r="OAI68" s="15"/>
      <c r="OAJ68" s="15"/>
      <c r="OAK68" s="15"/>
      <c r="OAL68" s="15"/>
      <c r="OAM68" s="15"/>
      <c r="OAN68" s="15"/>
      <c r="OAO68" s="15"/>
      <c r="OAP68" s="15"/>
      <c r="OAQ68" s="15"/>
      <c r="OAR68" s="15"/>
      <c r="OAS68" s="15"/>
      <c r="OAT68" s="15"/>
      <c r="OAU68" s="15"/>
      <c r="OAV68" s="15"/>
      <c r="OAW68" s="15"/>
      <c r="OAX68" s="15"/>
      <c r="OAY68" s="15"/>
      <c r="OAZ68" s="15"/>
      <c r="OBA68" s="15"/>
      <c r="OBB68" s="15"/>
      <c r="OBC68" s="15"/>
      <c r="OBD68" s="15"/>
      <c r="OBE68" s="15"/>
      <c r="OBF68" s="15"/>
      <c r="OBG68" s="15"/>
      <c r="OBH68" s="15"/>
      <c r="OBI68" s="15"/>
      <c r="OBJ68" s="15"/>
      <c r="OBK68" s="15"/>
      <c r="OBL68" s="15"/>
      <c r="OBM68" s="15"/>
      <c r="OBN68" s="15"/>
      <c r="OBO68" s="15"/>
      <c r="OBP68" s="15"/>
      <c r="OBQ68" s="15"/>
      <c r="OBR68" s="15"/>
      <c r="OBS68" s="15"/>
      <c r="OBT68" s="15"/>
      <c r="OBU68" s="15"/>
      <c r="OBV68" s="15"/>
      <c r="OBW68" s="15"/>
      <c r="OBX68" s="15"/>
      <c r="OBY68" s="15"/>
      <c r="OBZ68" s="15"/>
      <c r="OCA68" s="15"/>
      <c r="OCB68" s="15"/>
      <c r="OCC68" s="15"/>
      <c r="OCD68" s="15"/>
      <c r="OCE68" s="15"/>
      <c r="OCF68" s="15"/>
      <c r="OCG68" s="15"/>
      <c r="OCH68" s="15"/>
      <c r="OCI68" s="15"/>
      <c r="OCJ68" s="15"/>
      <c r="OCK68" s="15"/>
      <c r="OCL68" s="15"/>
      <c r="OCM68" s="15"/>
      <c r="OCN68" s="15"/>
      <c r="OCO68" s="15"/>
      <c r="OCP68" s="15"/>
      <c r="OCQ68" s="15"/>
      <c r="OCR68" s="15"/>
      <c r="OCS68" s="15"/>
      <c r="OCT68" s="15"/>
      <c r="OCU68" s="15"/>
      <c r="OCV68" s="15"/>
      <c r="OCW68" s="15"/>
      <c r="OCX68" s="15"/>
      <c r="OCY68" s="15"/>
      <c r="OCZ68" s="15"/>
      <c r="ODA68" s="15"/>
      <c r="ODB68" s="15"/>
      <c r="ODC68" s="15"/>
      <c r="ODD68" s="15"/>
      <c r="ODE68" s="15"/>
      <c r="ODF68" s="15"/>
      <c r="ODG68" s="15"/>
      <c r="ODH68" s="15"/>
      <c r="ODI68" s="15"/>
      <c r="ODJ68" s="15"/>
      <c r="ODK68" s="15"/>
      <c r="ODL68" s="15"/>
      <c r="ODM68" s="15"/>
      <c r="ODN68" s="15"/>
      <c r="ODO68" s="15"/>
      <c r="ODP68" s="15"/>
      <c r="ODQ68" s="15"/>
      <c r="ODR68" s="15"/>
      <c r="ODS68" s="15"/>
      <c r="ODT68" s="15"/>
      <c r="ODU68" s="15"/>
      <c r="ODV68" s="15"/>
      <c r="ODW68" s="15"/>
      <c r="ODX68" s="15"/>
      <c r="ODY68" s="15"/>
      <c r="ODZ68" s="15"/>
      <c r="OEA68" s="15"/>
      <c r="OEB68" s="15"/>
      <c r="OEC68" s="15"/>
      <c r="OED68" s="15"/>
      <c r="OEE68" s="15"/>
      <c r="OEF68" s="15"/>
      <c r="OEG68" s="15"/>
      <c r="OEH68" s="15"/>
      <c r="OEI68" s="15"/>
      <c r="OEJ68" s="15"/>
      <c r="OEK68" s="15"/>
      <c r="OEL68" s="15"/>
      <c r="OEM68" s="15"/>
      <c r="OEN68" s="15"/>
      <c r="OEO68" s="15"/>
      <c r="OEP68" s="15"/>
      <c r="OEQ68" s="15"/>
      <c r="OER68" s="15"/>
      <c r="OES68" s="15"/>
      <c r="OET68" s="15"/>
      <c r="OEU68" s="15"/>
      <c r="OEV68" s="15"/>
      <c r="OEW68" s="15"/>
      <c r="OEX68" s="15"/>
      <c r="OEY68" s="15"/>
      <c r="OEZ68" s="15"/>
      <c r="OFA68" s="15"/>
      <c r="OFB68" s="15"/>
      <c r="OFC68" s="15"/>
      <c r="OFD68" s="15"/>
      <c r="OFE68" s="15"/>
      <c r="OFF68" s="15"/>
      <c r="OFG68" s="15"/>
      <c r="OFH68" s="15"/>
      <c r="OFI68" s="15"/>
      <c r="OFJ68" s="15"/>
      <c r="OFK68" s="15"/>
      <c r="OFL68" s="15"/>
      <c r="OFM68" s="15"/>
      <c r="OFN68" s="15"/>
      <c r="OFO68" s="15"/>
      <c r="OFP68" s="15"/>
      <c r="OFQ68" s="15"/>
      <c r="OFR68" s="15"/>
      <c r="OFS68" s="15"/>
      <c r="OFT68" s="15"/>
      <c r="OFU68" s="15"/>
      <c r="OFV68" s="15"/>
      <c r="OFW68" s="15"/>
      <c r="OFX68" s="15"/>
      <c r="OFY68" s="15"/>
      <c r="OFZ68" s="15"/>
      <c r="OGA68" s="15"/>
      <c r="OGB68" s="15"/>
      <c r="OGC68" s="15"/>
      <c r="OGD68" s="15"/>
      <c r="OGE68" s="15"/>
      <c r="OGF68" s="15"/>
      <c r="OGG68" s="15"/>
      <c r="OGH68" s="15"/>
      <c r="OGI68" s="15"/>
      <c r="OGJ68" s="15"/>
      <c r="OGK68" s="15"/>
      <c r="OGL68" s="15"/>
      <c r="OGM68" s="15"/>
      <c r="OGN68" s="15"/>
      <c r="OGO68" s="15"/>
      <c r="OGP68" s="15"/>
      <c r="OGQ68" s="15"/>
      <c r="OGR68" s="15"/>
      <c r="OGS68" s="15"/>
      <c r="OGT68" s="15"/>
      <c r="OGU68" s="15"/>
      <c r="OGV68" s="15"/>
      <c r="OGW68" s="15"/>
      <c r="OGX68" s="15"/>
      <c r="OGY68" s="15"/>
      <c r="OGZ68" s="15"/>
      <c r="OHA68" s="15"/>
      <c r="OHB68" s="15"/>
      <c r="OHC68" s="15"/>
      <c r="OHD68" s="15"/>
      <c r="OHE68" s="15"/>
      <c r="OHF68" s="15"/>
      <c r="OHG68" s="15"/>
      <c r="OHH68" s="15"/>
      <c r="OHI68" s="15"/>
      <c r="OHJ68" s="15"/>
      <c r="OHK68" s="15"/>
      <c r="OHL68" s="15"/>
      <c r="OHM68" s="15"/>
      <c r="OHN68" s="15"/>
      <c r="OHO68" s="15"/>
      <c r="OHP68" s="15"/>
      <c r="OHQ68" s="15"/>
      <c r="OHR68" s="15"/>
      <c r="OHS68" s="15"/>
      <c r="OHT68" s="15"/>
      <c r="OHU68" s="15"/>
      <c r="OHV68" s="15"/>
      <c r="OHW68" s="15"/>
      <c r="OHX68" s="15"/>
      <c r="OHY68" s="15"/>
      <c r="OHZ68" s="15"/>
      <c r="OIA68" s="15"/>
      <c r="OIB68" s="15"/>
      <c r="OIC68" s="15"/>
      <c r="OID68" s="15"/>
      <c r="OIE68" s="15"/>
      <c r="OIF68" s="15"/>
      <c r="OIG68" s="15"/>
      <c r="OIH68" s="15"/>
      <c r="OII68" s="15"/>
      <c r="OIJ68" s="15"/>
      <c r="OIK68" s="15"/>
      <c r="OIL68" s="15"/>
      <c r="OIM68" s="15"/>
      <c r="OIN68" s="15"/>
      <c r="OIO68" s="15"/>
      <c r="OIP68" s="15"/>
      <c r="OIQ68" s="15"/>
      <c r="OIR68" s="15"/>
      <c r="OIS68" s="15"/>
      <c r="OIT68" s="15"/>
      <c r="OIU68" s="15"/>
      <c r="OIV68" s="15"/>
      <c r="OIW68" s="15"/>
      <c r="OIX68" s="15"/>
      <c r="OIY68" s="15"/>
      <c r="OIZ68" s="15"/>
      <c r="OJA68" s="15"/>
      <c r="OJB68" s="15"/>
      <c r="OJC68" s="15"/>
      <c r="OJD68" s="15"/>
      <c r="OJE68" s="15"/>
      <c r="OJF68" s="15"/>
      <c r="OJG68" s="15"/>
      <c r="OJH68" s="15"/>
      <c r="OJI68" s="15"/>
      <c r="OJJ68" s="15"/>
      <c r="OJK68" s="15"/>
      <c r="OJL68" s="15"/>
      <c r="OJM68" s="15"/>
      <c r="OJN68" s="15"/>
      <c r="OJO68" s="15"/>
      <c r="OJP68" s="15"/>
      <c r="OJQ68" s="15"/>
      <c r="OJR68" s="15"/>
      <c r="OJS68" s="15"/>
      <c r="OJT68" s="15"/>
      <c r="OJU68" s="15"/>
      <c r="OJV68" s="15"/>
      <c r="OJW68" s="15"/>
      <c r="OJX68" s="15"/>
      <c r="OJY68" s="15"/>
      <c r="OJZ68" s="15"/>
      <c r="OKA68" s="15"/>
      <c r="OKB68" s="15"/>
      <c r="OKC68" s="15"/>
      <c r="OKD68" s="15"/>
      <c r="OKE68" s="15"/>
      <c r="OKF68" s="15"/>
      <c r="OKG68" s="15"/>
      <c r="OKH68" s="15"/>
      <c r="OKI68" s="15"/>
      <c r="OKJ68" s="15"/>
      <c r="OKK68" s="15"/>
      <c r="OKL68" s="15"/>
      <c r="OKM68" s="15"/>
      <c r="OKN68" s="15"/>
      <c r="OKO68" s="15"/>
      <c r="OKP68" s="15"/>
      <c r="OKQ68" s="15"/>
      <c r="OKR68" s="15"/>
      <c r="OKS68" s="15"/>
      <c r="OKT68" s="15"/>
      <c r="OKU68" s="15"/>
      <c r="OKV68" s="15"/>
      <c r="OKW68" s="15"/>
      <c r="OKX68" s="15"/>
      <c r="OKY68" s="15"/>
      <c r="OKZ68" s="15"/>
      <c r="OLA68" s="15"/>
      <c r="OLB68" s="15"/>
      <c r="OLC68" s="15"/>
      <c r="OLD68" s="15"/>
      <c r="OLE68" s="15"/>
      <c r="OLF68" s="15"/>
      <c r="OLG68" s="15"/>
      <c r="OLH68" s="15"/>
      <c r="OLI68" s="15"/>
      <c r="OLJ68" s="15"/>
      <c r="OLK68" s="15"/>
      <c r="OLL68" s="15"/>
      <c r="OLM68" s="15"/>
      <c r="OLN68" s="15"/>
      <c r="OLO68" s="15"/>
      <c r="OLP68" s="15"/>
      <c r="OLQ68" s="15"/>
      <c r="OLR68" s="15"/>
      <c r="OLS68" s="15"/>
      <c r="OLT68" s="15"/>
      <c r="OLU68" s="15"/>
      <c r="OLV68" s="15"/>
      <c r="OLW68" s="15"/>
      <c r="OLX68" s="15"/>
      <c r="OLY68" s="15"/>
      <c r="OLZ68" s="15"/>
      <c r="OMA68" s="15"/>
      <c r="OMB68" s="15"/>
      <c r="OMC68" s="15"/>
      <c r="OMD68" s="15"/>
      <c r="OME68" s="15"/>
      <c r="OMF68" s="15"/>
      <c r="OMG68" s="15"/>
      <c r="OMH68" s="15"/>
      <c r="OMI68" s="15"/>
      <c r="OMJ68" s="15"/>
      <c r="OMK68" s="15"/>
      <c r="OML68" s="15"/>
      <c r="OMM68" s="15"/>
      <c r="OMN68" s="15"/>
      <c r="OMO68" s="15"/>
      <c r="OMP68" s="15"/>
      <c r="OMQ68" s="15"/>
      <c r="OMR68" s="15"/>
      <c r="OMS68" s="15"/>
      <c r="OMT68" s="15"/>
      <c r="OMU68" s="15"/>
      <c r="OMV68" s="15"/>
      <c r="OMW68" s="15"/>
      <c r="OMX68" s="15"/>
      <c r="OMY68" s="15"/>
      <c r="OMZ68" s="15"/>
      <c r="ONA68" s="15"/>
      <c r="ONB68" s="15"/>
      <c r="ONC68" s="15"/>
      <c r="OND68" s="15"/>
      <c r="ONE68" s="15"/>
      <c r="ONF68" s="15"/>
      <c r="ONG68" s="15"/>
      <c r="ONH68" s="15"/>
      <c r="ONI68" s="15"/>
      <c r="ONJ68" s="15"/>
      <c r="ONK68" s="15"/>
      <c r="ONL68" s="15"/>
      <c r="ONM68" s="15"/>
      <c r="ONN68" s="15"/>
      <c r="ONO68" s="15"/>
      <c r="ONP68" s="15"/>
      <c r="ONQ68" s="15"/>
      <c r="ONR68" s="15"/>
      <c r="ONS68" s="15"/>
      <c r="ONT68" s="15"/>
      <c r="ONU68" s="15"/>
      <c r="ONV68" s="15"/>
      <c r="ONW68" s="15"/>
      <c r="ONX68" s="15"/>
      <c r="ONY68" s="15"/>
      <c r="ONZ68" s="15"/>
      <c r="OOA68" s="15"/>
      <c r="OOB68" s="15"/>
      <c r="OOC68" s="15"/>
      <c r="OOD68" s="15"/>
      <c r="OOE68" s="15"/>
      <c r="OOF68" s="15"/>
      <c r="OOG68" s="15"/>
      <c r="OOH68" s="15"/>
      <c r="OOI68" s="15"/>
      <c r="OOJ68" s="15"/>
      <c r="OOK68" s="15"/>
      <c r="OOL68" s="15"/>
      <c r="OOM68" s="15"/>
      <c r="OON68" s="15"/>
      <c r="OOO68" s="15"/>
      <c r="OOP68" s="15"/>
      <c r="OOQ68" s="15"/>
      <c r="OOR68" s="15"/>
      <c r="OOS68" s="15"/>
      <c r="OOT68" s="15"/>
      <c r="OOU68" s="15"/>
      <c r="OOV68" s="15"/>
      <c r="OOW68" s="15"/>
      <c r="OOX68" s="15"/>
      <c r="OOY68" s="15"/>
      <c r="OOZ68" s="15"/>
      <c r="OPA68" s="15"/>
      <c r="OPB68" s="15"/>
      <c r="OPC68" s="15"/>
      <c r="OPD68" s="15"/>
      <c r="OPE68" s="15"/>
      <c r="OPF68" s="15"/>
      <c r="OPG68" s="15"/>
      <c r="OPH68" s="15"/>
      <c r="OPI68" s="15"/>
      <c r="OPJ68" s="15"/>
      <c r="OPK68" s="15"/>
      <c r="OPL68" s="15"/>
      <c r="OPM68" s="15"/>
      <c r="OPN68" s="15"/>
      <c r="OPO68" s="15"/>
      <c r="OPP68" s="15"/>
      <c r="OPQ68" s="15"/>
      <c r="OPR68" s="15"/>
      <c r="OPS68" s="15"/>
      <c r="OPT68" s="15"/>
      <c r="OPU68" s="15"/>
      <c r="OPV68" s="15"/>
      <c r="OPW68" s="15"/>
      <c r="OPX68" s="15"/>
      <c r="OPY68" s="15"/>
      <c r="OPZ68" s="15"/>
      <c r="OQA68" s="15"/>
      <c r="OQB68" s="15"/>
      <c r="OQC68" s="15"/>
      <c r="OQD68" s="15"/>
      <c r="OQE68" s="15"/>
      <c r="OQF68" s="15"/>
      <c r="OQG68" s="15"/>
      <c r="OQH68" s="15"/>
      <c r="OQI68" s="15"/>
      <c r="OQJ68" s="15"/>
      <c r="OQK68" s="15"/>
      <c r="OQL68" s="15"/>
      <c r="OQM68" s="15"/>
      <c r="OQN68" s="15"/>
      <c r="OQO68" s="15"/>
      <c r="OQP68" s="15"/>
      <c r="OQQ68" s="15"/>
      <c r="OQR68" s="15"/>
      <c r="OQS68" s="15"/>
      <c r="OQT68" s="15"/>
      <c r="OQU68" s="15"/>
      <c r="OQV68" s="15"/>
      <c r="OQW68" s="15"/>
      <c r="OQX68" s="15"/>
      <c r="OQY68" s="15"/>
      <c r="OQZ68" s="15"/>
      <c r="ORA68" s="15"/>
      <c r="ORB68" s="15"/>
      <c r="ORC68" s="15"/>
      <c r="ORD68" s="15"/>
      <c r="ORE68" s="15"/>
      <c r="ORF68" s="15"/>
      <c r="ORG68" s="15"/>
      <c r="ORH68" s="15"/>
      <c r="ORI68" s="15"/>
      <c r="ORJ68" s="15"/>
      <c r="ORK68" s="15"/>
      <c r="ORL68" s="15"/>
      <c r="ORM68" s="15"/>
      <c r="ORN68" s="15"/>
      <c r="ORO68" s="15"/>
      <c r="ORP68" s="15"/>
      <c r="ORQ68" s="15"/>
      <c r="ORR68" s="15"/>
      <c r="ORS68" s="15"/>
      <c r="ORT68" s="15"/>
      <c r="ORU68" s="15"/>
      <c r="ORV68" s="15"/>
      <c r="ORW68" s="15"/>
      <c r="ORX68" s="15"/>
      <c r="ORY68" s="15"/>
      <c r="ORZ68" s="15"/>
      <c r="OSA68" s="15"/>
      <c r="OSB68" s="15"/>
      <c r="OSC68" s="15"/>
      <c r="OSD68" s="15"/>
      <c r="OSE68" s="15"/>
      <c r="OSF68" s="15"/>
      <c r="OSG68" s="15"/>
      <c r="OSH68" s="15"/>
      <c r="OSI68" s="15"/>
      <c r="OSJ68" s="15"/>
      <c r="OSK68" s="15"/>
      <c r="OSL68" s="15"/>
      <c r="OSM68" s="15"/>
      <c r="OSN68" s="15"/>
      <c r="OSO68" s="15"/>
      <c r="OSP68" s="15"/>
      <c r="OSQ68" s="15"/>
      <c r="OSR68" s="15"/>
      <c r="OSS68" s="15"/>
      <c r="OST68" s="15"/>
      <c r="OSU68" s="15"/>
      <c r="OSV68" s="15"/>
      <c r="OSW68" s="15"/>
      <c r="OSX68" s="15"/>
      <c r="OSY68" s="15"/>
      <c r="OSZ68" s="15"/>
      <c r="OTA68" s="15"/>
      <c r="OTB68" s="15"/>
      <c r="OTC68" s="15"/>
      <c r="OTD68" s="15"/>
      <c r="OTE68" s="15"/>
      <c r="OTF68" s="15"/>
      <c r="OTG68" s="15"/>
      <c r="OTH68" s="15"/>
      <c r="OTI68" s="15"/>
      <c r="OTJ68" s="15"/>
      <c r="OTK68" s="15"/>
      <c r="OTL68" s="15"/>
      <c r="OTM68" s="15"/>
      <c r="OTN68" s="15"/>
      <c r="OTO68" s="15"/>
      <c r="OTP68" s="15"/>
      <c r="OTQ68" s="15"/>
      <c r="OTR68" s="15"/>
      <c r="OTS68" s="15"/>
      <c r="OTT68" s="15"/>
      <c r="OTU68" s="15"/>
      <c r="OTV68" s="15"/>
      <c r="OTW68" s="15"/>
      <c r="OTX68" s="15"/>
      <c r="OTY68" s="15"/>
      <c r="OTZ68" s="15"/>
      <c r="OUA68" s="15"/>
      <c r="OUB68" s="15"/>
      <c r="OUC68" s="15"/>
      <c r="OUD68" s="15"/>
      <c r="OUE68" s="15"/>
      <c r="OUF68" s="15"/>
      <c r="OUG68" s="15"/>
      <c r="OUH68" s="15"/>
      <c r="OUI68" s="15"/>
      <c r="OUJ68" s="15"/>
      <c r="OUK68" s="15"/>
      <c r="OUL68" s="15"/>
      <c r="OUM68" s="15"/>
      <c r="OUN68" s="15"/>
      <c r="OUO68" s="15"/>
      <c r="OUP68" s="15"/>
      <c r="OUQ68" s="15"/>
      <c r="OUR68" s="15"/>
      <c r="OUS68" s="15"/>
      <c r="OUT68" s="15"/>
      <c r="OUU68" s="15"/>
      <c r="OUV68" s="15"/>
      <c r="OUW68" s="15"/>
      <c r="OUX68" s="15"/>
      <c r="OUY68" s="15"/>
      <c r="OUZ68" s="15"/>
      <c r="OVA68" s="15"/>
      <c r="OVB68" s="15"/>
      <c r="OVC68" s="15"/>
      <c r="OVD68" s="15"/>
      <c r="OVE68" s="15"/>
      <c r="OVF68" s="15"/>
      <c r="OVG68" s="15"/>
      <c r="OVH68" s="15"/>
      <c r="OVI68" s="15"/>
      <c r="OVJ68" s="15"/>
      <c r="OVK68" s="15"/>
      <c r="OVL68" s="15"/>
      <c r="OVM68" s="15"/>
      <c r="OVN68" s="15"/>
      <c r="OVO68" s="15"/>
      <c r="OVP68" s="15"/>
      <c r="OVQ68" s="15"/>
      <c r="OVR68" s="15"/>
      <c r="OVS68" s="15"/>
      <c r="OVT68" s="15"/>
      <c r="OVU68" s="15"/>
      <c r="OVV68" s="15"/>
      <c r="OVW68" s="15"/>
      <c r="OVX68" s="15"/>
      <c r="OVY68" s="15"/>
      <c r="OVZ68" s="15"/>
      <c r="OWA68" s="15"/>
      <c r="OWB68" s="15"/>
      <c r="OWC68" s="15"/>
      <c r="OWD68" s="15"/>
      <c r="OWE68" s="15"/>
      <c r="OWF68" s="15"/>
      <c r="OWG68" s="15"/>
      <c r="OWH68" s="15"/>
      <c r="OWI68" s="15"/>
      <c r="OWJ68" s="15"/>
      <c r="OWK68" s="15"/>
      <c r="OWL68" s="15"/>
      <c r="OWM68" s="15"/>
      <c r="OWN68" s="15"/>
      <c r="OWO68" s="15"/>
      <c r="OWP68" s="15"/>
      <c r="OWQ68" s="15"/>
      <c r="OWR68" s="15"/>
      <c r="OWS68" s="15"/>
      <c r="OWT68" s="15"/>
      <c r="OWU68" s="15"/>
      <c r="OWV68" s="15"/>
      <c r="OWW68" s="15"/>
      <c r="OWX68" s="15"/>
      <c r="OWY68" s="15"/>
      <c r="OWZ68" s="15"/>
      <c r="OXA68" s="15"/>
      <c r="OXB68" s="15"/>
      <c r="OXC68" s="15"/>
      <c r="OXD68" s="15"/>
      <c r="OXE68" s="15"/>
      <c r="OXF68" s="15"/>
      <c r="OXG68" s="15"/>
      <c r="OXH68" s="15"/>
      <c r="OXI68" s="15"/>
      <c r="OXJ68" s="15"/>
      <c r="OXK68" s="15"/>
      <c r="OXL68" s="15"/>
      <c r="OXM68" s="15"/>
      <c r="OXN68" s="15"/>
      <c r="OXO68" s="15"/>
      <c r="OXP68" s="15"/>
      <c r="OXQ68" s="15"/>
      <c r="OXR68" s="15"/>
      <c r="OXS68" s="15"/>
      <c r="OXT68" s="15"/>
      <c r="OXU68" s="15"/>
      <c r="OXV68" s="15"/>
      <c r="OXW68" s="15"/>
      <c r="OXX68" s="15"/>
      <c r="OXY68" s="15"/>
      <c r="OXZ68" s="15"/>
      <c r="OYA68" s="15"/>
      <c r="OYB68" s="15"/>
      <c r="OYC68" s="15"/>
      <c r="OYD68" s="15"/>
      <c r="OYE68" s="15"/>
      <c r="OYF68" s="15"/>
      <c r="OYG68" s="15"/>
      <c r="OYH68" s="15"/>
      <c r="OYI68" s="15"/>
      <c r="OYJ68" s="15"/>
      <c r="OYK68" s="15"/>
      <c r="OYL68" s="15"/>
      <c r="OYM68" s="15"/>
      <c r="OYN68" s="15"/>
      <c r="OYO68" s="15"/>
      <c r="OYP68" s="15"/>
      <c r="OYQ68" s="15"/>
      <c r="OYR68" s="15"/>
      <c r="OYS68" s="15"/>
      <c r="OYT68" s="15"/>
      <c r="OYU68" s="15"/>
      <c r="OYV68" s="15"/>
      <c r="OYW68" s="15"/>
      <c r="OYX68" s="15"/>
      <c r="OYY68" s="15"/>
      <c r="OYZ68" s="15"/>
      <c r="OZA68" s="15"/>
      <c r="OZB68" s="15"/>
      <c r="OZC68" s="15"/>
      <c r="OZD68" s="15"/>
      <c r="OZE68" s="15"/>
      <c r="OZF68" s="15"/>
      <c r="OZG68" s="15"/>
      <c r="OZH68" s="15"/>
      <c r="OZI68" s="15"/>
      <c r="OZJ68" s="15"/>
      <c r="OZK68" s="15"/>
      <c r="OZL68" s="15"/>
      <c r="OZM68" s="15"/>
      <c r="OZN68" s="15"/>
      <c r="OZO68" s="15"/>
      <c r="OZP68" s="15"/>
      <c r="OZQ68" s="15"/>
      <c r="OZR68" s="15"/>
      <c r="OZS68" s="15"/>
      <c r="OZT68" s="15"/>
      <c r="OZU68" s="15"/>
      <c r="OZV68" s="15"/>
      <c r="OZW68" s="15"/>
      <c r="OZX68" s="15"/>
      <c r="OZY68" s="15"/>
      <c r="OZZ68" s="15"/>
      <c r="PAA68" s="15"/>
      <c r="PAB68" s="15"/>
      <c r="PAC68" s="15"/>
      <c r="PAD68" s="15"/>
      <c r="PAE68" s="15"/>
      <c r="PAF68" s="15"/>
      <c r="PAG68" s="15"/>
      <c r="PAH68" s="15"/>
      <c r="PAI68" s="15"/>
      <c r="PAJ68" s="15"/>
      <c r="PAK68" s="15"/>
      <c r="PAL68" s="15"/>
      <c r="PAM68" s="15"/>
      <c r="PAN68" s="15"/>
      <c r="PAO68" s="15"/>
      <c r="PAP68" s="15"/>
      <c r="PAQ68" s="15"/>
      <c r="PAR68" s="15"/>
      <c r="PAS68" s="15"/>
      <c r="PAT68" s="15"/>
      <c r="PAU68" s="15"/>
      <c r="PAV68" s="15"/>
      <c r="PAW68" s="15"/>
      <c r="PAX68" s="15"/>
      <c r="PAY68" s="15"/>
      <c r="PAZ68" s="15"/>
      <c r="PBA68" s="15"/>
      <c r="PBB68" s="15"/>
      <c r="PBC68" s="15"/>
      <c r="PBD68" s="15"/>
      <c r="PBE68" s="15"/>
      <c r="PBF68" s="15"/>
      <c r="PBG68" s="15"/>
      <c r="PBH68" s="15"/>
      <c r="PBI68" s="15"/>
      <c r="PBJ68" s="15"/>
      <c r="PBK68" s="15"/>
      <c r="PBL68" s="15"/>
      <c r="PBM68" s="15"/>
      <c r="PBN68" s="15"/>
      <c r="PBO68" s="15"/>
      <c r="PBP68" s="15"/>
      <c r="PBQ68" s="15"/>
      <c r="PBR68" s="15"/>
      <c r="PBS68" s="15"/>
      <c r="PBT68" s="15"/>
      <c r="PBU68" s="15"/>
      <c r="PBV68" s="15"/>
      <c r="PBW68" s="15"/>
      <c r="PBX68" s="15"/>
      <c r="PBY68" s="15"/>
      <c r="PBZ68" s="15"/>
      <c r="PCA68" s="15"/>
      <c r="PCB68" s="15"/>
      <c r="PCC68" s="15"/>
      <c r="PCD68" s="15"/>
      <c r="PCE68" s="15"/>
      <c r="PCF68" s="15"/>
      <c r="PCG68" s="15"/>
      <c r="PCH68" s="15"/>
      <c r="PCI68" s="15"/>
      <c r="PCJ68" s="15"/>
      <c r="PCK68" s="15"/>
      <c r="PCL68" s="15"/>
      <c r="PCM68" s="15"/>
      <c r="PCN68" s="15"/>
      <c r="PCO68" s="15"/>
      <c r="PCP68" s="15"/>
      <c r="PCQ68" s="15"/>
      <c r="PCR68" s="15"/>
      <c r="PCS68" s="15"/>
      <c r="PCT68" s="15"/>
      <c r="PCU68" s="15"/>
      <c r="PCV68" s="15"/>
      <c r="PCW68" s="15"/>
      <c r="PCX68" s="15"/>
      <c r="PCY68" s="15"/>
      <c r="PCZ68" s="15"/>
      <c r="PDA68" s="15"/>
      <c r="PDB68" s="15"/>
      <c r="PDC68" s="15"/>
      <c r="PDD68" s="15"/>
      <c r="PDE68" s="15"/>
      <c r="PDF68" s="15"/>
      <c r="PDG68" s="15"/>
      <c r="PDH68" s="15"/>
      <c r="PDI68" s="15"/>
      <c r="PDJ68" s="15"/>
      <c r="PDK68" s="15"/>
      <c r="PDL68" s="15"/>
      <c r="PDM68" s="15"/>
      <c r="PDN68" s="15"/>
      <c r="PDO68" s="15"/>
      <c r="PDP68" s="15"/>
      <c r="PDQ68" s="15"/>
      <c r="PDR68" s="15"/>
      <c r="PDS68" s="15"/>
      <c r="PDT68" s="15"/>
      <c r="PDU68" s="15"/>
      <c r="PDV68" s="15"/>
      <c r="PDW68" s="15"/>
      <c r="PDX68" s="15"/>
      <c r="PDY68" s="15"/>
      <c r="PDZ68" s="15"/>
      <c r="PEA68" s="15"/>
      <c r="PEB68" s="15"/>
      <c r="PEC68" s="15"/>
      <c r="PED68" s="15"/>
      <c r="PEE68" s="15"/>
      <c r="PEF68" s="15"/>
      <c r="PEG68" s="15"/>
      <c r="PEH68" s="15"/>
      <c r="PEI68" s="15"/>
      <c r="PEJ68" s="15"/>
      <c r="PEK68" s="15"/>
      <c r="PEL68" s="15"/>
      <c r="PEM68" s="15"/>
      <c r="PEN68" s="15"/>
      <c r="PEO68" s="15"/>
      <c r="PEP68" s="15"/>
      <c r="PEQ68" s="15"/>
      <c r="PER68" s="15"/>
      <c r="PES68" s="15"/>
      <c r="PET68" s="15"/>
      <c r="PEU68" s="15"/>
      <c r="PEV68" s="15"/>
      <c r="PEW68" s="15"/>
      <c r="PEX68" s="15"/>
      <c r="PEY68" s="15"/>
      <c r="PEZ68" s="15"/>
      <c r="PFA68" s="15"/>
      <c r="PFB68" s="15"/>
      <c r="PFC68" s="15"/>
      <c r="PFD68" s="15"/>
      <c r="PFE68" s="15"/>
      <c r="PFF68" s="15"/>
      <c r="PFG68" s="15"/>
      <c r="PFH68" s="15"/>
      <c r="PFI68" s="15"/>
      <c r="PFJ68" s="15"/>
      <c r="PFK68" s="15"/>
      <c r="PFL68" s="15"/>
      <c r="PFM68" s="15"/>
      <c r="PFN68" s="15"/>
      <c r="PFO68" s="15"/>
      <c r="PFP68" s="15"/>
      <c r="PFQ68" s="15"/>
      <c r="PFR68" s="15"/>
      <c r="PFS68" s="15"/>
      <c r="PFT68" s="15"/>
      <c r="PFU68" s="15"/>
      <c r="PFV68" s="15"/>
      <c r="PFW68" s="15"/>
      <c r="PFX68" s="15"/>
      <c r="PFY68" s="15"/>
      <c r="PFZ68" s="15"/>
      <c r="PGA68" s="15"/>
      <c r="PGB68" s="15"/>
      <c r="PGC68" s="15"/>
      <c r="PGD68" s="15"/>
      <c r="PGE68" s="15"/>
      <c r="PGF68" s="15"/>
      <c r="PGG68" s="15"/>
      <c r="PGH68" s="15"/>
      <c r="PGI68" s="15"/>
      <c r="PGJ68" s="15"/>
      <c r="PGK68" s="15"/>
      <c r="PGL68" s="15"/>
      <c r="PGM68" s="15"/>
      <c r="PGN68" s="15"/>
      <c r="PGO68" s="15"/>
      <c r="PGP68" s="15"/>
      <c r="PGQ68" s="15"/>
      <c r="PGR68" s="15"/>
      <c r="PGS68" s="15"/>
      <c r="PGT68" s="15"/>
      <c r="PGU68" s="15"/>
      <c r="PGV68" s="15"/>
      <c r="PGW68" s="15"/>
      <c r="PGX68" s="15"/>
      <c r="PGY68" s="15"/>
      <c r="PGZ68" s="15"/>
      <c r="PHA68" s="15"/>
      <c r="PHB68" s="15"/>
      <c r="PHC68" s="15"/>
      <c r="PHD68" s="15"/>
      <c r="PHE68" s="15"/>
      <c r="PHF68" s="15"/>
      <c r="PHG68" s="15"/>
      <c r="PHH68" s="15"/>
      <c r="PHI68" s="15"/>
      <c r="PHJ68" s="15"/>
      <c r="PHK68" s="15"/>
      <c r="PHL68" s="15"/>
      <c r="PHM68" s="15"/>
      <c r="PHN68" s="15"/>
      <c r="PHO68" s="15"/>
      <c r="PHP68" s="15"/>
      <c r="PHQ68" s="15"/>
      <c r="PHR68" s="15"/>
      <c r="PHS68" s="15"/>
      <c r="PHT68" s="15"/>
      <c r="PHU68" s="15"/>
      <c r="PHV68" s="15"/>
      <c r="PHW68" s="15"/>
      <c r="PHX68" s="15"/>
      <c r="PHY68" s="15"/>
      <c r="PHZ68" s="15"/>
      <c r="PIA68" s="15"/>
      <c r="PIB68" s="15"/>
      <c r="PIC68" s="15"/>
      <c r="PID68" s="15"/>
      <c r="PIE68" s="15"/>
      <c r="PIF68" s="15"/>
      <c r="PIG68" s="15"/>
      <c r="PIH68" s="15"/>
      <c r="PII68" s="15"/>
      <c r="PIJ68" s="15"/>
      <c r="PIK68" s="15"/>
      <c r="PIL68" s="15"/>
      <c r="PIM68" s="15"/>
      <c r="PIN68" s="15"/>
      <c r="PIO68" s="15"/>
      <c r="PIP68" s="15"/>
      <c r="PIQ68" s="15"/>
      <c r="PIR68" s="15"/>
      <c r="PIS68" s="15"/>
      <c r="PIT68" s="15"/>
      <c r="PIU68" s="15"/>
      <c r="PIV68" s="15"/>
      <c r="PIW68" s="15"/>
      <c r="PIX68" s="15"/>
      <c r="PIY68" s="15"/>
      <c r="PIZ68" s="15"/>
      <c r="PJA68" s="15"/>
      <c r="PJB68" s="15"/>
      <c r="PJC68" s="15"/>
      <c r="PJD68" s="15"/>
      <c r="PJE68" s="15"/>
      <c r="PJF68" s="15"/>
      <c r="PJG68" s="15"/>
      <c r="PJH68" s="15"/>
      <c r="PJI68" s="15"/>
      <c r="PJJ68" s="15"/>
      <c r="PJK68" s="15"/>
      <c r="PJL68" s="15"/>
      <c r="PJM68" s="15"/>
      <c r="PJN68" s="15"/>
      <c r="PJO68" s="15"/>
      <c r="PJP68" s="15"/>
      <c r="PJQ68" s="15"/>
      <c r="PJR68" s="15"/>
      <c r="PJS68" s="15"/>
      <c r="PJT68" s="15"/>
      <c r="PJU68" s="15"/>
      <c r="PJV68" s="15"/>
      <c r="PJW68" s="15"/>
      <c r="PJX68" s="15"/>
      <c r="PJY68" s="15"/>
      <c r="PJZ68" s="15"/>
      <c r="PKA68" s="15"/>
      <c r="PKB68" s="15"/>
      <c r="PKC68" s="15"/>
      <c r="PKD68" s="15"/>
      <c r="PKE68" s="15"/>
      <c r="PKF68" s="15"/>
      <c r="PKG68" s="15"/>
      <c r="PKH68" s="15"/>
      <c r="PKI68" s="15"/>
      <c r="PKJ68" s="15"/>
      <c r="PKK68" s="15"/>
      <c r="PKL68" s="15"/>
      <c r="PKM68" s="15"/>
      <c r="PKN68" s="15"/>
      <c r="PKO68" s="15"/>
      <c r="PKP68" s="15"/>
      <c r="PKQ68" s="15"/>
      <c r="PKR68" s="15"/>
      <c r="PKS68" s="15"/>
      <c r="PKT68" s="15"/>
      <c r="PKU68" s="15"/>
      <c r="PKV68" s="15"/>
      <c r="PKW68" s="15"/>
      <c r="PKX68" s="15"/>
      <c r="PKY68" s="15"/>
      <c r="PKZ68" s="15"/>
      <c r="PLA68" s="15"/>
      <c r="PLB68" s="15"/>
      <c r="PLC68" s="15"/>
      <c r="PLD68" s="15"/>
      <c r="PLE68" s="15"/>
      <c r="PLF68" s="15"/>
      <c r="PLG68" s="15"/>
      <c r="PLH68" s="15"/>
      <c r="PLI68" s="15"/>
      <c r="PLJ68" s="15"/>
      <c r="PLK68" s="15"/>
      <c r="PLL68" s="15"/>
      <c r="PLM68" s="15"/>
      <c r="PLN68" s="15"/>
      <c r="PLO68" s="15"/>
      <c r="PLP68" s="15"/>
      <c r="PLQ68" s="15"/>
      <c r="PLR68" s="15"/>
      <c r="PLS68" s="15"/>
      <c r="PLT68" s="15"/>
      <c r="PLU68" s="15"/>
      <c r="PLV68" s="15"/>
      <c r="PLW68" s="15"/>
      <c r="PLX68" s="15"/>
      <c r="PLY68" s="15"/>
      <c r="PLZ68" s="15"/>
      <c r="PMA68" s="15"/>
      <c r="PMB68" s="15"/>
      <c r="PMC68" s="15"/>
      <c r="PMD68" s="15"/>
      <c r="PME68" s="15"/>
      <c r="PMF68" s="15"/>
      <c r="PMG68" s="15"/>
      <c r="PMH68" s="15"/>
      <c r="PMI68" s="15"/>
      <c r="PMJ68" s="15"/>
      <c r="PMK68" s="15"/>
      <c r="PML68" s="15"/>
      <c r="PMM68" s="15"/>
      <c r="PMN68" s="15"/>
      <c r="PMO68" s="15"/>
      <c r="PMP68" s="15"/>
      <c r="PMQ68" s="15"/>
      <c r="PMR68" s="15"/>
      <c r="PMS68" s="15"/>
      <c r="PMT68" s="15"/>
      <c r="PMU68" s="15"/>
      <c r="PMV68" s="15"/>
      <c r="PMW68" s="15"/>
      <c r="PMX68" s="15"/>
      <c r="PMY68" s="15"/>
      <c r="PMZ68" s="15"/>
      <c r="PNA68" s="15"/>
      <c r="PNB68" s="15"/>
      <c r="PNC68" s="15"/>
      <c r="PND68" s="15"/>
      <c r="PNE68" s="15"/>
      <c r="PNF68" s="15"/>
      <c r="PNG68" s="15"/>
      <c r="PNH68" s="15"/>
      <c r="PNI68" s="15"/>
      <c r="PNJ68" s="15"/>
      <c r="PNK68" s="15"/>
      <c r="PNL68" s="15"/>
      <c r="PNM68" s="15"/>
      <c r="PNN68" s="15"/>
      <c r="PNO68" s="15"/>
      <c r="PNP68" s="15"/>
      <c r="PNQ68" s="15"/>
      <c r="PNR68" s="15"/>
      <c r="PNS68" s="15"/>
      <c r="PNT68" s="15"/>
      <c r="PNU68" s="15"/>
      <c r="PNV68" s="15"/>
      <c r="PNW68" s="15"/>
      <c r="PNX68" s="15"/>
      <c r="PNY68" s="15"/>
      <c r="PNZ68" s="15"/>
      <c r="POA68" s="15"/>
      <c r="POB68" s="15"/>
      <c r="POC68" s="15"/>
      <c r="POD68" s="15"/>
      <c r="POE68" s="15"/>
      <c r="POF68" s="15"/>
      <c r="POG68" s="15"/>
      <c r="POH68" s="15"/>
      <c r="POI68" s="15"/>
      <c r="POJ68" s="15"/>
      <c r="POK68" s="15"/>
      <c r="POL68" s="15"/>
      <c r="POM68" s="15"/>
      <c r="PON68" s="15"/>
      <c r="POO68" s="15"/>
      <c r="POP68" s="15"/>
      <c r="POQ68" s="15"/>
      <c r="POR68" s="15"/>
      <c r="POS68" s="15"/>
      <c r="POT68" s="15"/>
      <c r="POU68" s="15"/>
      <c r="POV68" s="15"/>
      <c r="POW68" s="15"/>
      <c r="POX68" s="15"/>
      <c r="POY68" s="15"/>
      <c r="POZ68" s="15"/>
      <c r="PPA68" s="15"/>
      <c r="PPB68" s="15"/>
      <c r="PPC68" s="15"/>
      <c r="PPD68" s="15"/>
      <c r="PPE68" s="15"/>
      <c r="PPF68" s="15"/>
      <c r="PPG68" s="15"/>
      <c r="PPH68" s="15"/>
      <c r="PPI68" s="15"/>
      <c r="PPJ68" s="15"/>
      <c r="PPK68" s="15"/>
      <c r="PPL68" s="15"/>
      <c r="PPM68" s="15"/>
      <c r="PPN68" s="15"/>
      <c r="PPO68" s="15"/>
      <c r="PPP68" s="15"/>
      <c r="PPQ68" s="15"/>
      <c r="PPR68" s="15"/>
      <c r="PPS68" s="15"/>
      <c r="PPT68" s="15"/>
      <c r="PPU68" s="15"/>
      <c r="PPV68" s="15"/>
      <c r="PPW68" s="15"/>
      <c r="PPX68" s="15"/>
      <c r="PPY68" s="15"/>
      <c r="PPZ68" s="15"/>
      <c r="PQA68" s="15"/>
      <c r="PQB68" s="15"/>
      <c r="PQC68" s="15"/>
      <c r="PQD68" s="15"/>
      <c r="PQE68" s="15"/>
      <c r="PQF68" s="15"/>
      <c r="PQG68" s="15"/>
      <c r="PQH68" s="15"/>
      <c r="PQI68" s="15"/>
      <c r="PQJ68" s="15"/>
      <c r="PQK68" s="15"/>
      <c r="PQL68" s="15"/>
      <c r="PQM68" s="15"/>
      <c r="PQN68" s="15"/>
      <c r="PQO68" s="15"/>
      <c r="PQP68" s="15"/>
      <c r="PQQ68" s="15"/>
      <c r="PQR68" s="15"/>
      <c r="PQS68" s="15"/>
      <c r="PQT68" s="15"/>
      <c r="PQU68" s="15"/>
      <c r="PQV68" s="15"/>
      <c r="PQW68" s="15"/>
      <c r="PQX68" s="15"/>
      <c r="PQY68" s="15"/>
      <c r="PQZ68" s="15"/>
      <c r="PRA68" s="15"/>
      <c r="PRB68" s="15"/>
      <c r="PRC68" s="15"/>
      <c r="PRD68" s="15"/>
      <c r="PRE68" s="15"/>
      <c r="PRF68" s="15"/>
      <c r="PRG68" s="15"/>
      <c r="PRH68" s="15"/>
      <c r="PRI68" s="15"/>
      <c r="PRJ68" s="15"/>
      <c r="PRK68" s="15"/>
      <c r="PRL68" s="15"/>
      <c r="PRM68" s="15"/>
      <c r="PRN68" s="15"/>
      <c r="PRO68" s="15"/>
      <c r="PRP68" s="15"/>
      <c r="PRQ68" s="15"/>
      <c r="PRR68" s="15"/>
      <c r="PRS68" s="15"/>
      <c r="PRT68" s="15"/>
      <c r="PRU68" s="15"/>
      <c r="PRV68" s="15"/>
      <c r="PRW68" s="15"/>
      <c r="PRX68" s="15"/>
      <c r="PRY68" s="15"/>
      <c r="PRZ68" s="15"/>
      <c r="PSA68" s="15"/>
      <c r="PSB68" s="15"/>
      <c r="PSC68" s="15"/>
      <c r="PSD68" s="15"/>
      <c r="PSE68" s="15"/>
      <c r="PSF68" s="15"/>
      <c r="PSG68" s="15"/>
      <c r="PSH68" s="15"/>
      <c r="PSI68" s="15"/>
      <c r="PSJ68" s="15"/>
      <c r="PSK68" s="15"/>
      <c r="PSL68" s="15"/>
      <c r="PSM68" s="15"/>
      <c r="PSN68" s="15"/>
      <c r="PSO68" s="15"/>
      <c r="PSP68" s="15"/>
      <c r="PSQ68" s="15"/>
      <c r="PSR68" s="15"/>
      <c r="PSS68" s="15"/>
      <c r="PST68" s="15"/>
      <c r="PSU68" s="15"/>
      <c r="PSV68" s="15"/>
      <c r="PSW68" s="15"/>
      <c r="PSX68" s="15"/>
      <c r="PSY68" s="15"/>
      <c r="PSZ68" s="15"/>
      <c r="PTA68" s="15"/>
      <c r="PTB68" s="15"/>
      <c r="PTC68" s="15"/>
      <c r="PTD68" s="15"/>
      <c r="PTE68" s="15"/>
      <c r="PTF68" s="15"/>
      <c r="PTG68" s="15"/>
      <c r="PTH68" s="15"/>
      <c r="PTI68" s="15"/>
      <c r="PTJ68" s="15"/>
      <c r="PTK68" s="15"/>
      <c r="PTL68" s="15"/>
      <c r="PTM68" s="15"/>
      <c r="PTN68" s="15"/>
      <c r="PTO68" s="15"/>
      <c r="PTP68" s="15"/>
      <c r="PTQ68" s="15"/>
      <c r="PTR68" s="15"/>
      <c r="PTS68" s="15"/>
      <c r="PTT68" s="15"/>
      <c r="PTU68" s="15"/>
      <c r="PTV68" s="15"/>
      <c r="PTW68" s="15"/>
      <c r="PTX68" s="15"/>
      <c r="PTY68" s="15"/>
      <c r="PTZ68" s="15"/>
      <c r="PUA68" s="15"/>
      <c r="PUB68" s="15"/>
      <c r="PUC68" s="15"/>
      <c r="PUD68" s="15"/>
      <c r="PUE68" s="15"/>
      <c r="PUF68" s="15"/>
      <c r="PUG68" s="15"/>
      <c r="PUH68" s="15"/>
      <c r="PUI68" s="15"/>
      <c r="PUJ68" s="15"/>
      <c r="PUK68" s="15"/>
      <c r="PUL68" s="15"/>
      <c r="PUM68" s="15"/>
      <c r="PUN68" s="15"/>
      <c r="PUO68" s="15"/>
      <c r="PUP68" s="15"/>
      <c r="PUQ68" s="15"/>
      <c r="PUR68" s="15"/>
      <c r="PUS68" s="15"/>
      <c r="PUT68" s="15"/>
      <c r="PUU68" s="15"/>
      <c r="PUV68" s="15"/>
      <c r="PUW68" s="15"/>
      <c r="PUX68" s="15"/>
      <c r="PUY68" s="15"/>
      <c r="PUZ68" s="15"/>
      <c r="PVA68" s="15"/>
      <c r="PVB68" s="15"/>
      <c r="PVC68" s="15"/>
      <c r="PVD68" s="15"/>
      <c r="PVE68" s="15"/>
      <c r="PVF68" s="15"/>
      <c r="PVG68" s="15"/>
      <c r="PVH68" s="15"/>
      <c r="PVI68" s="15"/>
      <c r="PVJ68" s="15"/>
      <c r="PVK68" s="15"/>
      <c r="PVL68" s="15"/>
      <c r="PVM68" s="15"/>
      <c r="PVN68" s="15"/>
      <c r="PVO68" s="15"/>
      <c r="PVP68" s="15"/>
      <c r="PVQ68" s="15"/>
      <c r="PVR68" s="15"/>
      <c r="PVS68" s="15"/>
      <c r="PVT68" s="15"/>
      <c r="PVU68" s="15"/>
      <c r="PVV68" s="15"/>
      <c r="PVW68" s="15"/>
      <c r="PVX68" s="15"/>
      <c r="PVY68" s="15"/>
      <c r="PVZ68" s="15"/>
      <c r="PWA68" s="15"/>
      <c r="PWB68" s="15"/>
      <c r="PWC68" s="15"/>
      <c r="PWD68" s="15"/>
      <c r="PWE68" s="15"/>
      <c r="PWF68" s="15"/>
      <c r="PWG68" s="15"/>
      <c r="PWH68" s="15"/>
      <c r="PWI68" s="15"/>
      <c r="PWJ68" s="15"/>
      <c r="PWK68" s="15"/>
      <c r="PWL68" s="15"/>
      <c r="PWM68" s="15"/>
      <c r="PWN68" s="15"/>
      <c r="PWO68" s="15"/>
      <c r="PWP68" s="15"/>
      <c r="PWQ68" s="15"/>
      <c r="PWR68" s="15"/>
      <c r="PWS68" s="15"/>
      <c r="PWT68" s="15"/>
      <c r="PWU68" s="15"/>
      <c r="PWV68" s="15"/>
      <c r="PWW68" s="15"/>
      <c r="PWX68" s="15"/>
      <c r="PWY68" s="15"/>
      <c r="PWZ68" s="15"/>
      <c r="PXA68" s="15"/>
      <c r="PXB68" s="15"/>
      <c r="PXC68" s="15"/>
      <c r="PXD68" s="15"/>
      <c r="PXE68" s="15"/>
      <c r="PXF68" s="15"/>
      <c r="PXG68" s="15"/>
      <c r="PXH68" s="15"/>
      <c r="PXI68" s="15"/>
      <c r="PXJ68" s="15"/>
      <c r="PXK68" s="15"/>
      <c r="PXL68" s="15"/>
      <c r="PXM68" s="15"/>
      <c r="PXN68" s="15"/>
      <c r="PXO68" s="15"/>
      <c r="PXP68" s="15"/>
      <c r="PXQ68" s="15"/>
      <c r="PXR68" s="15"/>
      <c r="PXS68" s="15"/>
      <c r="PXT68" s="15"/>
      <c r="PXU68" s="15"/>
      <c r="PXV68" s="15"/>
      <c r="PXW68" s="15"/>
      <c r="PXX68" s="15"/>
      <c r="PXY68" s="15"/>
      <c r="PXZ68" s="15"/>
      <c r="PYA68" s="15"/>
      <c r="PYB68" s="15"/>
      <c r="PYC68" s="15"/>
      <c r="PYD68" s="15"/>
      <c r="PYE68" s="15"/>
      <c r="PYF68" s="15"/>
      <c r="PYG68" s="15"/>
      <c r="PYH68" s="15"/>
      <c r="PYI68" s="15"/>
      <c r="PYJ68" s="15"/>
      <c r="PYK68" s="15"/>
      <c r="PYL68" s="15"/>
      <c r="PYM68" s="15"/>
      <c r="PYN68" s="15"/>
      <c r="PYO68" s="15"/>
      <c r="PYP68" s="15"/>
      <c r="PYQ68" s="15"/>
      <c r="PYR68" s="15"/>
      <c r="PYS68" s="15"/>
      <c r="PYT68" s="15"/>
      <c r="PYU68" s="15"/>
      <c r="PYV68" s="15"/>
      <c r="PYW68" s="15"/>
      <c r="PYX68" s="15"/>
      <c r="PYY68" s="15"/>
      <c r="PYZ68" s="15"/>
      <c r="PZA68" s="15"/>
      <c r="PZB68" s="15"/>
      <c r="PZC68" s="15"/>
      <c r="PZD68" s="15"/>
      <c r="PZE68" s="15"/>
      <c r="PZF68" s="15"/>
      <c r="PZG68" s="15"/>
      <c r="PZH68" s="15"/>
      <c r="PZI68" s="15"/>
      <c r="PZJ68" s="15"/>
      <c r="PZK68" s="15"/>
      <c r="PZL68" s="15"/>
      <c r="PZM68" s="15"/>
      <c r="PZN68" s="15"/>
      <c r="PZO68" s="15"/>
      <c r="PZP68" s="15"/>
      <c r="PZQ68" s="15"/>
      <c r="PZR68" s="15"/>
      <c r="PZS68" s="15"/>
      <c r="PZT68" s="15"/>
      <c r="PZU68" s="15"/>
      <c r="PZV68" s="15"/>
      <c r="PZW68" s="15"/>
      <c r="PZX68" s="15"/>
      <c r="PZY68" s="15"/>
      <c r="PZZ68" s="15"/>
      <c r="QAA68" s="15"/>
      <c r="QAB68" s="15"/>
      <c r="QAC68" s="15"/>
      <c r="QAD68" s="15"/>
      <c r="QAE68" s="15"/>
      <c r="QAF68" s="15"/>
      <c r="QAG68" s="15"/>
      <c r="QAH68" s="15"/>
      <c r="QAI68" s="15"/>
      <c r="QAJ68" s="15"/>
      <c r="QAK68" s="15"/>
      <c r="QAL68" s="15"/>
      <c r="QAM68" s="15"/>
      <c r="QAN68" s="15"/>
      <c r="QAO68" s="15"/>
      <c r="QAP68" s="15"/>
      <c r="QAQ68" s="15"/>
      <c r="QAR68" s="15"/>
      <c r="QAS68" s="15"/>
      <c r="QAT68" s="15"/>
      <c r="QAU68" s="15"/>
      <c r="QAV68" s="15"/>
      <c r="QAW68" s="15"/>
      <c r="QAX68" s="15"/>
      <c r="QAY68" s="15"/>
      <c r="QAZ68" s="15"/>
      <c r="QBA68" s="15"/>
      <c r="QBB68" s="15"/>
      <c r="QBC68" s="15"/>
      <c r="QBD68" s="15"/>
      <c r="QBE68" s="15"/>
      <c r="QBF68" s="15"/>
      <c r="QBG68" s="15"/>
      <c r="QBH68" s="15"/>
      <c r="QBI68" s="15"/>
      <c r="QBJ68" s="15"/>
      <c r="QBK68" s="15"/>
      <c r="QBL68" s="15"/>
      <c r="QBM68" s="15"/>
      <c r="QBN68" s="15"/>
      <c r="QBO68" s="15"/>
      <c r="QBP68" s="15"/>
      <c r="QBQ68" s="15"/>
      <c r="QBR68" s="15"/>
      <c r="QBS68" s="15"/>
      <c r="QBT68" s="15"/>
      <c r="QBU68" s="15"/>
      <c r="QBV68" s="15"/>
      <c r="QBW68" s="15"/>
      <c r="QBX68" s="15"/>
      <c r="QBY68" s="15"/>
      <c r="QBZ68" s="15"/>
      <c r="QCA68" s="15"/>
      <c r="QCB68" s="15"/>
      <c r="QCC68" s="15"/>
      <c r="QCD68" s="15"/>
      <c r="QCE68" s="15"/>
      <c r="QCF68" s="15"/>
      <c r="QCG68" s="15"/>
      <c r="QCH68" s="15"/>
      <c r="QCI68" s="15"/>
      <c r="QCJ68" s="15"/>
      <c r="QCK68" s="15"/>
      <c r="QCL68" s="15"/>
      <c r="QCM68" s="15"/>
      <c r="QCN68" s="15"/>
      <c r="QCO68" s="15"/>
      <c r="QCP68" s="15"/>
      <c r="QCQ68" s="15"/>
      <c r="QCR68" s="15"/>
      <c r="QCS68" s="15"/>
      <c r="QCT68" s="15"/>
      <c r="QCU68" s="15"/>
      <c r="QCV68" s="15"/>
      <c r="QCW68" s="15"/>
      <c r="QCX68" s="15"/>
      <c r="QCY68" s="15"/>
      <c r="QCZ68" s="15"/>
      <c r="QDA68" s="15"/>
      <c r="QDB68" s="15"/>
      <c r="QDC68" s="15"/>
      <c r="QDD68" s="15"/>
      <c r="QDE68" s="15"/>
      <c r="QDF68" s="15"/>
      <c r="QDG68" s="15"/>
      <c r="QDH68" s="15"/>
      <c r="QDI68" s="15"/>
      <c r="QDJ68" s="15"/>
      <c r="QDK68" s="15"/>
      <c r="QDL68" s="15"/>
      <c r="QDM68" s="15"/>
      <c r="QDN68" s="15"/>
      <c r="QDO68" s="15"/>
      <c r="QDP68" s="15"/>
      <c r="QDQ68" s="15"/>
      <c r="QDR68" s="15"/>
      <c r="QDS68" s="15"/>
      <c r="QDT68" s="15"/>
      <c r="QDU68" s="15"/>
      <c r="QDV68" s="15"/>
      <c r="QDW68" s="15"/>
      <c r="QDX68" s="15"/>
      <c r="QDY68" s="15"/>
      <c r="QDZ68" s="15"/>
      <c r="QEA68" s="15"/>
      <c r="QEB68" s="15"/>
      <c r="QEC68" s="15"/>
      <c r="QED68" s="15"/>
      <c r="QEE68" s="15"/>
      <c r="QEF68" s="15"/>
      <c r="QEG68" s="15"/>
      <c r="QEH68" s="15"/>
      <c r="QEI68" s="15"/>
      <c r="QEJ68" s="15"/>
      <c r="QEK68" s="15"/>
      <c r="QEL68" s="15"/>
      <c r="QEM68" s="15"/>
      <c r="QEN68" s="15"/>
      <c r="QEO68" s="15"/>
      <c r="QEP68" s="15"/>
      <c r="QEQ68" s="15"/>
      <c r="QER68" s="15"/>
      <c r="QES68" s="15"/>
      <c r="QET68" s="15"/>
      <c r="QEU68" s="15"/>
      <c r="QEV68" s="15"/>
      <c r="QEW68" s="15"/>
      <c r="QEX68" s="15"/>
      <c r="QEY68" s="15"/>
      <c r="QEZ68" s="15"/>
      <c r="QFA68" s="15"/>
      <c r="QFB68" s="15"/>
      <c r="QFC68" s="15"/>
      <c r="QFD68" s="15"/>
      <c r="QFE68" s="15"/>
      <c r="QFF68" s="15"/>
      <c r="QFG68" s="15"/>
      <c r="QFH68" s="15"/>
      <c r="QFI68" s="15"/>
      <c r="QFJ68" s="15"/>
      <c r="QFK68" s="15"/>
      <c r="QFL68" s="15"/>
      <c r="QFM68" s="15"/>
      <c r="QFN68" s="15"/>
      <c r="QFO68" s="15"/>
      <c r="QFP68" s="15"/>
      <c r="QFQ68" s="15"/>
      <c r="QFR68" s="15"/>
      <c r="QFS68" s="15"/>
      <c r="QFT68" s="15"/>
      <c r="QFU68" s="15"/>
      <c r="QFV68" s="15"/>
      <c r="QFW68" s="15"/>
      <c r="QFX68" s="15"/>
      <c r="QFY68" s="15"/>
      <c r="QFZ68" s="15"/>
      <c r="QGA68" s="15"/>
      <c r="QGB68" s="15"/>
      <c r="QGC68" s="15"/>
      <c r="QGD68" s="15"/>
      <c r="QGE68" s="15"/>
      <c r="QGF68" s="15"/>
      <c r="QGG68" s="15"/>
      <c r="QGH68" s="15"/>
      <c r="QGI68" s="15"/>
      <c r="QGJ68" s="15"/>
      <c r="QGK68" s="15"/>
      <c r="QGL68" s="15"/>
      <c r="QGM68" s="15"/>
      <c r="QGN68" s="15"/>
      <c r="QGO68" s="15"/>
      <c r="QGP68" s="15"/>
      <c r="QGQ68" s="15"/>
      <c r="QGR68" s="15"/>
      <c r="QGS68" s="15"/>
      <c r="QGT68" s="15"/>
      <c r="QGU68" s="15"/>
      <c r="QGV68" s="15"/>
      <c r="QGW68" s="15"/>
      <c r="QGX68" s="15"/>
      <c r="QGY68" s="15"/>
      <c r="QGZ68" s="15"/>
      <c r="QHA68" s="15"/>
      <c r="QHB68" s="15"/>
      <c r="QHC68" s="15"/>
      <c r="QHD68" s="15"/>
      <c r="QHE68" s="15"/>
      <c r="QHF68" s="15"/>
      <c r="QHG68" s="15"/>
      <c r="QHH68" s="15"/>
      <c r="QHI68" s="15"/>
      <c r="QHJ68" s="15"/>
      <c r="QHK68" s="15"/>
      <c r="QHL68" s="15"/>
      <c r="QHM68" s="15"/>
      <c r="QHN68" s="15"/>
      <c r="QHO68" s="15"/>
      <c r="QHP68" s="15"/>
      <c r="QHQ68" s="15"/>
      <c r="QHR68" s="15"/>
      <c r="QHS68" s="15"/>
      <c r="QHT68" s="15"/>
      <c r="QHU68" s="15"/>
      <c r="QHV68" s="15"/>
      <c r="QHW68" s="15"/>
      <c r="QHX68" s="15"/>
      <c r="QHY68" s="15"/>
      <c r="QHZ68" s="15"/>
      <c r="QIA68" s="15"/>
      <c r="QIB68" s="15"/>
      <c r="QIC68" s="15"/>
      <c r="QID68" s="15"/>
      <c r="QIE68" s="15"/>
      <c r="QIF68" s="15"/>
      <c r="QIG68" s="15"/>
      <c r="QIH68" s="15"/>
      <c r="QII68" s="15"/>
      <c r="QIJ68" s="15"/>
      <c r="QIK68" s="15"/>
      <c r="QIL68" s="15"/>
      <c r="QIM68" s="15"/>
      <c r="QIN68" s="15"/>
      <c r="QIO68" s="15"/>
      <c r="QIP68" s="15"/>
      <c r="QIQ68" s="15"/>
      <c r="QIR68" s="15"/>
      <c r="QIS68" s="15"/>
      <c r="QIT68" s="15"/>
      <c r="QIU68" s="15"/>
      <c r="QIV68" s="15"/>
      <c r="QIW68" s="15"/>
      <c r="QIX68" s="15"/>
      <c r="QIY68" s="15"/>
      <c r="QIZ68" s="15"/>
      <c r="QJA68" s="15"/>
      <c r="QJB68" s="15"/>
      <c r="QJC68" s="15"/>
      <c r="QJD68" s="15"/>
      <c r="QJE68" s="15"/>
      <c r="QJF68" s="15"/>
      <c r="QJG68" s="15"/>
      <c r="QJH68" s="15"/>
      <c r="QJI68" s="15"/>
      <c r="QJJ68" s="15"/>
      <c r="QJK68" s="15"/>
      <c r="QJL68" s="15"/>
      <c r="QJM68" s="15"/>
      <c r="QJN68" s="15"/>
      <c r="QJO68" s="15"/>
      <c r="QJP68" s="15"/>
      <c r="QJQ68" s="15"/>
      <c r="QJR68" s="15"/>
      <c r="QJS68" s="15"/>
      <c r="QJT68" s="15"/>
      <c r="QJU68" s="15"/>
      <c r="QJV68" s="15"/>
      <c r="QJW68" s="15"/>
      <c r="QJX68" s="15"/>
      <c r="QJY68" s="15"/>
      <c r="QJZ68" s="15"/>
      <c r="QKA68" s="15"/>
      <c r="QKB68" s="15"/>
      <c r="QKC68" s="15"/>
      <c r="QKD68" s="15"/>
      <c r="QKE68" s="15"/>
      <c r="QKF68" s="15"/>
      <c r="QKG68" s="15"/>
      <c r="QKH68" s="15"/>
      <c r="QKI68" s="15"/>
      <c r="QKJ68" s="15"/>
      <c r="QKK68" s="15"/>
      <c r="QKL68" s="15"/>
      <c r="QKM68" s="15"/>
      <c r="QKN68" s="15"/>
      <c r="QKO68" s="15"/>
      <c r="QKP68" s="15"/>
      <c r="QKQ68" s="15"/>
      <c r="QKR68" s="15"/>
      <c r="QKS68" s="15"/>
      <c r="QKT68" s="15"/>
      <c r="QKU68" s="15"/>
      <c r="QKV68" s="15"/>
      <c r="QKW68" s="15"/>
      <c r="QKX68" s="15"/>
      <c r="QKY68" s="15"/>
      <c r="QKZ68" s="15"/>
      <c r="QLA68" s="15"/>
      <c r="QLB68" s="15"/>
      <c r="QLC68" s="15"/>
      <c r="QLD68" s="15"/>
      <c r="QLE68" s="15"/>
      <c r="QLF68" s="15"/>
      <c r="QLG68" s="15"/>
      <c r="QLH68" s="15"/>
      <c r="QLI68" s="15"/>
      <c r="QLJ68" s="15"/>
      <c r="QLK68" s="15"/>
      <c r="QLL68" s="15"/>
      <c r="QLM68" s="15"/>
      <c r="QLN68" s="15"/>
      <c r="QLO68" s="15"/>
      <c r="QLP68" s="15"/>
      <c r="QLQ68" s="15"/>
      <c r="QLR68" s="15"/>
      <c r="QLS68" s="15"/>
      <c r="QLT68" s="15"/>
      <c r="QLU68" s="15"/>
      <c r="QLV68" s="15"/>
      <c r="QLW68" s="15"/>
      <c r="QLX68" s="15"/>
      <c r="QLY68" s="15"/>
      <c r="QLZ68" s="15"/>
      <c r="QMA68" s="15"/>
      <c r="QMB68" s="15"/>
      <c r="QMC68" s="15"/>
      <c r="QMD68" s="15"/>
      <c r="QME68" s="15"/>
      <c r="QMF68" s="15"/>
      <c r="QMG68" s="15"/>
      <c r="QMH68" s="15"/>
      <c r="QMI68" s="15"/>
      <c r="QMJ68" s="15"/>
      <c r="QMK68" s="15"/>
      <c r="QML68" s="15"/>
      <c r="QMM68" s="15"/>
      <c r="QMN68" s="15"/>
      <c r="QMO68" s="15"/>
      <c r="QMP68" s="15"/>
      <c r="QMQ68" s="15"/>
      <c r="QMR68" s="15"/>
      <c r="QMS68" s="15"/>
      <c r="QMT68" s="15"/>
      <c r="QMU68" s="15"/>
      <c r="QMV68" s="15"/>
      <c r="QMW68" s="15"/>
      <c r="QMX68" s="15"/>
      <c r="QMY68" s="15"/>
      <c r="QMZ68" s="15"/>
      <c r="QNA68" s="15"/>
      <c r="QNB68" s="15"/>
      <c r="QNC68" s="15"/>
      <c r="QND68" s="15"/>
      <c r="QNE68" s="15"/>
      <c r="QNF68" s="15"/>
      <c r="QNG68" s="15"/>
      <c r="QNH68" s="15"/>
      <c r="QNI68" s="15"/>
      <c r="QNJ68" s="15"/>
      <c r="QNK68" s="15"/>
      <c r="QNL68" s="15"/>
      <c r="QNM68" s="15"/>
      <c r="QNN68" s="15"/>
      <c r="QNO68" s="15"/>
      <c r="QNP68" s="15"/>
      <c r="QNQ68" s="15"/>
      <c r="QNR68" s="15"/>
      <c r="QNS68" s="15"/>
      <c r="QNT68" s="15"/>
      <c r="QNU68" s="15"/>
      <c r="QNV68" s="15"/>
      <c r="QNW68" s="15"/>
      <c r="QNX68" s="15"/>
      <c r="QNY68" s="15"/>
      <c r="QNZ68" s="15"/>
      <c r="QOA68" s="15"/>
      <c r="QOB68" s="15"/>
      <c r="QOC68" s="15"/>
      <c r="QOD68" s="15"/>
      <c r="QOE68" s="15"/>
      <c r="QOF68" s="15"/>
      <c r="QOG68" s="15"/>
      <c r="QOH68" s="15"/>
      <c r="QOI68" s="15"/>
      <c r="QOJ68" s="15"/>
      <c r="QOK68" s="15"/>
      <c r="QOL68" s="15"/>
      <c r="QOM68" s="15"/>
      <c r="QON68" s="15"/>
      <c r="QOO68" s="15"/>
      <c r="QOP68" s="15"/>
      <c r="QOQ68" s="15"/>
      <c r="QOR68" s="15"/>
      <c r="QOS68" s="15"/>
      <c r="QOT68" s="15"/>
      <c r="QOU68" s="15"/>
      <c r="QOV68" s="15"/>
      <c r="QOW68" s="15"/>
      <c r="QOX68" s="15"/>
      <c r="QOY68" s="15"/>
      <c r="QOZ68" s="15"/>
      <c r="QPA68" s="15"/>
      <c r="QPB68" s="15"/>
      <c r="QPC68" s="15"/>
      <c r="QPD68" s="15"/>
      <c r="QPE68" s="15"/>
      <c r="QPF68" s="15"/>
      <c r="QPG68" s="15"/>
      <c r="QPH68" s="15"/>
      <c r="QPI68" s="15"/>
      <c r="QPJ68" s="15"/>
      <c r="QPK68" s="15"/>
      <c r="QPL68" s="15"/>
      <c r="QPM68" s="15"/>
      <c r="QPN68" s="15"/>
      <c r="QPO68" s="15"/>
      <c r="QPP68" s="15"/>
      <c r="QPQ68" s="15"/>
      <c r="QPR68" s="15"/>
      <c r="QPS68" s="15"/>
      <c r="QPT68" s="15"/>
      <c r="QPU68" s="15"/>
      <c r="QPV68" s="15"/>
      <c r="QPW68" s="15"/>
      <c r="QPX68" s="15"/>
      <c r="QPY68" s="15"/>
      <c r="QPZ68" s="15"/>
      <c r="QQA68" s="15"/>
      <c r="QQB68" s="15"/>
      <c r="QQC68" s="15"/>
      <c r="QQD68" s="15"/>
      <c r="QQE68" s="15"/>
      <c r="QQF68" s="15"/>
      <c r="QQG68" s="15"/>
      <c r="QQH68" s="15"/>
      <c r="QQI68" s="15"/>
      <c r="QQJ68" s="15"/>
      <c r="QQK68" s="15"/>
      <c r="QQL68" s="15"/>
      <c r="QQM68" s="15"/>
      <c r="QQN68" s="15"/>
      <c r="QQO68" s="15"/>
      <c r="QQP68" s="15"/>
      <c r="QQQ68" s="15"/>
      <c r="QQR68" s="15"/>
      <c r="QQS68" s="15"/>
      <c r="QQT68" s="15"/>
      <c r="QQU68" s="15"/>
      <c r="QQV68" s="15"/>
      <c r="QQW68" s="15"/>
      <c r="QQX68" s="15"/>
      <c r="QQY68" s="15"/>
      <c r="QQZ68" s="15"/>
      <c r="QRA68" s="15"/>
      <c r="QRB68" s="15"/>
      <c r="QRC68" s="15"/>
      <c r="QRD68" s="15"/>
      <c r="QRE68" s="15"/>
      <c r="QRF68" s="15"/>
      <c r="QRG68" s="15"/>
      <c r="QRH68" s="15"/>
      <c r="QRI68" s="15"/>
      <c r="QRJ68" s="15"/>
      <c r="QRK68" s="15"/>
      <c r="QRL68" s="15"/>
      <c r="QRM68" s="15"/>
      <c r="QRN68" s="15"/>
      <c r="QRO68" s="15"/>
      <c r="QRP68" s="15"/>
      <c r="QRQ68" s="15"/>
      <c r="QRR68" s="15"/>
      <c r="QRS68" s="15"/>
      <c r="QRT68" s="15"/>
      <c r="QRU68" s="15"/>
      <c r="QRV68" s="15"/>
      <c r="QRW68" s="15"/>
      <c r="QRX68" s="15"/>
      <c r="QRY68" s="15"/>
      <c r="QRZ68" s="15"/>
      <c r="QSA68" s="15"/>
      <c r="QSB68" s="15"/>
      <c r="QSC68" s="15"/>
      <c r="QSD68" s="15"/>
      <c r="QSE68" s="15"/>
      <c r="QSF68" s="15"/>
      <c r="QSG68" s="15"/>
      <c r="QSH68" s="15"/>
      <c r="QSI68" s="15"/>
      <c r="QSJ68" s="15"/>
      <c r="QSK68" s="15"/>
      <c r="QSL68" s="15"/>
      <c r="QSM68" s="15"/>
      <c r="QSN68" s="15"/>
      <c r="QSO68" s="15"/>
      <c r="QSP68" s="15"/>
      <c r="QSQ68" s="15"/>
      <c r="QSR68" s="15"/>
      <c r="QSS68" s="15"/>
      <c r="QST68" s="15"/>
      <c r="QSU68" s="15"/>
      <c r="QSV68" s="15"/>
      <c r="QSW68" s="15"/>
      <c r="QSX68" s="15"/>
      <c r="QSY68" s="15"/>
      <c r="QSZ68" s="15"/>
      <c r="QTA68" s="15"/>
      <c r="QTB68" s="15"/>
      <c r="QTC68" s="15"/>
      <c r="QTD68" s="15"/>
      <c r="QTE68" s="15"/>
      <c r="QTF68" s="15"/>
      <c r="QTG68" s="15"/>
      <c r="QTH68" s="15"/>
      <c r="QTI68" s="15"/>
      <c r="QTJ68" s="15"/>
      <c r="QTK68" s="15"/>
      <c r="QTL68" s="15"/>
      <c r="QTM68" s="15"/>
      <c r="QTN68" s="15"/>
      <c r="QTO68" s="15"/>
      <c r="QTP68" s="15"/>
      <c r="QTQ68" s="15"/>
      <c r="QTR68" s="15"/>
      <c r="QTS68" s="15"/>
      <c r="QTT68" s="15"/>
      <c r="QTU68" s="15"/>
      <c r="QTV68" s="15"/>
      <c r="QTW68" s="15"/>
      <c r="QTX68" s="15"/>
      <c r="QTY68" s="15"/>
      <c r="QTZ68" s="15"/>
      <c r="QUA68" s="15"/>
      <c r="QUB68" s="15"/>
      <c r="QUC68" s="15"/>
      <c r="QUD68" s="15"/>
      <c r="QUE68" s="15"/>
      <c r="QUF68" s="15"/>
      <c r="QUG68" s="15"/>
      <c r="QUH68" s="15"/>
      <c r="QUI68" s="15"/>
      <c r="QUJ68" s="15"/>
      <c r="QUK68" s="15"/>
      <c r="QUL68" s="15"/>
      <c r="QUM68" s="15"/>
      <c r="QUN68" s="15"/>
      <c r="QUO68" s="15"/>
      <c r="QUP68" s="15"/>
      <c r="QUQ68" s="15"/>
      <c r="QUR68" s="15"/>
      <c r="QUS68" s="15"/>
      <c r="QUT68" s="15"/>
      <c r="QUU68" s="15"/>
      <c r="QUV68" s="15"/>
      <c r="QUW68" s="15"/>
      <c r="QUX68" s="15"/>
      <c r="QUY68" s="15"/>
      <c r="QUZ68" s="15"/>
      <c r="QVA68" s="15"/>
      <c r="QVB68" s="15"/>
      <c r="QVC68" s="15"/>
      <c r="QVD68" s="15"/>
      <c r="QVE68" s="15"/>
      <c r="QVF68" s="15"/>
      <c r="QVG68" s="15"/>
      <c r="QVH68" s="15"/>
      <c r="QVI68" s="15"/>
      <c r="QVJ68" s="15"/>
      <c r="QVK68" s="15"/>
      <c r="QVL68" s="15"/>
      <c r="QVM68" s="15"/>
      <c r="QVN68" s="15"/>
      <c r="QVO68" s="15"/>
      <c r="QVP68" s="15"/>
      <c r="QVQ68" s="15"/>
      <c r="QVR68" s="15"/>
      <c r="QVS68" s="15"/>
      <c r="QVT68" s="15"/>
      <c r="QVU68" s="15"/>
      <c r="QVV68" s="15"/>
      <c r="QVW68" s="15"/>
      <c r="QVX68" s="15"/>
      <c r="QVY68" s="15"/>
      <c r="QVZ68" s="15"/>
      <c r="QWA68" s="15"/>
      <c r="QWB68" s="15"/>
      <c r="QWC68" s="15"/>
      <c r="QWD68" s="15"/>
      <c r="QWE68" s="15"/>
      <c r="QWF68" s="15"/>
      <c r="QWG68" s="15"/>
      <c r="QWH68" s="15"/>
      <c r="QWI68" s="15"/>
      <c r="QWJ68" s="15"/>
      <c r="QWK68" s="15"/>
      <c r="QWL68" s="15"/>
      <c r="QWM68" s="15"/>
      <c r="QWN68" s="15"/>
      <c r="QWO68" s="15"/>
      <c r="QWP68" s="15"/>
      <c r="QWQ68" s="15"/>
      <c r="QWR68" s="15"/>
      <c r="QWS68" s="15"/>
      <c r="QWT68" s="15"/>
      <c r="QWU68" s="15"/>
      <c r="QWV68" s="15"/>
      <c r="QWW68" s="15"/>
      <c r="QWX68" s="15"/>
      <c r="QWY68" s="15"/>
      <c r="QWZ68" s="15"/>
      <c r="QXA68" s="15"/>
      <c r="QXB68" s="15"/>
      <c r="QXC68" s="15"/>
      <c r="QXD68" s="15"/>
      <c r="QXE68" s="15"/>
      <c r="QXF68" s="15"/>
      <c r="QXG68" s="15"/>
      <c r="QXH68" s="15"/>
      <c r="QXI68" s="15"/>
      <c r="QXJ68" s="15"/>
      <c r="QXK68" s="15"/>
      <c r="QXL68" s="15"/>
      <c r="QXM68" s="15"/>
      <c r="QXN68" s="15"/>
      <c r="QXO68" s="15"/>
      <c r="QXP68" s="15"/>
      <c r="QXQ68" s="15"/>
      <c r="QXR68" s="15"/>
      <c r="QXS68" s="15"/>
      <c r="QXT68" s="15"/>
      <c r="QXU68" s="15"/>
      <c r="QXV68" s="15"/>
      <c r="QXW68" s="15"/>
      <c r="QXX68" s="15"/>
      <c r="QXY68" s="15"/>
      <c r="QXZ68" s="15"/>
      <c r="QYA68" s="15"/>
      <c r="QYB68" s="15"/>
      <c r="QYC68" s="15"/>
      <c r="QYD68" s="15"/>
      <c r="QYE68" s="15"/>
      <c r="QYF68" s="15"/>
      <c r="QYG68" s="15"/>
      <c r="QYH68" s="15"/>
      <c r="QYI68" s="15"/>
      <c r="QYJ68" s="15"/>
      <c r="QYK68" s="15"/>
      <c r="QYL68" s="15"/>
      <c r="QYM68" s="15"/>
      <c r="QYN68" s="15"/>
      <c r="QYO68" s="15"/>
      <c r="QYP68" s="15"/>
      <c r="QYQ68" s="15"/>
      <c r="QYR68" s="15"/>
      <c r="QYS68" s="15"/>
      <c r="QYT68" s="15"/>
      <c r="QYU68" s="15"/>
      <c r="QYV68" s="15"/>
      <c r="QYW68" s="15"/>
      <c r="QYX68" s="15"/>
      <c r="QYY68" s="15"/>
      <c r="QYZ68" s="15"/>
      <c r="QZA68" s="15"/>
      <c r="QZB68" s="15"/>
      <c r="QZC68" s="15"/>
      <c r="QZD68" s="15"/>
      <c r="QZE68" s="15"/>
      <c r="QZF68" s="15"/>
      <c r="QZG68" s="15"/>
      <c r="QZH68" s="15"/>
      <c r="QZI68" s="15"/>
      <c r="QZJ68" s="15"/>
      <c r="QZK68" s="15"/>
      <c r="QZL68" s="15"/>
      <c r="QZM68" s="15"/>
      <c r="QZN68" s="15"/>
      <c r="QZO68" s="15"/>
      <c r="QZP68" s="15"/>
      <c r="QZQ68" s="15"/>
      <c r="QZR68" s="15"/>
      <c r="QZS68" s="15"/>
      <c r="QZT68" s="15"/>
      <c r="QZU68" s="15"/>
      <c r="QZV68" s="15"/>
      <c r="QZW68" s="15"/>
      <c r="QZX68" s="15"/>
      <c r="QZY68" s="15"/>
      <c r="QZZ68" s="15"/>
      <c r="RAA68" s="15"/>
      <c r="RAB68" s="15"/>
      <c r="RAC68" s="15"/>
      <c r="RAD68" s="15"/>
      <c r="RAE68" s="15"/>
      <c r="RAF68" s="15"/>
      <c r="RAG68" s="15"/>
      <c r="RAH68" s="15"/>
      <c r="RAI68" s="15"/>
      <c r="RAJ68" s="15"/>
      <c r="RAK68" s="15"/>
      <c r="RAL68" s="15"/>
      <c r="RAM68" s="15"/>
      <c r="RAN68" s="15"/>
      <c r="RAO68" s="15"/>
      <c r="RAP68" s="15"/>
      <c r="RAQ68" s="15"/>
      <c r="RAR68" s="15"/>
      <c r="RAS68" s="15"/>
      <c r="RAT68" s="15"/>
      <c r="RAU68" s="15"/>
      <c r="RAV68" s="15"/>
      <c r="RAW68" s="15"/>
      <c r="RAX68" s="15"/>
      <c r="RAY68" s="15"/>
      <c r="RAZ68" s="15"/>
      <c r="RBA68" s="15"/>
      <c r="RBB68" s="15"/>
      <c r="RBC68" s="15"/>
      <c r="RBD68" s="15"/>
      <c r="RBE68" s="15"/>
      <c r="RBF68" s="15"/>
      <c r="RBG68" s="15"/>
      <c r="RBH68" s="15"/>
      <c r="RBI68" s="15"/>
      <c r="RBJ68" s="15"/>
      <c r="RBK68" s="15"/>
      <c r="RBL68" s="15"/>
      <c r="RBM68" s="15"/>
      <c r="RBN68" s="15"/>
      <c r="RBO68" s="15"/>
      <c r="RBP68" s="15"/>
      <c r="RBQ68" s="15"/>
      <c r="RBR68" s="15"/>
      <c r="RBS68" s="15"/>
      <c r="RBT68" s="15"/>
      <c r="RBU68" s="15"/>
      <c r="RBV68" s="15"/>
      <c r="RBW68" s="15"/>
      <c r="RBX68" s="15"/>
      <c r="RBY68" s="15"/>
      <c r="RBZ68" s="15"/>
      <c r="RCA68" s="15"/>
      <c r="RCB68" s="15"/>
      <c r="RCC68" s="15"/>
      <c r="RCD68" s="15"/>
      <c r="RCE68" s="15"/>
      <c r="RCF68" s="15"/>
      <c r="RCG68" s="15"/>
      <c r="RCH68" s="15"/>
      <c r="RCI68" s="15"/>
      <c r="RCJ68" s="15"/>
      <c r="RCK68" s="15"/>
      <c r="RCL68" s="15"/>
      <c r="RCM68" s="15"/>
      <c r="RCN68" s="15"/>
      <c r="RCO68" s="15"/>
      <c r="RCP68" s="15"/>
      <c r="RCQ68" s="15"/>
      <c r="RCR68" s="15"/>
      <c r="RCS68" s="15"/>
      <c r="RCT68" s="15"/>
      <c r="RCU68" s="15"/>
      <c r="RCV68" s="15"/>
      <c r="RCW68" s="15"/>
      <c r="RCX68" s="15"/>
      <c r="RCY68" s="15"/>
      <c r="RCZ68" s="15"/>
      <c r="RDA68" s="15"/>
      <c r="RDB68" s="15"/>
      <c r="RDC68" s="15"/>
      <c r="RDD68" s="15"/>
      <c r="RDE68" s="15"/>
      <c r="RDF68" s="15"/>
      <c r="RDG68" s="15"/>
      <c r="RDH68" s="15"/>
      <c r="RDI68" s="15"/>
      <c r="RDJ68" s="15"/>
      <c r="RDK68" s="15"/>
      <c r="RDL68" s="15"/>
      <c r="RDM68" s="15"/>
      <c r="RDN68" s="15"/>
      <c r="RDO68" s="15"/>
      <c r="RDP68" s="15"/>
      <c r="RDQ68" s="15"/>
      <c r="RDR68" s="15"/>
      <c r="RDS68" s="15"/>
      <c r="RDT68" s="15"/>
      <c r="RDU68" s="15"/>
      <c r="RDV68" s="15"/>
      <c r="RDW68" s="15"/>
      <c r="RDX68" s="15"/>
      <c r="RDY68" s="15"/>
      <c r="RDZ68" s="15"/>
      <c r="REA68" s="15"/>
      <c r="REB68" s="15"/>
      <c r="REC68" s="15"/>
      <c r="RED68" s="15"/>
      <c r="REE68" s="15"/>
      <c r="REF68" s="15"/>
      <c r="REG68" s="15"/>
      <c r="REH68" s="15"/>
      <c r="REI68" s="15"/>
      <c r="REJ68" s="15"/>
      <c r="REK68" s="15"/>
      <c r="REL68" s="15"/>
      <c r="REM68" s="15"/>
      <c r="REN68" s="15"/>
      <c r="REO68" s="15"/>
      <c r="REP68" s="15"/>
      <c r="REQ68" s="15"/>
      <c r="RER68" s="15"/>
      <c r="RES68" s="15"/>
      <c r="RET68" s="15"/>
      <c r="REU68" s="15"/>
      <c r="REV68" s="15"/>
      <c r="REW68" s="15"/>
      <c r="REX68" s="15"/>
      <c r="REY68" s="15"/>
      <c r="REZ68" s="15"/>
      <c r="RFA68" s="15"/>
      <c r="RFB68" s="15"/>
      <c r="RFC68" s="15"/>
      <c r="RFD68" s="15"/>
      <c r="RFE68" s="15"/>
      <c r="RFF68" s="15"/>
      <c r="RFG68" s="15"/>
      <c r="RFH68" s="15"/>
      <c r="RFI68" s="15"/>
      <c r="RFJ68" s="15"/>
      <c r="RFK68" s="15"/>
      <c r="RFL68" s="15"/>
      <c r="RFM68" s="15"/>
      <c r="RFN68" s="15"/>
      <c r="RFO68" s="15"/>
      <c r="RFP68" s="15"/>
      <c r="RFQ68" s="15"/>
      <c r="RFR68" s="15"/>
      <c r="RFS68" s="15"/>
      <c r="RFT68" s="15"/>
      <c r="RFU68" s="15"/>
      <c r="RFV68" s="15"/>
      <c r="RFW68" s="15"/>
      <c r="RFX68" s="15"/>
      <c r="RFY68" s="15"/>
      <c r="RFZ68" s="15"/>
      <c r="RGA68" s="15"/>
      <c r="RGB68" s="15"/>
      <c r="RGC68" s="15"/>
      <c r="RGD68" s="15"/>
      <c r="RGE68" s="15"/>
      <c r="RGF68" s="15"/>
      <c r="RGG68" s="15"/>
      <c r="RGH68" s="15"/>
      <c r="RGI68" s="15"/>
      <c r="RGJ68" s="15"/>
      <c r="RGK68" s="15"/>
      <c r="RGL68" s="15"/>
      <c r="RGM68" s="15"/>
      <c r="RGN68" s="15"/>
      <c r="RGO68" s="15"/>
      <c r="RGP68" s="15"/>
      <c r="RGQ68" s="15"/>
      <c r="RGR68" s="15"/>
      <c r="RGS68" s="15"/>
      <c r="RGT68" s="15"/>
      <c r="RGU68" s="15"/>
      <c r="RGV68" s="15"/>
      <c r="RGW68" s="15"/>
      <c r="RGX68" s="15"/>
      <c r="RGY68" s="15"/>
      <c r="RGZ68" s="15"/>
      <c r="RHA68" s="15"/>
      <c r="RHB68" s="15"/>
      <c r="RHC68" s="15"/>
      <c r="RHD68" s="15"/>
      <c r="RHE68" s="15"/>
      <c r="RHF68" s="15"/>
      <c r="RHG68" s="15"/>
      <c r="RHH68" s="15"/>
      <c r="RHI68" s="15"/>
      <c r="RHJ68" s="15"/>
      <c r="RHK68" s="15"/>
      <c r="RHL68" s="15"/>
      <c r="RHM68" s="15"/>
      <c r="RHN68" s="15"/>
      <c r="RHO68" s="15"/>
      <c r="RHP68" s="15"/>
      <c r="RHQ68" s="15"/>
      <c r="RHR68" s="15"/>
      <c r="RHS68" s="15"/>
      <c r="RHT68" s="15"/>
      <c r="RHU68" s="15"/>
      <c r="RHV68" s="15"/>
      <c r="RHW68" s="15"/>
      <c r="RHX68" s="15"/>
      <c r="RHY68" s="15"/>
      <c r="RHZ68" s="15"/>
      <c r="RIA68" s="15"/>
      <c r="RIB68" s="15"/>
      <c r="RIC68" s="15"/>
      <c r="RID68" s="15"/>
      <c r="RIE68" s="15"/>
      <c r="RIF68" s="15"/>
      <c r="RIG68" s="15"/>
      <c r="RIH68" s="15"/>
      <c r="RII68" s="15"/>
      <c r="RIJ68" s="15"/>
      <c r="RIK68" s="15"/>
      <c r="RIL68" s="15"/>
      <c r="RIM68" s="15"/>
      <c r="RIN68" s="15"/>
      <c r="RIO68" s="15"/>
      <c r="RIP68" s="15"/>
      <c r="RIQ68" s="15"/>
      <c r="RIR68" s="15"/>
      <c r="RIS68" s="15"/>
      <c r="RIT68" s="15"/>
      <c r="RIU68" s="15"/>
      <c r="RIV68" s="15"/>
      <c r="RIW68" s="15"/>
      <c r="RIX68" s="15"/>
      <c r="RIY68" s="15"/>
      <c r="RIZ68" s="15"/>
      <c r="RJA68" s="15"/>
      <c r="RJB68" s="15"/>
      <c r="RJC68" s="15"/>
      <c r="RJD68" s="15"/>
      <c r="RJE68" s="15"/>
      <c r="RJF68" s="15"/>
      <c r="RJG68" s="15"/>
      <c r="RJH68" s="15"/>
      <c r="RJI68" s="15"/>
      <c r="RJJ68" s="15"/>
      <c r="RJK68" s="15"/>
      <c r="RJL68" s="15"/>
      <c r="RJM68" s="15"/>
      <c r="RJN68" s="15"/>
      <c r="RJO68" s="15"/>
      <c r="RJP68" s="15"/>
      <c r="RJQ68" s="15"/>
      <c r="RJR68" s="15"/>
      <c r="RJS68" s="15"/>
      <c r="RJT68" s="15"/>
      <c r="RJU68" s="15"/>
      <c r="RJV68" s="15"/>
      <c r="RJW68" s="15"/>
      <c r="RJX68" s="15"/>
      <c r="RJY68" s="15"/>
      <c r="RJZ68" s="15"/>
      <c r="RKA68" s="15"/>
      <c r="RKB68" s="15"/>
      <c r="RKC68" s="15"/>
      <c r="RKD68" s="15"/>
      <c r="RKE68" s="15"/>
      <c r="RKF68" s="15"/>
      <c r="RKG68" s="15"/>
      <c r="RKH68" s="15"/>
      <c r="RKI68" s="15"/>
      <c r="RKJ68" s="15"/>
      <c r="RKK68" s="15"/>
      <c r="RKL68" s="15"/>
      <c r="RKM68" s="15"/>
      <c r="RKN68" s="15"/>
      <c r="RKO68" s="15"/>
      <c r="RKP68" s="15"/>
      <c r="RKQ68" s="15"/>
      <c r="RKR68" s="15"/>
      <c r="RKS68" s="15"/>
      <c r="RKT68" s="15"/>
      <c r="RKU68" s="15"/>
      <c r="RKV68" s="15"/>
      <c r="RKW68" s="15"/>
      <c r="RKX68" s="15"/>
      <c r="RKY68" s="15"/>
      <c r="RKZ68" s="15"/>
      <c r="RLA68" s="15"/>
      <c r="RLB68" s="15"/>
      <c r="RLC68" s="15"/>
      <c r="RLD68" s="15"/>
      <c r="RLE68" s="15"/>
      <c r="RLF68" s="15"/>
      <c r="RLG68" s="15"/>
      <c r="RLH68" s="15"/>
      <c r="RLI68" s="15"/>
      <c r="RLJ68" s="15"/>
      <c r="RLK68" s="15"/>
      <c r="RLL68" s="15"/>
      <c r="RLM68" s="15"/>
      <c r="RLN68" s="15"/>
      <c r="RLO68" s="15"/>
      <c r="RLP68" s="15"/>
      <c r="RLQ68" s="15"/>
      <c r="RLR68" s="15"/>
      <c r="RLS68" s="15"/>
      <c r="RLT68" s="15"/>
      <c r="RLU68" s="15"/>
      <c r="RLV68" s="15"/>
      <c r="RLW68" s="15"/>
      <c r="RLX68" s="15"/>
      <c r="RLY68" s="15"/>
      <c r="RLZ68" s="15"/>
      <c r="RMA68" s="15"/>
      <c r="RMB68" s="15"/>
      <c r="RMC68" s="15"/>
      <c r="RMD68" s="15"/>
      <c r="RME68" s="15"/>
      <c r="RMF68" s="15"/>
      <c r="RMG68" s="15"/>
      <c r="RMH68" s="15"/>
      <c r="RMI68" s="15"/>
      <c r="RMJ68" s="15"/>
      <c r="RMK68" s="15"/>
      <c r="RML68" s="15"/>
      <c r="RMM68" s="15"/>
      <c r="RMN68" s="15"/>
      <c r="RMO68" s="15"/>
      <c r="RMP68" s="15"/>
      <c r="RMQ68" s="15"/>
      <c r="RMR68" s="15"/>
      <c r="RMS68" s="15"/>
      <c r="RMT68" s="15"/>
      <c r="RMU68" s="15"/>
      <c r="RMV68" s="15"/>
      <c r="RMW68" s="15"/>
      <c r="RMX68" s="15"/>
      <c r="RMY68" s="15"/>
      <c r="RMZ68" s="15"/>
      <c r="RNA68" s="15"/>
      <c r="RNB68" s="15"/>
      <c r="RNC68" s="15"/>
      <c r="RND68" s="15"/>
      <c r="RNE68" s="15"/>
      <c r="RNF68" s="15"/>
      <c r="RNG68" s="15"/>
      <c r="RNH68" s="15"/>
      <c r="RNI68" s="15"/>
      <c r="RNJ68" s="15"/>
      <c r="RNK68" s="15"/>
      <c r="RNL68" s="15"/>
      <c r="RNM68" s="15"/>
      <c r="RNN68" s="15"/>
      <c r="RNO68" s="15"/>
      <c r="RNP68" s="15"/>
      <c r="RNQ68" s="15"/>
      <c r="RNR68" s="15"/>
      <c r="RNS68" s="15"/>
      <c r="RNT68" s="15"/>
      <c r="RNU68" s="15"/>
      <c r="RNV68" s="15"/>
      <c r="RNW68" s="15"/>
      <c r="RNX68" s="15"/>
      <c r="RNY68" s="15"/>
      <c r="RNZ68" s="15"/>
      <c r="ROA68" s="15"/>
      <c r="ROB68" s="15"/>
      <c r="ROC68" s="15"/>
      <c r="ROD68" s="15"/>
      <c r="ROE68" s="15"/>
      <c r="ROF68" s="15"/>
      <c r="ROG68" s="15"/>
      <c r="ROH68" s="15"/>
      <c r="ROI68" s="15"/>
      <c r="ROJ68" s="15"/>
      <c r="ROK68" s="15"/>
      <c r="ROL68" s="15"/>
      <c r="ROM68" s="15"/>
      <c r="RON68" s="15"/>
      <c r="ROO68" s="15"/>
      <c r="ROP68" s="15"/>
      <c r="ROQ68" s="15"/>
      <c r="ROR68" s="15"/>
      <c r="ROS68" s="15"/>
      <c r="ROT68" s="15"/>
      <c r="ROU68" s="15"/>
      <c r="ROV68" s="15"/>
      <c r="ROW68" s="15"/>
      <c r="ROX68" s="15"/>
      <c r="ROY68" s="15"/>
      <c r="ROZ68" s="15"/>
      <c r="RPA68" s="15"/>
      <c r="RPB68" s="15"/>
      <c r="RPC68" s="15"/>
      <c r="RPD68" s="15"/>
      <c r="RPE68" s="15"/>
      <c r="RPF68" s="15"/>
      <c r="RPG68" s="15"/>
      <c r="RPH68" s="15"/>
      <c r="RPI68" s="15"/>
      <c r="RPJ68" s="15"/>
      <c r="RPK68" s="15"/>
      <c r="RPL68" s="15"/>
      <c r="RPM68" s="15"/>
      <c r="RPN68" s="15"/>
      <c r="RPO68" s="15"/>
      <c r="RPP68" s="15"/>
      <c r="RPQ68" s="15"/>
      <c r="RPR68" s="15"/>
      <c r="RPS68" s="15"/>
      <c r="RPT68" s="15"/>
      <c r="RPU68" s="15"/>
      <c r="RPV68" s="15"/>
      <c r="RPW68" s="15"/>
      <c r="RPX68" s="15"/>
      <c r="RPY68" s="15"/>
      <c r="RPZ68" s="15"/>
      <c r="RQA68" s="15"/>
      <c r="RQB68" s="15"/>
      <c r="RQC68" s="15"/>
      <c r="RQD68" s="15"/>
      <c r="RQE68" s="15"/>
      <c r="RQF68" s="15"/>
      <c r="RQG68" s="15"/>
      <c r="RQH68" s="15"/>
      <c r="RQI68" s="15"/>
      <c r="RQJ68" s="15"/>
      <c r="RQK68" s="15"/>
      <c r="RQL68" s="15"/>
      <c r="RQM68" s="15"/>
      <c r="RQN68" s="15"/>
      <c r="RQO68" s="15"/>
      <c r="RQP68" s="15"/>
      <c r="RQQ68" s="15"/>
      <c r="RQR68" s="15"/>
      <c r="RQS68" s="15"/>
      <c r="RQT68" s="15"/>
      <c r="RQU68" s="15"/>
      <c r="RQV68" s="15"/>
      <c r="RQW68" s="15"/>
      <c r="RQX68" s="15"/>
      <c r="RQY68" s="15"/>
      <c r="RQZ68" s="15"/>
      <c r="RRA68" s="15"/>
      <c r="RRB68" s="15"/>
      <c r="RRC68" s="15"/>
      <c r="RRD68" s="15"/>
      <c r="RRE68" s="15"/>
      <c r="RRF68" s="15"/>
      <c r="RRG68" s="15"/>
      <c r="RRH68" s="15"/>
      <c r="RRI68" s="15"/>
      <c r="RRJ68" s="15"/>
      <c r="RRK68" s="15"/>
      <c r="RRL68" s="15"/>
      <c r="RRM68" s="15"/>
      <c r="RRN68" s="15"/>
      <c r="RRO68" s="15"/>
      <c r="RRP68" s="15"/>
      <c r="RRQ68" s="15"/>
      <c r="RRR68" s="15"/>
      <c r="RRS68" s="15"/>
      <c r="RRT68" s="15"/>
      <c r="RRU68" s="15"/>
      <c r="RRV68" s="15"/>
      <c r="RRW68" s="15"/>
      <c r="RRX68" s="15"/>
      <c r="RRY68" s="15"/>
      <c r="RRZ68" s="15"/>
      <c r="RSA68" s="15"/>
      <c r="RSB68" s="15"/>
      <c r="RSC68" s="15"/>
      <c r="RSD68" s="15"/>
      <c r="RSE68" s="15"/>
      <c r="RSF68" s="15"/>
      <c r="RSG68" s="15"/>
      <c r="RSH68" s="15"/>
      <c r="RSI68" s="15"/>
      <c r="RSJ68" s="15"/>
      <c r="RSK68" s="15"/>
      <c r="RSL68" s="15"/>
      <c r="RSM68" s="15"/>
      <c r="RSN68" s="15"/>
      <c r="RSO68" s="15"/>
      <c r="RSP68" s="15"/>
      <c r="RSQ68" s="15"/>
      <c r="RSR68" s="15"/>
      <c r="RSS68" s="15"/>
      <c r="RST68" s="15"/>
      <c r="RSU68" s="15"/>
      <c r="RSV68" s="15"/>
      <c r="RSW68" s="15"/>
      <c r="RSX68" s="15"/>
      <c r="RSY68" s="15"/>
      <c r="RSZ68" s="15"/>
      <c r="RTA68" s="15"/>
      <c r="RTB68" s="15"/>
      <c r="RTC68" s="15"/>
      <c r="RTD68" s="15"/>
      <c r="RTE68" s="15"/>
      <c r="RTF68" s="15"/>
      <c r="RTG68" s="15"/>
      <c r="RTH68" s="15"/>
      <c r="RTI68" s="15"/>
      <c r="RTJ68" s="15"/>
      <c r="RTK68" s="15"/>
      <c r="RTL68" s="15"/>
      <c r="RTM68" s="15"/>
      <c r="RTN68" s="15"/>
      <c r="RTO68" s="15"/>
      <c r="RTP68" s="15"/>
      <c r="RTQ68" s="15"/>
      <c r="RTR68" s="15"/>
      <c r="RTS68" s="15"/>
      <c r="RTT68" s="15"/>
      <c r="RTU68" s="15"/>
      <c r="RTV68" s="15"/>
      <c r="RTW68" s="15"/>
      <c r="RTX68" s="15"/>
      <c r="RTY68" s="15"/>
      <c r="RTZ68" s="15"/>
      <c r="RUA68" s="15"/>
      <c r="RUB68" s="15"/>
      <c r="RUC68" s="15"/>
      <c r="RUD68" s="15"/>
      <c r="RUE68" s="15"/>
      <c r="RUF68" s="15"/>
      <c r="RUG68" s="15"/>
      <c r="RUH68" s="15"/>
      <c r="RUI68" s="15"/>
      <c r="RUJ68" s="15"/>
      <c r="RUK68" s="15"/>
      <c r="RUL68" s="15"/>
      <c r="RUM68" s="15"/>
      <c r="RUN68" s="15"/>
      <c r="RUO68" s="15"/>
      <c r="RUP68" s="15"/>
      <c r="RUQ68" s="15"/>
      <c r="RUR68" s="15"/>
      <c r="RUS68" s="15"/>
      <c r="RUT68" s="15"/>
      <c r="RUU68" s="15"/>
      <c r="RUV68" s="15"/>
      <c r="RUW68" s="15"/>
      <c r="RUX68" s="15"/>
      <c r="RUY68" s="15"/>
      <c r="RUZ68" s="15"/>
      <c r="RVA68" s="15"/>
      <c r="RVB68" s="15"/>
      <c r="RVC68" s="15"/>
      <c r="RVD68" s="15"/>
      <c r="RVE68" s="15"/>
      <c r="RVF68" s="15"/>
      <c r="RVG68" s="15"/>
      <c r="RVH68" s="15"/>
      <c r="RVI68" s="15"/>
      <c r="RVJ68" s="15"/>
      <c r="RVK68" s="15"/>
      <c r="RVL68" s="15"/>
      <c r="RVM68" s="15"/>
      <c r="RVN68" s="15"/>
      <c r="RVO68" s="15"/>
      <c r="RVP68" s="15"/>
      <c r="RVQ68" s="15"/>
      <c r="RVR68" s="15"/>
      <c r="RVS68" s="15"/>
      <c r="RVT68" s="15"/>
      <c r="RVU68" s="15"/>
      <c r="RVV68" s="15"/>
      <c r="RVW68" s="15"/>
      <c r="RVX68" s="15"/>
      <c r="RVY68" s="15"/>
      <c r="RVZ68" s="15"/>
      <c r="RWA68" s="15"/>
      <c r="RWB68" s="15"/>
      <c r="RWC68" s="15"/>
      <c r="RWD68" s="15"/>
      <c r="RWE68" s="15"/>
      <c r="RWF68" s="15"/>
      <c r="RWG68" s="15"/>
      <c r="RWH68" s="15"/>
      <c r="RWI68" s="15"/>
      <c r="RWJ68" s="15"/>
      <c r="RWK68" s="15"/>
      <c r="RWL68" s="15"/>
      <c r="RWM68" s="15"/>
      <c r="RWN68" s="15"/>
      <c r="RWO68" s="15"/>
      <c r="RWP68" s="15"/>
      <c r="RWQ68" s="15"/>
      <c r="RWR68" s="15"/>
      <c r="RWS68" s="15"/>
      <c r="RWT68" s="15"/>
      <c r="RWU68" s="15"/>
      <c r="RWV68" s="15"/>
      <c r="RWW68" s="15"/>
      <c r="RWX68" s="15"/>
      <c r="RWY68" s="15"/>
      <c r="RWZ68" s="15"/>
      <c r="RXA68" s="15"/>
      <c r="RXB68" s="15"/>
      <c r="RXC68" s="15"/>
      <c r="RXD68" s="15"/>
      <c r="RXE68" s="15"/>
      <c r="RXF68" s="15"/>
      <c r="RXG68" s="15"/>
      <c r="RXH68" s="15"/>
      <c r="RXI68" s="15"/>
      <c r="RXJ68" s="15"/>
      <c r="RXK68" s="15"/>
      <c r="RXL68" s="15"/>
      <c r="RXM68" s="15"/>
      <c r="RXN68" s="15"/>
      <c r="RXO68" s="15"/>
      <c r="RXP68" s="15"/>
      <c r="RXQ68" s="15"/>
      <c r="RXR68" s="15"/>
      <c r="RXS68" s="15"/>
      <c r="RXT68" s="15"/>
      <c r="RXU68" s="15"/>
      <c r="RXV68" s="15"/>
      <c r="RXW68" s="15"/>
      <c r="RXX68" s="15"/>
      <c r="RXY68" s="15"/>
      <c r="RXZ68" s="15"/>
      <c r="RYA68" s="15"/>
      <c r="RYB68" s="15"/>
      <c r="RYC68" s="15"/>
      <c r="RYD68" s="15"/>
      <c r="RYE68" s="15"/>
      <c r="RYF68" s="15"/>
      <c r="RYG68" s="15"/>
      <c r="RYH68" s="15"/>
      <c r="RYI68" s="15"/>
      <c r="RYJ68" s="15"/>
      <c r="RYK68" s="15"/>
      <c r="RYL68" s="15"/>
      <c r="RYM68" s="15"/>
      <c r="RYN68" s="15"/>
      <c r="RYO68" s="15"/>
      <c r="RYP68" s="15"/>
      <c r="RYQ68" s="15"/>
      <c r="RYR68" s="15"/>
      <c r="RYS68" s="15"/>
      <c r="RYT68" s="15"/>
      <c r="RYU68" s="15"/>
      <c r="RYV68" s="15"/>
      <c r="RYW68" s="15"/>
      <c r="RYX68" s="15"/>
      <c r="RYY68" s="15"/>
      <c r="RYZ68" s="15"/>
      <c r="RZA68" s="15"/>
      <c r="RZB68" s="15"/>
      <c r="RZC68" s="15"/>
      <c r="RZD68" s="15"/>
      <c r="RZE68" s="15"/>
      <c r="RZF68" s="15"/>
      <c r="RZG68" s="15"/>
      <c r="RZH68" s="15"/>
      <c r="RZI68" s="15"/>
      <c r="RZJ68" s="15"/>
      <c r="RZK68" s="15"/>
      <c r="RZL68" s="15"/>
      <c r="RZM68" s="15"/>
      <c r="RZN68" s="15"/>
      <c r="RZO68" s="15"/>
      <c r="RZP68" s="15"/>
      <c r="RZQ68" s="15"/>
      <c r="RZR68" s="15"/>
      <c r="RZS68" s="15"/>
      <c r="RZT68" s="15"/>
      <c r="RZU68" s="15"/>
      <c r="RZV68" s="15"/>
      <c r="RZW68" s="15"/>
      <c r="RZX68" s="15"/>
      <c r="RZY68" s="15"/>
      <c r="RZZ68" s="15"/>
      <c r="SAA68" s="15"/>
      <c r="SAB68" s="15"/>
      <c r="SAC68" s="15"/>
      <c r="SAD68" s="15"/>
      <c r="SAE68" s="15"/>
      <c r="SAF68" s="15"/>
      <c r="SAG68" s="15"/>
      <c r="SAH68" s="15"/>
      <c r="SAI68" s="15"/>
      <c r="SAJ68" s="15"/>
      <c r="SAK68" s="15"/>
      <c r="SAL68" s="15"/>
      <c r="SAM68" s="15"/>
      <c r="SAN68" s="15"/>
      <c r="SAO68" s="15"/>
      <c r="SAP68" s="15"/>
      <c r="SAQ68" s="15"/>
      <c r="SAR68" s="15"/>
      <c r="SAS68" s="15"/>
      <c r="SAT68" s="15"/>
      <c r="SAU68" s="15"/>
      <c r="SAV68" s="15"/>
      <c r="SAW68" s="15"/>
      <c r="SAX68" s="15"/>
      <c r="SAY68" s="15"/>
      <c r="SAZ68" s="15"/>
      <c r="SBA68" s="15"/>
      <c r="SBB68" s="15"/>
      <c r="SBC68" s="15"/>
      <c r="SBD68" s="15"/>
      <c r="SBE68" s="15"/>
      <c r="SBF68" s="15"/>
      <c r="SBG68" s="15"/>
      <c r="SBH68" s="15"/>
      <c r="SBI68" s="15"/>
      <c r="SBJ68" s="15"/>
      <c r="SBK68" s="15"/>
      <c r="SBL68" s="15"/>
      <c r="SBM68" s="15"/>
      <c r="SBN68" s="15"/>
      <c r="SBO68" s="15"/>
      <c r="SBP68" s="15"/>
      <c r="SBQ68" s="15"/>
      <c r="SBR68" s="15"/>
      <c r="SBS68" s="15"/>
      <c r="SBT68" s="15"/>
      <c r="SBU68" s="15"/>
      <c r="SBV68" s="15"/>
      <c r="SBW68" s="15"/>
      <c r="SBX68" s="15"/>
      <c r="SBY68" s="15"/>
      <c r="SBZ68" s="15"/>
      <c r="SCA68" s="15"/>
      <c r="SCB68" s="15"/>
      <c r="SCC68" s="15"/>
      <c r="SCD68" s="15"/>
      <c r="SCE68" s="15"/>
      <c r="SCF68" s="15"/>
      <c r="SCG68" s="15"/>
      <c r="SCH68" s="15"/>
      <c r="SCI68" s="15"/>
      <c r="SCJ68" s="15"/>
      <c r="SCK68" s="15"/>
      <c r="SCL68" s="15"/>
      <c r="SCM68" s="15"/>
      <c r="SCN68" s="15"/>
      <c r="SCO68" s="15"/>
      <c r="SCP68" s="15"/>
      <c r="SCQ68" s="15"/>
      <c r="SCR68" s="15"/>
      <c r="SCS68" s="15"/>
      <c r="SCT68" s="15"/>
      <c r="SCU68" s="15"/>
      <c r="SCV68" s="15"/>
      <c r="SCW68" s="15"/>
      <c r="SCX68" s="15"/>
      <c r="SCY68" s="15"/>
      <c r="SCZ68" s="15"/>
      <c r="SDA68" s="15"/>
      <c r="SDB68" s="15"/>
      <c r="SDC68" s="15"/>
      <c r="SDD68" s="15"/>
      <c r="SDE68" s="15"/>
      <c r="SDF68" s="15"/>
      <c r="SDG68" s="15"/>
      <c r="SDH68" s="15"/>
      <c r="SDI68" s="15"/>
      <c r="SDJ68" s="15"/>
      <c r="SDK68" s="15"/>
      <c r="SDL68" s="15"/>
      <c r="SDM68" s="15"/>
      <c r="SDN68" s="15"/>
      <c r="SDO68" s="15"/>
      <c r="SDP68" s="15"/>
      <c r="SDQ68" s="15"/>
      <c r="SDR68" s="15"/>
      <c r="SDS68" s="15"/>
      <c r="SDT68" s="15"/>
      <c r="SDU68" s="15"/>
      <c r="SDV68" s="15"/>
      <c r="SDW68" s="15"/>
      <c r="SDX68" s="15"/>
      <c r="SDY68" s="15"/>
      <c r="SDZ68" s="15"/>
      <c r="SEA68" s="15"/>
      <c r="SEB68" s="15"/>
      <c r="SEC68" s="15"/>
      <c r="SED68" s="15"/>
      <c r="SEE68" s="15"/>
      <c r="SEF68" s="15"/>
      <c r="SEG68" s="15"/>
      <c r="SEH68" s="15"/>
      <c r="SEI68" s="15"/>
      <c r="SEJ68" s="15"/>
      <c r="SEK68" s="15"/>
      <c r="SEL68" s="15"/>
      <c r="SEM68" s="15"/>
      <c r="SEN68" s="15"/>
      <c r="SEO68" s="15"/>
      <c r="SEP68" s="15"/>
      <c r="SEQ68" s="15"/>
      <c r="SER68" s="15"/>
      <c r="SES68" s="15"/>
      <c r="SET68" s="15"/>
      <c r="SEU68" s="15"/>
      <c r="SEV68" s="15"/>
      <c r="SEW68" s="15"/>
      <c r="SEX68" s="15"/>
      <c r="SEY68" s="15"/>
      <c r="SEZ68" s="15"/>
      <c r="SFA68" s="15"/>
      <c r="SFB68" s="15"/>
      <c r="SFC68" s="15"/>
      <c r="SFD68" s="15"/>
      <c r="SFE68" s="15"/>
      <c r="SFF68" s="15"/>
      <c r="SFG68" s="15"/>
      <c r="SFH68" s="15"/>
      <c r="SFI68" s="15"/>
      <c r="SFJ68" s="15"/>
      <c r="SFK68" s="15"/>
      <c r="SFL68" s="15"/>
      <c r="SFM68" s="15"/>
      <c r="SFN68" s="15"/>
      <c r="SFO68" s="15"/>
      <c r="SFP68" s="15"/>
      <c r="SFQ68" s="15"/>
      <c r="SFR68" s="15"/>
      <c r="SFS68" s="15"/>
      <c r="SFT68" s="15"/>
      <c r="SFU68" s="15"/>
      <c r="SFV68" s="15"/>
      <c r="SFW68" s="15"/>
      <c r="SFX68" s="15"/>
      <c r="SFY68" s="15"/>
      <c r="SFZ68" s="15"/>
      <c r="SGA68" s="15"/>
      <c r="SGB68" s="15"/>
      <c r="SGC68" s="15"/>
      <c r="SGD68" s="15"/>
      <c r="SGE68" s="15"/>
      <c r="SGF68" s="15"/>
      <c r="SGG68" s="15"/>
      <c r="SGH68" s="15"/>
      <c r="SGI68" s="15"/>
      <c r="SGJ68" s="15"/>
      <c r="SGK68" s="15"/>
      <c r="SGL68" s="15"/>
      <c r="SGM68" s="15"/>
      <c r="SGN68" s="15"/>
      <c r="SGO68" s="15"/>
      <c r="SGP68" s="15"/>
      <c r="SGQ68" s="15"/>
      <c r="SGR68" s="15"/>
      <c r="SGS68" s="15"/>
      <c r="SGT68" s="15"/>
      <c r="SGU68" s="15"/>
      <c r="SGV68" s="15"/>
      <c r="SGW68" s="15"/>
      <c r="SGX68" s="15"/>
      <c r="SGY68" s="15"/>
      <c r="SGZ68" s="15"/>
      <c r="SHA68" s="15"/>
      <c r="SHB68" s="15"/>
      <c r="SHC68" s="15"/>
      <c r="SHD68" s="15"/>
      <c r="SHE68" s="15"/>
      <c r="SHF68" s="15"/>
      <c r="SHG68" s="15"/>
      <c r="SHH68" s="15"/>
      <c r="SHI68" s="15"/>
      <c r="SHJ68" s="15"/>
      <c r="SHK68" s="15"/>
      <c r="SHL68" s="15"/>
      <c r="SHM68" s="15"/>
      <c r="SHN68" s="15"/>
      <c r="SHO68" s="15"/>
      <c r="SHP68" s="15"/>
      <c r="SHQ68" s="15"/>
      <c r="SHR68" s="15"/>
      <c r="SHS68" s="15"/>
      <c r="SHT68" s="15"/>
      <c r="SHU68" s="15"/>
      <c r="SHV68" s="15"/>
      <c r="SHW68" s="15"/>
      <c r="SHX68" s="15"/>
      <c r="SHY68" s="15"/>
      <c r="SHZ68" s="15"/>
      <c r="SIA68" s="15"/>
      <c r="SIB68" s="15"/>
      <c r="SIC68" s="15"/>
      <c r="SID68" s="15"/>
      <c r="SIE68" s="15"/>
      <c r="SIF68" s="15"/>
      <c r="SIG68" s="15"/>
      <c r="SIH68" s="15"/>
      <c r="SII68" s="15"/>
      <c r="SIJ68" s="15"/>
      <c r="SIK68" s="15"/>
      <c r="SIL68" s="15"/>
      <c r="SIM68" s="15"/>
      <c r="SIN68" s="15"/>
      <c r="SIO68" s="15"/>
      <c r="SIP68" s="15"/>
      <c r="SIQ68" s="15"/>
      <c r="SIR68" s="15"/>
      <c r="SIS68" s="15"/>
      <c r="SIT68" s="15"/>
      <c r="SIU68" s="15"/>
      <c r="SIV68" s="15"/>
      <c r="SIW68" s="15"/>
      <c r="SIX68" s="15"/>
      <c r="SIY68" s="15"/>
      <c r="SIZ68" s="15"/>
      <c r="SJA68" s="15"/>
      <c r="SJB68" s="15"/>
      <c r="SJC68" s="15"/>
      <c r="SJD68" s="15"/>
      <c r="SJE68" s="15"/>
      <c r="SJF68" s="15"/>
      <c r="SJG68" s="15"/>
      <c r="SJH68" s="15"/>
      <c r="SJI68" s="15"/>
      <c r="SJJ68" s="15"/>
      <c r="SJK68" s="15"/>
      <c r="SJL68" s="15"/>
      <c r="SJM68" s="15"/>
      <c r="SJN68" s="15"/>
      <c r="SJO68" s="15"/>
      <c r="SJP68" s="15"/>
      <c r="SJQ68" s="15"/>
      <c r="SJR68" s="15"/>
      <c r="SJS68" s="15"/>
      <c r="SJT68" s="15"/>
      <c r="SJU68" s="15"/>
      <c r="SJV68" s="15"/>
      <c r="SJW68" s="15"/>
      <c r="SJX68" s="15"/>
      <c r="SJY68" s="15"/>
      <c r="SJZ68" s="15"/>
      <c r="SKA68" s="15"/>
      <c r="SKB68" s="15"/>
      <c r="SKC68" s="15"/>
      <c r="SKD68" s="15"/>
      <c r="SKE68" s="15"/>
      <c r="SKF68" s="15"/>
      <c r="SKG68" s="15"/>
      <c r="SKH68" s="15"/>
      <c r="SKI68" s="15"/>
      <c r="SKJ68" s="15"/>
      <c r="SKK68" s="15"/>
      <c r="SKL68" s="15"/>
      <c r="SKM68" s="15"/>
      <c r="SKN68" s="15"/>
      <c r="SKO68" s="15"/>
      <c r="SKP68" s="15"/>
      <c r="SKQ68" s="15"/>
      <c r="SKR68" s="15"/>
      <c r="SKS68" s="15"/>
      <c r="SKT68" s="15"/>
      <c r="SKU68" s="15"/>
      <c r="SKV68" s="15"/>
      <c r="SKW68" s="15"/>
      <c r="SKX68" s="15"/>
      <c r="SKY68" s="15"/>
      <c r="SKZ68" s="15"/>
      <c r="SLA68" s="15"/>
      <c r="SLB68" s="15"/>
      <c r="SLC68" s="15"/>
      <c r="SLD68" s="15"/>
      <c r="SLE68" s="15"/>
      <c r="SLF68" s="15"/>
      <c r="SLG68" s="15"/>
      <c r="SLH68" s="15"/>
      <c r="SLI68" s="15"/>
      <c r="SLJ68" s="15"/>
      <c r="SLK68" s="15"/>
      <c r="SLL68" s="15"/>
      <c r="SLM68" s="15"/>
      <c r="SLN68" s="15"/>
      <c r="SLO68" s="15"/>
      <c r="SLP68" s="15"/>
      <c r="SLQ68" s="15"/>
      <c r="SLR68" s="15"/>
      <c r="SLS68" s="15"/>
      <c r="SLT68" s="15"/>
      <c r="SLU68" s="15"/>
      <c r="SLV68" s="15"/>
      <c r="SLW68" s="15"/>
      <c r="SLX68" s="15"/>
      <c r="SLY68" s="15"/>
      <c r="SLZ68" s="15"/>
      <c r="SMA68" s="15"/>
      <c r="SMB68" s="15"/>
      <c r="SMC68" s="15"/>
      <c r="SMD68" s="15"/>
      <c r="SME68" s="15"/>
      <c r="SMF68" s="15"/>
      <c r="SMG68" s="15"/>
      <c r="SMH68" s="15"/>
      <c r="SMI68" s="15"/>
      <c r="SMJ68" s="15"/>
      <c r="SMK68" s="15"/>
      <c r="SML68" s="15"/>
      <c r="SMM68" s="15"/>
      <c r="SMN68" s="15"/>
      <c r="SMO68" s="15"/>
      <c r="SMP68" s="15"/>
      <c r="SMQ68" s="15"/>
      <c r="SMR68" s="15"/>
      <c r="SMS68" s="15"/>
      <c r="SMT68" s="15"/>
      <c r="SMU68" s="15"/>
      <c r="SMV68" s="15"/>
      <c r="SMW68" s="15"/>
      <c r="SMX68" s="15"/>
      <c r="SMY68" s="15"/>
      <c r="SMZ68" s="15"/>
      <c r="SNA68" s="15"/>
      <c r="SNB68" s="15"/>
      <c r="SNC68" s="15"/>
      <c r="SND68" s="15"/>
      <c r="SNE68" s="15"/>
      <c r="SNF68" s="15"/>
      <c r="SNG68" s="15"/>
      <c r="SNH68" s="15"/>
      <c r="SNI68" s="15"/>
      <c r="SNJ68" s="15"/>
      <c r="SNK68" s="15"/>
      <c r="SNL68" s="15"/>
      <c r="SNM68" s="15"/>
      <c r="SNN68" s="15"/>
      <c r="SNO68" s="15"/>
      <c r="SNP68" s="15"/>
      <c r="SNQ68" s="15"/>
      <c r="SNR68" s="15"/>
      <c r="SNS68" s="15"/>
      <c r="SNT68" s="15"/>
      <c r="SNU68" s="15"/>
      <c r="SNV68" s="15"/>
      <c r="SNW68" s="15"/>
      <c r="SNX68" s="15"/>
      <c r="SNY68" s="15"/>
      <c r="SNZ68" s="15"/>
      <c r="SOA68" s="15"/>
      <c r="SOB68" s="15"/>
      <c r="SOC68" s="15"/>
      <c r="SOD68" s="15"/>
      <c r="SOE68" s="15"/>
      <c r="SOF68" s="15"/>
      <c r="SOG68" s="15"/>
      <c r="SOH68" s="15"/>
      <c r="SOI68" s="15"/>
      <c r="SOJ68" s="15"/>
      <c r="SOK68" s="15"/>
      <c r="SOL68" s="15"/>
      <c r="SOM68" s="15"/>
      <c r="SON68" s="15"/>
      <c r="SOO68" s="15"/>
      <c r="SOP68" s="15"/>
      <c r="SOQ68" s="15"/>
      <c r="SOR68" s="15"/>
      <c r="SOS68" s="15"/>
      <c r="SOT68" s="15"/>
      <c r="SOU68" s="15"/>
      <c r="SOV68" s="15"/>
      <c r="SOW68" s="15"/>
      <c r="SOX68" s="15"/>
      <c r="SOY68" s="15"/>
      <c r="SOZ68" s="15"/>
      <c r="SPA68" s="15"/>
      <c r="SPB68" s="15"/>
      <c r="SPC68" s="15"/>
      <c r="SPD68" s="15"/>
      <c r="SPE68" s="15"/>
      <c r="SPF68" s="15"/>
      <c r="SPG68" s="15"/>
      <c r="SPH68" s="15"/>
      <c r="SPI68" s="15"/>
      <c r="SPJ68" s="15"/>
      <c r="SPK68" s="15"/>
      <c r="SPL68" s="15"/>
      <c r="SPM68" s="15"/>
      <c r="SPN68" s="15"/>
      <c r="SPO68" s="15"/>
      <c r="SPP68" s="15"/>
      <c r="SPQ68" s="15"/>
      <c r="SPR68" s="15"/>
      <c r="SPS68" s="15"/>
      <c r="SPT68" s="15"/>
      <c r="SPU68" s="15"/>
      <c r="SPV68" s="15"/>
      <c r="SPW68" s="15"/>
      <c r="SPX68" s="15"/>
      <c r="SPY68" s="15"/>
      <c r="SPZ68" s="15"/>
      <c r="SQA68" s="15"/>
      <c r="SQB68" s="15"/>
      <c r="SQC68" s="15"/>
      <c r="SQD68" s="15"/>
      <c r="SQE68" s="15"/>
      <c r="SQF68" s="15"/>
      <c r="SQG68" s="15"/>
      <c r="SQH68" s="15"/>
      <c r="SQI68" s="15"/>
      <c r="SQJ68" s="15"/>
      <c r="SQK68" s="15"/>
      <c r="SQL68" s="15"/>
      <c r="SQM68" s="15"/>
      <c r="SQN68" s="15"/>
      <c r="SQO68" s="15"/>
      <c r="SQP68" s="15"/>
      <c r="SQQ68" s="15"/>
      <c r="SQR68" s="15"/>
      <c r="SQS68" s="15"/>
      <c r="SQT68" s="15"/>
      <c r="SQU68" s="15"/>
      <c r="SQV68" s="15"/>
      <c r="SQW68" s="15"/>
      <c r="SQX68" s="15"/>
      <c r="SQY68" s="15"/>
      <c r="SQZ68" s="15"/>
      <c r="SRA68" s="15"/>
      <c r="SRB68" s="15"/>
      <c r="SRC68" s="15"/>
      <c r="SRD68" s="15"/>
      <c r="SRE68" s="15"/>
      <c r="SRF68" s="15"/>
      <c r="SRG68" s="15"/>
      <c r="SRH68" s="15"/>
      <c r="SRI68" s="15"/>
      <c r="SRJ68" s="15"/>
      <c r="SRK68" s="15"/>
      <c r="SRL68" s="15"/>
      <c r="SRM68" s="15"/>
      <c r="SRN68" s="15"/>
      <c r="SRO68" s="15"/>
      <c r="SRP68" s="15"/>
      <c r="SRQ68" s="15"/>
      <c r="SRR68" s="15"/>
      <c r="SRS68" s="15"/>
      <c r="SRT68" s="15"/>
      <c r="SRU68" s="15"/>
      <c r="SRV68" s="15"/>
      <c r="SRW68" s="15"/>
      <c r="SRX68" s="15"/>
      <c r="SRY68" s="15"/>
      <c r="SRZ68" s="15"/>
      <c r="SSA68" s="15"/>
      <c r="SSB68" s="15"/>
      <c r="SSC68" s="15"/>
      <c r="SSD68" s="15"/>
      <c r="SSE68" s="15"/>
      <c r="SSF68" s="15"/>
      <c r="SSG68" s="15"/>
      <c r="SSH68" s="15"/>
      <c r="SSI68" s="15"/>
      <c r="SSJ68" s="15"/>
      <c r="SSK68" s="15"/>
      <c r="SSL68" s="15"/>
      <c r="SSM68" s="15"/>
      <c r="SSN68" s="15"/>
      <c r="SSO68" s="15"/>
      <c r="SSP68" s="15"/>
      <c r="SSQ68" s="15"/>
      <c r="SSR68" s="15"/>
      <c r="SSS68" s="15"/>
      <c r="SST68" s="15"/>
      <c r="SSU68" s="15"/>
      <c r="SSV68" s="15"/>
      <c r="SSW68" s="15"/>
      <c r="SSX68" s="15"/>
      <c r="SSY68" s="15"/>
      <c r="SSZ68" s="15"/>
      <c r="STA68" s="15"/>
      <c r="STB68" s="15"/>
      <c r="STC68" s="15"/>
      <c r="STD68" s="15"/>
      <c r="STE68" s="15"/>
      <c r="STF68" s="15"/>
      <c r="STG68" s="15"/>
      <c r="STH68" s="15"/>
      <c r="STI68" s="15"/>
      <c r="STJ68" s="15"/>
      <c r="STK68" s="15"/>
      <c r="STL68" s="15"/>
      <c r="STM68" s="15"/>
      <c r="STN68" s="15"/>
      <c r="STO68" s="15"/>
      <c r="STP68" s="15"/>
      <c r="STQ68" s="15"/>
      <c r="STR68" s="15"/>
      <c r="STS68" s="15"/>
      <c r="STT68" s="15"/>
      <c r="STU68" s="15"/>
      <c r="STV68" s="15"/>
      <c r="STW68" s="15"/>
      <c r="STX68" s="15"/>
      <c r="STY68" s="15"/>
      <c r="STZ68" s="15"/>
      <c r="SUA68" s="15"/>
      <c r="SUB68" s="15"/>
      <c r="SUC68" s="15"/>
      <c r="SUD68" s="15"/>
      <c r="SUE68" s="15"/>
      <c r="SUF68" s="15"/>
      <c r="SUG68" s="15"/>
      <c r="SUH68" s="15"/>
      <c r="SUI68" s="15"/>
      <c r="SUJ68" s="15"/>
      <c r="SUK68" s="15"/>
      <c r="SUL68" s="15"/>
      <c r="SUM68" s="15"/>
      <c r="SUN68" s="15"/>
      <c r="SUO68" s="15"/>
      <c r="SUP68" s="15"/>
      <c r="SUQ68" s="15"/>
      <c r="SUR68" s="15"/>
      <c r="SUS68" s="15"/>
      <c r="SUT68" s="15"/>
      <c r="SUU68" s="15"/>
      <c r="SUV68" s="15"/>
      <c r="SUW68" s="15"/>
      <c r="SUX68" s="15"/>
      <c r="SUY68" s="15"/>
      <c r="SUZ68" s="15"/>
      <c r="SVA68" s="15"/>
      <c r="SVB68" s="15"/>
      <c r="SVC68" s="15"/>
      <c r="SVD68" s="15"/>
      <c r="SVE68" s="15"/>
      <c r="SVF68" s="15"/>
      <c r="SVG68" s="15"/>
      <c r="SVH68" s="15"/>
      <c r="SVI68" s="15"/>
      <c r="SVJ68" s="15"/>
      <c r="SVK68" s="15"/>
      <c r="SVL68" s="15"/>
      <c r="SVM68" s="15"/>
      <c r="SVN68" s="15"/>
      <c r="SVO68" s="15"/>
      <c r="SVP68" s="15"/>
      <c r="SVQ68" s="15"/>
      <c r="SVR68" s="15"/>
      <c r="SVS68" s="15"/>
      <c r="SVT68" s="15"/>
      <c r="SVU68" s="15"/>
      <c r="SVV68" s="15"/>
      <c r="SVW68" s="15"/>
      <c r="SVX68" s="15"/>
      <c r="SVY68" s="15"/>
      <c r="SVZ68" s="15"/>
      <c r="SWA68" s="15"/>
      <c r="SWB68" s="15"/>
      <c r="SWC68" s="15"/>
      <c r="SWD68" s="15"/>
      <c r="SWE68" s="15"/>
      <c r="SWF68" s="15"/>
      <c r="SWG68" s="15"/>
      <c r="SWH68" s="15"/>
      <c r="SWI68" s="15"/>
      <c r="SWJ68" s="15"/>
      <c r="SWK68" s="15"/>
      <c r="SWL68" s="15"/>
      <c r="SWM68" s="15"/>
      <c r="SWN68" s="15"/>
      <c r="SWO68" s="15"/>
      <c r="SWP68" s="15"/>
      <c r="SWQ68" s="15"/>
      <c r="SWR68" s="15"/>
      <c r="SWS68" s="15"/>
      <c r="SWT68" s="15"/>
      <c r="SWU68" s="15"/>
      <c r="SWV68" s="15"/>
      <c r="SWW68" s="15"/>
      <c r="SWX68" s="15"/>
      <c r="SWY68" s="15"/>
      <c r="SWZ68" s="15"/>
      <c r="SXA68" s="15"/>
      <c r="SXB68" s="15"/>
      <c r="SXC68" s="15"/>
      <c r="SXD68" s="15"/>
      <c r="SXE68" s="15"/>
      <c r="SXF68" s="15"/>
      <c r="SXG68" s="15"/>
      <c r="SXH68" s="15"/>
      <c r="SXI68" s="15"/>
      <c r="SXJ68" s="15"/>
      <c r="SXK68" s="15"/>
      <c r="SXL68" s="15"/>
      <c r="SXM68" s="15"/>
      <c r="SXN68" s="15"/>
      <c r="SXO68" s="15"/>
      <c r="SXP68" s="15"/>
      <c r="SXQ68" s="15"/>
      <c r="SXR68" s="15"/>
      <c r="SXS68" s="15"/>
      <c r="SXT68" s="15"/>
      <c r="SXU68" s="15"/>
      <c r="SXV68" s="15"/>
      <c r="SXW68" s="15"/>
      <c r="SXX68" s="15"/>
      <c r="SXY68" s="15"/>
      <c r="SXZ68" s="15"/>
      <c r="SYA68" s="15"/>
      <c r="SYB68" s="15"/>
      <c r="SYC68" s="15"/>
      <c r="SYD68" s="15"/>
      <c r="SYE68" s="15"/>
      <c r="SYF68" s="15"/>
      <c r="SYG68" s="15"/>
      <c r="SYH68" s="15"/>
      <c r="SYI68" s="15"/>
      <c r="SYJ68" s="15"/>
      <c r="SYK68" s="15"/>
      <c r="SYL68" s="15"/>
      <c r="SYM68" s="15"/>
      <c r="SYN68" s="15"/>
      <c r="SYO68" s="15"/>
      <c r="SYP68" s="15"/>
      <c r="SYQ68" s="15"/>
      <c r="SYR68" s="15"/>
      <c r="SYS68" s="15"/>
      <c r="SYT68" s="15"/>
      <c r="SYU68" s="15"/>
      <c r="SYV68" s="15"/>
      <c r="SYW68" s="15"/>
      <c r="SYX68" s="15"/>
      <c r="SYY68" s="15"/>
      <c r="SYZ68" s="15"/>
      <c r="SZA68" s="15"/>
      <c r="SZB68" s="15"/>
      <c r="SZC68" s="15"/>
      <c r="SZD68" s="15"/>
      <c r="SZE68" s="15"/>
      <c r="SZF68" s="15"/>
      <c r="SZG68" s="15"/>
      <c r="SZH68" s="15"/>
      <c r="SZI68" s="15"/>
      <c r="SZJ68" s="15"/>
      <c r="SZK68" s="15"/>
      <c r="SZL68" s="15"/>
      <c r="SZM68" s="15"/>
      <c r="SZN68" s="15"/>
      <c r="SZO68" s="15"/>
      <c r="SZP68" s="15"/>
      <c r="SZQ68" s="15"/>
      <c r="SZR68" s="15"/>
      <c r="SZS68" s="15"/>
      <c r="SZT68" s="15"/>
      <c r="SZU68" s="15"/>
      <c r="SZV68" s="15"/>
      <c r="SZW68" s="15"/>
      <c r="SZX68" s="15"/>
      <c r="SZY68" s="15"/>
      <c r="SZZ68" s="15"/>
      <c r="TAA68" s="15"/>
      <c r="TAB68" s="15"/>
      <c r="TAC68" s="15"/>
      <c r="TAD68" s="15"/>
      <c r="TAE68" s="15"/>
      <c r="TAF68" s="15"/>
      <c r="TAG68" s="15"/>
      <c r="TAH68" s="15"/>
      <c r="TAI68" s="15"/>
      <c r="TAJ68" s="15"/>
      <c r="TAK68" s="15"/>
      <c r="TAL68" s="15"/>
      <c r="TAM68" s="15"/>
      <c r="TAN68" s="15"/>
      <c r="TAO68" s="15"/>
      <c r="TAP68" s="15"/>
      <c r="TAQ68" s="15"/>
      <c r="TAR68" s="15"/>
      <c r="TAS68" s="15"/>
      <c r="TAT68" s="15"/>
      <c r="TAU68" s="15"/>
      <c r="TAV68" s="15"/>
      <c r="TAW68" s="15"/>
      <c r="TAX68" s="15"/>
      <c r="TAY68" s="15"/>
      <c r="TAZ68" s="15"/>
      <c r="TBA68" s="15"/>
      <c r="TBB68" s="15"/>
      <c r="TBC68" s="15"/>
      <c r="TBD68" s="15"/>
      <c r="TBE68" s="15"/>
      <c r="TBF68" s="15"/>
      <c r="TBG68" s="15"/>
      <c r="TBH68" s="15"/>
      <c r="TBI68" s="15"/>
      <c r="TBJ68" s="15"/>
      <c r="TBK68" s="15"/>
      <c r="TBL68" s="15"/>
      <c r="TBM68" s="15"/>
      <c r="TBN68" s="15"/>
      <c r="TBO68" s="15"/>
      <c r="TBP68" s="15"/>
      <c r="TBQ68" s="15"/>
      <c r="TBR68" s="15"/>
      <c r="TBS68" s="15"/>
      <c r="TBT68" s="15"/>
      <c r="TBU68" s="15"/>
      <c r="TBV68" s="15"/>
      <c r="TBW68" s="15"/>
      <c r="TBX68" s="15"/>
      <c r="TBY68" s="15"/>
      <c r="TBZ68" s="15"/>
      <c r="TCA68" s="15"/>
      <c r="TCB68" s="15"/>
      <c r="TCC68" s="15"/>
      <c r="TCD68" s="15"/>
      <c r="TCE68" s="15"/>
      <c r="TCF68" s="15"/>
      <c r="TCG68" s="15"/>
      <c r="TCH68" s="15"/>
      <c r="TCI68" s="15"/>
      <c r="TCJ68" s="15"/>
      <c r="TCK68" s="15"/>
      <c r="TCL68" s="15"/>
      <c r="TCM68" s="15"/>
      <c r="TCN68" s="15"/>
      <c r="TCO68" s="15"/>
      <c r="TCP68" s="15"/>
      <c r="TCQ68" s="15"/>
      <c r="TCR68" s="15"/>
      <c r="TCS68" s="15"/>
      <c r="TCT68" s="15"/>
      <c r="TCU68" s="15"/>
      <c r="TCV68" s="15"/>
      <c r="TCW68" s="15"/>
      <c r="TCX68" s="15"/>
      <c r="TCY68" s="15"/>
      <c r="TCZ68" s="15"/>
      <c r="TDA68" s="15"/>
      <c r="TDB68" s="15"/>
      <c r="TDC68" s="15"/>
      <c r="TDD68" s="15"/>
      <c r="TDE68" s="15"/>
      <c r="TDF68" s="15"/>
      <c r="TDG68" s="15"/>
      <c r="TDH68" s="15"/>
      <c r="TDI68" s="15"/>
      <c r="TDJ68" s="15"/>
      <c r="TDK68" s="15"/>
      <c r="TDL68" s="15"/>
      <c r="TDM68" s="15"/>
      <c r="TDN68" s="15"/>
      <c r="TDO68" s="15"/>
      <c r="TDP68" s="15"/>
      <c r="TDQ68" s="15"/>
      <c r="TDR68" s="15"/>
      <c r="TDS68" s="15"/>
      <c r="TDT68" s="15"/>
      <c r="TDU68" s="15"/>
      <c r="TDV68" s="15"/>
      <c r="TDW68" s="15"/>
      <c r="TDX68" s="15"/>
      <c r="TDY68" s="15"/>
      <c r="TDZ68" s="15"/>
      <c r="TEA68" s="15"/>
      <c r="TEB68" s="15"/>
      <c r="TEC68" s="15"/>
      <c r="TED68" s="15"/>
      <c r="TEE68" s="15"/>
      <c r="TEF68" s="15"/>
      <c r="TEG68" s="15"/>
      <c r="TEH68" s="15"/>
      <c r="TEI68" s="15"/>
      <c r="TEJ68" s="15"/>
      <c r="TEK68" s="15"/>
      <c r="TEL68" s="15"/>
      <c r="TEM68" s="15"/>
      <c r="TEN68" s="15"/>
      <c r="TEO68" s="15"/>
      <c r="TEP68" s="15"/>
      <c r="TEQ68" s="15"/>
      <c r="TER68" s="15"/>
      <c r="TES68" s="15"/>
      <c r="TET68" s="15"/>
      <c r="TEU68" s="15"/>
      <c r="TEV68" s="15"/>
      <c r="TEW68" s="15"/>
      <c r="TEX68" s="15"/>
      <c r="TEY68" s="15"/>
      <c r="TEZ68" s="15"/>
      <c r="TFA68" s="15"/>
      <c r="TFB68" s="15"/>
      <c r="TFC68" s="15"/>
      <c r="TFD68" s="15"/>
      <c r="TFE68" s="15"/>
      <c r="TFF68" s="15"/>
      <c r="TFG68" s="15"/>
      <c r="TFH68" s="15"/>
      <c r="TFI68" s="15"/>
      <c r="TFJ68" s="15"/>
      <c r="TFK68" s="15"/>
      <c r="TFL68" s="15"/>
      <c r="TFM68" s="15"/>
      <c r="TFN68" s="15"/>
      <c r="TFO68" s="15"/>
      <c r="TFP68" s="15"/>
      <c r="TFQ68" s="15"/>
      <c r="TFR68" s="15"/>
      <c r="TFS68" s="15"/>
      <c r="TFT68" s="15"/>
      <c r="TFU68" s="15"/>
      <c r="TFV68" s="15"/>
      <c r="TFW68" s="15"/>
      <c r="TFX68" s="15"/>
      <c r="TFY68" s="15"/>
      <c r="TFZ68" s="15"/>
      <c r="TGA68" s="15"/>
      <c r="TGB68" s="15"/>
      <c r="TGC68" s="15"/>
      <c r="TGD68" s="15"/>
      <c r="TGE68" s="15"/>
      <c r="TGF68" s="15"/>
      <c r="TGG68" s="15"/>
      <c r="TGH68" s="15"/>
      <c r="TGI68" s="15"/>
      <c r="TGJ68" s="15"/>
      <c r="TGK68" s="15"/>
      <c r="TGL68" s="15"/>
      <c r="TGM68" s="15"/>
      <c r="TGN68" s="15"/>
      <c r="TGO68" s="15"/>
      <c r="TGP68" s="15"/>
      <c r="TGQ68" s="15"/>
      <c r="TGR68" s="15"/>
      <c r="TGS68" s="15"/>
      <c r="TGT68" s="15"/>
      <c r="TGU68" s="15"/>
      <c r="TGV68" s="15"/>
      <c r="TGW68" s="15"/>
      <c r="TGX68" s="15"/>
      <c r="TGY68" s="15"/>
      <c r="TGZ68" s="15"/>
      <c r="THA68" s="15"/>
      <c r="THB68" s="15"/>
      <c r="THC68" s="15"/>
      <c r="THD68" s="15"/>
      <c r="THE68" s="15"/>
      <c r="THF68" s="15"/>
      <c r="THG68" s="15"/>
      <c r="THH68" s="15"/>
      <c r="THI68" s="15"/>
      <c r="THJ68" s="15"/>
      <c r="THK68" s="15"/>
      <c r="THL68" s="15"/>
      <c r="THM68" s="15"/>
      <c r="THN68" s="15"/>
      <c r="THO68" s="15"/>
      <c r="THP68" s="15"/>
      <c r="THQ68" s="15"/>
      <c r="THR68" s="15"/>
      <c r="THS68" s="15"/>
      <c r="THT68" s="15"/>
      <c r="THU68" s="15"/>
      <c r="THV68" s="15"/>
      <c r="THW68" s="15"/>
      <c r="THX68" s="15"/>
      <c r="THY68" s="15"/>
      <c r="THZ68" s="15"/>
      <c r="TIA68" s="15"/>
      <c r="TIB68" s="15"/>
      <c r="TIC68" s="15"/>
      <c r="TID68" s="15"/>
      <c r="TIE68" s="15"/>
      <c r="TIF68" s="15"/>
      <c r="TIG68" s="15"/>
      <c r="TIH68" s="15"/>
      <c r="TII68" s="15"/>
      <c r="TIJ68" s="15"/>
      <c r="TIK68" s="15"/>
      <c r="TIL68" s="15"/>
      <c r="TIM68" s="15"/>
      <c r="TIN68" s="15"/>
      <c r="TIO68" s="15"/>
      <c r="TIP68" s="15"/>
      <c r="TIQ68" s="15"/>
      <c r="TIR68" s="15"/>
      <c r="TIS68" s="15"/>
      <c r="TIT68" s="15"/>
      <c r="TIU68" s="15"/>
      <c r="TIV68" s="15"/>
      <c r="TIW68" s="15"/>
      <c r="TIX68" s="15"/>
      <c r="TIY68" s="15"/>
      <c r="TIZ68" s="15"/>
      <c r="TJA68" s="15"/>
      <c r="TJB68" s="15"/>
      <c r="TJC68" s="15"/>
      <c r="TJD68" s="15"/>
      <c r="TJE68" s="15"/>
      <c r="TJF68" s="15"/>
      <c r="TJG68" s="15"/>
      <c r="TJH68" s="15"/>
      <c r="TJI68" s="15"/>
      <c r="TJJ68" s="15"/>
      <c r="TJK68" s="15"/>
      <c r="TJL68" s="15"/>
      <c r="TJM68" s="15"/>
      <c r="TJN68" s="15"/>
      <c r="TJO68" s="15"/>
      <c r="TJP68" s="15"/>
      <c r="TJQ68" s="15"/>
      <c r="TJR68" s="15"/>
      <c r="TJS68" s="15"/>
      <c r="TJT68" s="15"/>
      <c r="TJU68" s="15"/>
      <c r="TJV68" s="15"/>
      <c r="TJW68" s="15"/>
      <c r="TJX68" s="15"/>
      <c r="TJY68" s="15"/>
      <c r="TJZ68" s="15"/>
      <c r="TKA68" s="15"/>
      <c r="TKB68" s="15"/>
      <c r="TKC68" s="15"/>
      <c r="TKD68" s="15"/>
      <c r="TKE68" s="15"/>
      <c r="TKF68" s="15"/>
      <c r="TKG68" s="15"/>
      <c r="TKH68" s="15"/>
      <c r="TKI68" s="15"/>
      <c r="TKJ68" s="15"/>
      <c r="TKK68" s="15"/>
      <c r="TKL68" s="15"/>
      <c r="TKM68" s="15"/>
      <c r="TKN68" s="15"/>
      <c r="TKO68" s="15"/>
      <c r="TKP68" s="15"/>
      <c r="TKQ68" s="15"/>
      <c r="TKR68" s="15"/>
      <c r="TKS68" s="15"/>
      <c r="TKT68" s="15"/>
      <c r="TKU68" s="15"/>
      <c r="TKV68" s="15"/>
      <c r="TKW68" s="15"/>
      <c r="TKX68" s="15"/>
      <c r="TKY68" s="15"/>
      <c r="TKZ68" s="15"/>
      <c r="TLA68" s="15"/>
      <c r="TLB68" s="15"/>
      <c r="TLC68" s="15"/>
      <c r="TLD68" s="15"/>
      <c r="TLE68" s="15"/>
      <c r="TLF68" s="15"/>
      <c r="TLG68" s="15"/>
      <c r="TLH68" s="15"/>
      <c r="TLI68" s="15"/>
      <c r="TLJ68" s="15"/>
      <c r="TLK68" s="15"/>
      <c r="TLL68" s="15"/>
      <c r="TLM68" s="15"/>
      <c r="TLN68" s="15"/>
      <c r="TLO68" s="15"/>
      <c r="TLP68" s="15"/>
      <c r="TLQ68" s="15"/>
      <c r="TLR68" s="15"/>
      <c r="TLS68" s="15"/>
      <c r="TLT68" s="15"/>
      <c r="TLU68" s="15"/>
      <c r="TLV68" s="15"/>
      <c r="TLW68" s="15"/>
      <c r="TLX68" s="15"/>
      <c r="TLY68" s="15"/>
      <c r="TLZ68" s="15"/>
      <c r="TMA68" s="15"/>
      <c r="TMB68" s="15"/>
      <c r="TMC68" s="15"/>
      <c r="TMD68" s="15"/>
      <c r="TME68" s="15"/>
      <c r="TMF68" s="15"/>
      <c r="TMG68" s="15"/>
      <c r="TMH68" s="15"/>
      <c r="TMI68" s="15"/>
      <c r="TMJ68" s="15"/>
      <c r="TMK68" s="15"/>
      <c r="TML68" s="15"/>
      <c r="TMM68" s="15"/>
      <c r="TMN68" s="15"/>
      <c r="TMO68" s="15"/>
      <c r="TMP68" s="15"/>
      <c r="TMQ68" s="15"/>
      <c r="TMR68" s="15"/>
      <c r="TMS68" s="15"/>
      <c r="TMT68" s="15"/>
      <c r="TMU68" s="15"/>
      <c r="TMV68" s="15"/>
      <c r="TMW68" s="15"/>
      <c r="TMX68" s="15"/>
      <c r="TMY68" s="15"/>
      <c r="TMZ68" s="15"/>
      <c r="TNA68" s="15"/>
      <c r="TNB68" s="15"/>
      <c r="TNC68" s="15"/>
      <c r="TND68" s="15"/>
      <c r="TNE68" s="15"/>
      <c r="TNF68" s="15"/>
      <c r="TNG68" s="15"/>
      <c r="TNH68" s="15"/>
      <c r="TNI68" s="15"/>
      <c r="TNJ68" s="15"/>
      <c r="TNK68" s="15"/>
      <c r="TNL68" s="15"/>
      <c r="TNM68" s="15"/>
      <c r="TNN68" s="15"/>
      <c r="TNO68" s="15"/>
      <c r="TNP68" s="15"/>
      <c r="TNQ68" s="15"/>
      <c r="TNR68" s="15"/>
      <c r="TNS68" s="15"/>
      <c r="TNT68" s="15"/>
      <c r="TNU68" s="15"/>
      <c r="TNV68" s="15"/>
      <c r="TNW68" s="15"/>
      <c r="TNX68" s="15"/>
      <c r="TNY68" s="15"/>
      <c r="TNZ68" s="15"/>
      <c r="TOA68" s="15"/>
      <c r="TOB68" s="15"/>
      <c r="TOC68" s="15"/>
      <c r="TOD68" s="15"/>
      <c r="TOE68" s="15"/>
      <c r="TOF68" s="15"/>
      <c r="TOG68" s="15"/>
      <c r="TOH68" s="15"/>
      <c r="TOI68" s="15"/>
      <c r="TOJ68" s="15"/>
      <c r="TOK68" s="15"/>
      <c r="TOL68" s="15"/>
      <c r="TOM68" s="15"/>
      <c r="TON68" s="15"/>
      <c r="TOO68" s="15"/>
      <c r="TOP68" s="15"/>
      <c r="TOQ68" s="15"/>
      <c r="TOR68" s="15"/>
      <c r="TOS68" s="15"/>
      <c r="TOT68" s="15"/>
      <c r="TOU68" s="15"/>
      <c r="TOV68" s="15"/>
      <c r="TOW68" s="15"/>
      <c r="TOX68" s="15"/>
      <c r="TOY68" s="15"/>
      <c r="TOZ68" s="15"/>
      <c r="TPA68" s="15"/>
      <c r="TPB68" s="15"/>
      <c r="TPC68" s="15"/>
      <c r="TPD68" s="15"/>
      <c r="TPE68" s="15"/>
      <c r="TPF68" s="15"/>
      <c r="TPG68" s="15"/>
      <c r="TPH68" s="15"/>
      <c r="TPI68" s="15"/>
      <c r="TPJ68" s="15"/>
      <c r="TPK68" s="15"/>
      <c r="TPL68" s="15"/>
      <c r="TPM68" s="15"/>
      <c r="TPN68" s="15"/>
      <c r="TPO68" s="15"/>
      <c r="TPP68" s="15"/>
      <c r="TPQ68" s="15"/>
      <c r="TPR68" s="15"/>
      <c r="TPS68" s="15"/>
      <c r="TPT68" s="15"/>
      <c r="TPU68" s="15"/>
      <c r="TPV68" s="15"/>
      <c r="TPW68" s="15"/>
      <c r="TPX68" s="15"/>
      <c r="TPY68" s="15"/>
      <c r="TPZ68" s="15"/>
      <c r="TQA68" s="15"/>
      <c r="TQB68" s="15"/>
      <c r="TQC68" s="15"/>
      <c r="TQD68" s="15"/>
      <c r="TQE68" s="15"/>
      <c r="TQF68" s="15"/>
      <c r="TQG68" s="15"/>
      <c r="TQH68" s="15"/>
      <c r="TQI68" s="15"/>
      <c r="TQJ68" s="15"/>
      <c r="TQK68" s="15"/>
      <c r="TQL68" s="15"/>
      <c r="TQM68" s="15"/>
      <c r="TQN68" s="15"/>
      <c r="TQO68" s="15"/>
      <c r="TQP68" s="15"/>
      <c r="TQQ68" s="15"/>
      <c r="TQR68" s="15"/>
      <c r="TQS68" s="15"/>
      <c r="TQT68" s="15"/>
      <c r="TQU68" s="15"/>
      <c r="TQV68" s="15"/>
      <c r="TQW68" s="15"/>
      <c r="TQX68" s="15"/>
      <c r="TQY68" s="15"/>
      <c r="TQZ68" s="15"/>
      <c r="TRA68" s="15"/>
      <c r="TRB68" s="15"/>
      <c r="TRC68" s="15"/>
      <c r="TRD68" s="15"/>
      <c r="TRE68" s="15"/>
      <c r="TRF68" s="15"/>
      <c r="TRG68" s="15"/>
      <c r="TRH68" s="15"/>
      <c r="TRI68" s="15"/>
      <c r="TRJ68" s="15"/>
      <c r="TRK68" s="15"/>
      <c r="TRL68" s="15"/>
      <c r="TRM68" s="15"/>
      <c r="TRN68" s="15"/>
      <c r="TRO68" s="15"/>
      <c r="TRP68" s="15"/>
      <c r="TRQ68" s="15"/>
      <c r="TRR68" s="15"/>
      <c r="TRS68" s="15"/>
      <c r="TRT68" s="15"/>
      <c r="TRU68" s="15"/>
      <c r="TRV68" s="15"/>
      <c r="TRW68" s="15"/>
      <c r="TRX68" s="15"/>
      <c r="TRY68" s="15"/>
      <c r="TRZ68" s="15"/>
      <c r="TSA68" s="15"/>
      <c r="TSB68" s="15"/>
      <c r="TSC68" s="15"/>
      <c r="TSD68" s="15"/>
      <c r="TSE68" s="15"/>
      <c r="TSF68" s="15"/>
      <c r="TSG68" s="15"/>
      <c r="TSH68" s="15"/>
      <c r="TSI68" s="15"/>
      <c r="TSJ68" s="15"/>
      <c r="TSK68" s="15"/>
      <c r="TSL68" s="15"/>
      <c r="TSM68" s="15"/>
      <c r="TSN68" s="15"/>
      <c r="TSO68" s="15"/>
      <c r="TSP68" s="15"/>
      <c r="TSQ68" s="15"/>
      <c r="TSR68" s="15"/>
      <c r="TSS68" s="15"/>
      <c r="TST68" s="15"/>
      <c r="TSU68" s="15"/>
      <c r="TSV68" s="15"/>
      <c r="TSW68" s="15"/>
      <c r="TSX68" s="15"/>
      <c r="TSY68" s="15"/>
      <c r="TSZ68" s="15"/>
      <c r="TTA68" s="15"/>
      <c r="TTB68" s="15"/>
      <c r="TTC68" s="15"/>
      <c r="TTD68" s="15"/>
      <c r="TTE68" s="15"/>
      <c r="TTF68" s="15"/>
      <c r="TTG68" s="15"/>
      <c r="TTH68" s="15"/>
      <c r="TTI68" s="15"/>
      <c r="TTJ68" s="15"/>
      <c r="TTK68" s="15"/>
      <c r="TTL68" s="15"/>
      <c r="TTM68" s="15"/>
      <c r="TTN68" s="15"/>
      <c r="TTO68" s="15"/>
      <c r="TTP68" s="15"/>
      <c r="TTQ68" s="15"/>
      <c r="TTR68" s="15"/>
      <c r="TTS68" s="15"/>
      <c r="TTT68" s="15"/>
      <c r="TTU68" s="15"/>
      <c r="TTV68" s="15"/>
      <c r="TTW68" s="15"/>
      <c r="TTX68" s="15"/>
      <c r="TTY68" s="15"/>
      <c r="TTZ68" s="15"/>
      <c r="TUA68" s="15"/>
      <c r="TUB68" s="15"/>
      <c r="TUC68" s="15"/>
      <c r="TUD68" s="15"/>
      <c r="TUE68" s="15"/>
      <c r="TUF68" s="15"/>
      <c r="TUG68" s="15"/>
      <c r="TUH68" s="15"/>
      <c r="TUI68" s="15"/>
      <c r="TUJ68" s="15"/>
      <c r="TUK68" s="15"/>
      <c r="TUL68" s="15"/>
      <c r="TUM68" s="15"/>
      <c r="TUN68" s="15"/>
      <c r="TUO68" s="15"/>
      <c r="TUP68" s="15"/>
      <c r="TUQ68" s="15"/>
      <c r="TUR68" s="15"/>
      <c r="TUS68" s="15"/>
      <c r="TUT68" s="15"/>
      <c r="TUU68" s="15"/>
      <c r="TUV68" s="15"/>
      <c r="TUW68" s="15"/>
      <c r="TUX68" s="15"/>
      <c r="TUY68" s="15"/>
      <c r="TUZ68" s="15"/>
      <c r="TVA68" s="15"/>
      <c r="TVB68" s="15"/>
      <c r="TVC68" s="15"/>
      <c r="TVD68" s="15"/>
      <c r="TVE68" s="15"/>
      <c r="TVF68" s="15"/>
      <c r="TVG68" s="15"/>
      <c r="TVH68" s="15"/>
      <c r="TVI68" s="15"/>
      <c r="TVJ68" s="15"/>
      <c r="TVK68" s="15"/>
      <c r="TVL68" s="15"/>
      <c r="TVM68" s="15"/>
      <c r="TVN68" s="15"/>
      <c r="TVO68" s="15"/>
      <c r="TVP68" s="15"/>
      <c r="TVQ68" s="15"/>
      <c r="TVR68" s="15"/>
      <c r="TVS68" s="15"/>
      <c r="TVT68" s="15"/>
      <c r="TVU68" s="15"/>
      <c r="TVV68" s="15"/>
      <c r="TVW68" s="15"/>
      <c r="TVX68" s="15"/>
      <c r="TVY68" s="15"/>
      <c r="TVZ68" s="15"/>
      <c r="TWA68" s="15"/>
      <c r="TWB68" s="15"/>
      <c r="TWC68" s="15"/>
      <c r="TWD68" s="15"/>
      <c r="TWE68" s="15"/>
      <c r="TWF68" s="15"/>
      <c r="TWG68" s="15"/>
      <c r="TWH68" s="15"/>
      <c r="TWI68" s="15"/>
      <c r="TWJ68" s="15"/>
      <c r="TWK68" s="15"/>
      <c r="TWL68" s="15"/>
      <c r="TWM68" s="15"/>
      <c r="TWN68" s="15"/>
      <c r="TWO68" s="15"/>
      <c r="TWP68" s="15"/>
      <c r="TWQ68" s="15"/>
      <c r="TWR68" s="15"/>
      <c r="TWS68" s="15"/>
      <c r="TWT68" s="15"/>
      <c r="TWU68" s="15"/>
      <c r="TWV68" s="15"/>
      <c r="TWW68" s="15"/>
      <c r="TWX68" s="15"/>
      <c r="TWY68" s="15"/>
      <c r="TWZ68" s="15"/>
      <c r="TXA68" s="15"/>
      <c r="TXB68" s="15"/>
      <c r="TXC68" s="15"/>
      <c r="TXD68" s="15"/>
      <c r="TXE68" s="15"/>
      <c r="TXF68" s="15"/>
      <c r="TXG68" s="15"/>
      <c r="TXH68" s="15"/>
      <c r="TXI68" s="15"/>
      <c r="TXJ68" s="15"/>
      <c r="TXK68" s="15"/>
      <c r="TXL68" s="15"/>
      <c r="TXM68" s="15"/>
      <c r="TXN68" s="15"/>
      <c r="TXO68" s="15"/>
      <c r="TXP68" s="15"/>
      <c r="TXQ68" s="15"/>
      <c r="TXR68" s="15"/>
      <c r="TXS68" s="15"/>
      <c r="TXT68" s="15"/>
      <c r="TXU68" s="15"/>
      <c r="TXV68" s="15"/>
      <c r="TXW68" s="15"/>
      <c r="TXX68" s="15"/>
      <c r="TXY68" s="15"/>
      <c r="TXZ68" s="15"/>
      <c r="TYA68" s="15"/>
      <c r="TYB68" s="15"/>
      <c r="TYC68" s="15"/>
      <c r="TYD68" s="15"/>
      <c r="TYE68" s="15"/>
      <c r="TYF68" s="15"/>
      <c r="TYG68" s="15"/>
      <c r="TYH68" s="15"/>
      <c r="TYI68" s="15"/>
      <c r="TYJ68" s="15"/>
      <c r="TYK68" s="15"/>
      <c r="TYL68" s="15"/>
      <c r="TYM68" s="15"/>
      <c r="TYN68" s="15"/>
      <c r="TYO68" s="15"/>
      <c r="TYP68" s="15"/>
      <c r="TYQ68" s="15"/>
      <c r="TYR68" s="15"/>
      <c r="TYS68" s="15"/>
      <c r="TYT68" s="15"/>
      <c r="TYU68" s="15"/>
      <c r="TYV68" s="15"/>
      <c r="TYW68" s="15"/>
      <c r="TYX68" s="15"/>
      <c r="TYY68" s="15"/>
      <c r="TYZ68" s="15"/>
      <c r="TZA68" s="15"/>
      <c r="TZB68" s="15"/>
      <c r="TZC68" s="15"/>
      <c r="TZD68" s="15"/>
      <c r="TZE68" s="15"/>
      <c r="TZF68" s="15"/>
      <c r="TZG68" s="15"/>
      <c r="TZH68" s="15"/>
      <c r="TZI68" s="15"/>
      <c r="TZJ68" s="15"/>
      <c r="TZK68" s="15"/>
      <c r="TZL68" s="15"/>
      <c r="TZM68" s="15"/>
      <c r="TZN68" s="15"/>
      <c r="TZO68" s="15"/>
      <c r="TZP68" s="15"/>
      <c r="TZQ68" s="15"/>
      <c r="TZR68" s="15"/>
      <c r="TZS68" s="15"/>
      <c r="TZT68" s="15"/>
      <c r="TZU68" s="15"/>
      <c r="TZV68" s="15"/>
      <c r="TZW68" s="15"/>
      <c r="TZX68" s="15"/>
      <c r="TZY68" s="15"/>
      <c r="TZZ68" s="15"/>
      <c r="UAA68" s="15"/>
      <c r="UAB68" s="15"/>
      <c r="UAC68" s="15"/>
      <c r="UAD68" s="15"/>
      <c r="UAE68" s="15"/>
      <c r="UAF68" s="15"/>
      <c r="UAG68" s="15"/>
      <c r="UAH68" s="15"/>
      <c r="UAI68" s="15"/>
      <c r="UAJ68" s="15"/>
      <c r="UAK68" s="15"/>
      <c r="UAL68" s="15"/>
      <c r="UAM68" s="15"/>
      <c r="UAN68" s="15"/>
      <c r="UAO68" s="15"/>
      <c r="UAP68" s="15"/>
      <c r="UAQ68" s="15"/>
      <c r="UAR68" s="15"/>
      <c r="UAS68" s="15"/>
      <c r="UAT68" s="15"/>
      <c r="UAU68" s="15"/>
      <c r="UAV68" s="15"/>
      <c r="UAW68" s="15"/>
      <c r="UAX68" s="15"/>
      <c r="UAY68" s="15"/>
      <c r="UAZ68" s="15"/>
      <c r="UBA68" s="15"/>
      <c r="UBB68" s="15"/>
      <c r="UBC68" s="15"/>
      <c r="UBD68" s="15"/>
      <c r="UBE68" s="15"/>
      <c r="UBF68" s="15"/>
      <c r="UBG68" s="15"/>
      <c r="UBH68" s="15"/>
      <c r="UBI68" s="15"/>
      <c r="UBJ68" s="15"/>
      <c r="UBK68" s="15"/>
      <c r="UBL68" s="15"/>
      <c r="UBM68" s="15"/>
      <c r="UBN68" s="15"/>
      <c r="UBO68" s="15"/>
      <c r="UBP68" s="15"/>
      <c r="UBQ68" s="15"/>
      <c r="UBR68" s="15"/>
      <c r="UBS68" s="15"/>
      <c r="UBT68" s="15"/>
      <c r="UBU68" s="15"/>
      <c r="UBV68" s="15"/>
      <c r="UBW68" s="15"/>
      <c r="UBX68" s="15"/>
      <c r="UBY68" s="15"/>
      <c r="UBZ68" s="15"/>
      <c r="UCA68" s="15"/>
      <c r="UCB68" s="15"/>
      <c r="UCC68" s="15"/>
      <c r="UCD68" s="15"/>
      <c r="UCE68" s="15"/>
      <c r="UCF68" s="15"/>
      <c r="UCG68" s="15"/>
      <c r="UCH68" s="15"/>
      <c r="UCI68" s="15"/>
      <c r="UCJ68" s="15"/>
      <c r="UCK68" s="15"/>
      <c r="UCL68" s="15"/>
      <c r="UCM68" s="15"/>
      <c r="UCN68" s="15"/>
      <c r="UCO68" s="15"/>
      <c r="UCP68" s="15"/>
      <c r="UCQ68" s="15"/>
      <c r="UCR68" s="15"/>
      <c r="UCS68" s="15"/>
      <c r="UCT68" s="15"/>
      <c r="UCU68" s="15"/>
      <c r="UCV68" s="15"/>
      <c r="UCW68" s="15"/>
      <c r="UCX68" s="15"/>
      <c r="UCY68" s="15"/>
      <c r="UCZ68" s="15"/>
      <c r="UDA68" s="15"/>
      <c r="UDB68" s="15"/>
      <c r="UDC68" s="15"/>
      <c r="UDD68" s="15"/>
      <c r="UDE68" s="15"/>
      <c r="UDF68" s="15"/>
      <c r="UDG68" s="15"/>
      <c r="UDH68" s="15"/>
      <c r="UDI68" s="15"/>
      <c r="UDJ68" s="15"/>
      <c r="UDK68" s="15"/>
      <c r="UDL68" s="15"/>
      <c r="UDM68" s="15"/>
      <c r="UDN68" s="15"/>
      <c r="UDO68" s="15"/>
      <c r="UDP68" s="15"/>
      <c r="UDQ68" s="15"/>
      <c r="UDR68" s="15"/>
      <c r="UDS68" s="15"/>
      <c r="UDT68" s="15"/>
      <c r="UDU68" s="15"/>
      <c r="UDV68" s="15"/>
      <c r="UDW68" s="15"/>
      <c r="UDX68" s="15"/>
      <c r="UDY68" s="15"/>
      <c r="UDZ68" s="15"/>
      <c r="UEA68" s="15"/>
      <c r="UEB68" s="15"/>
      <c r="UEC68" s="15"/>
      <c r="UED68" s="15"/>
      <c r="UEE68" s="15"/>
      <c r="UEF68" s="15"/>
      <c r="UEG68" s="15"/>
      <c r="UEH68" s="15"/>
      <c r="UEI68" s="15"/>
      <c r="UEJ68" s="15"/>
      <c r="UEK68" s="15"/>
      <c r="UEL68" s="15"/>
      <c r="UEM68" s="15"/>
      <c r="UEN68" s="15"/>
      <c r="UEO68" s="15"/>
      <c r="UEP68" s="15"/>
      <c r="UEQ68" s="15"/>
      <c r="UER68" s="15"/>
      <c r="UES68" s="15"/>
      <c r="UET68" s="15"/>
      <c r="UEU68" s="15"/>
      <c r="UEV68" s="15"/>
      <c r="UEW68" s="15"/>
      <c r="UEX68" s="15"/>
      <c r="UEY68" s="15"/>
      <c r="UEZ68" s="15"/>
      <c r="UFA68" s="15"/>
      <c r="UFB68" s="15"/>
      <c r="UFC68" s="15"/>
      <c r="UFD68" s="15"/>
      <c r="UFE68" s="15"/>
      <c r="UFF68" s="15"/>
      <c r="UFG68" s="15"/>
      <c r="UFH68" s="15"/>
      <c r="UFI68" s="15"/>
      <c r="UFJ68" s="15"/>
      <c r="UFK68" s="15"/>
      <c r="UFL68" s="15"/>
      <c r="UFM68" s="15"/>
      <c r="UFN68" s="15"/>
      <c r="UFO68" s="15"/>
      <c r="UFP68" s="15"/>
      <c r="UFQ68" s="15"/>
      <c r="UFR68" s="15"/>
      <c r="UFS68" s="15"/>
      <c r="UFT68" s="15"/>
      <c r="UFU68" s="15"/>
      <c r="UFV68" s="15"/>
      <c r="UFW68" s="15"/>
      <c r="UFX68" s="15"/>
      <c r="UFY68" s="15"/>
      <c r="UFZ68" s="15"/>
      <c r="UGA68" s="15"/>
      <c r="UGB68" s="15"/>
      <c r="UGC68" s="15"/>
      <c r="UGD68" s="15"/>
      <c r="UGE68" s="15"/>
      <c r="UGF68" s="15"/>
      <c r="UGG68" s="15"/>
      <c r="UGH68" s="15"/>
      <c r="UGI68" s="15"/>
      <c r="UGJ68" s="15"/>
      <c r="UGK68" s="15"/>
      <c r="UGL68" s="15"/>
      <c r="UGM68" s="15"/>
      <c r="UGN68" s="15"/>
      <c r="UGO68" s="15"/>
      <c r="UGP68" s="15"/>
      <c r="UGQ68" s="15"/>
      <c r="UGR68" s="15"/>
      <c r="UGS68" s="15"/>
      <c r="UGT68" s="15"/>
      <c r="UGU68" s="15"/>
      <c r="UGV68" s="15"/>
      <c r="UGW68" s="15"/>
      <c r="UGX68" s="15"/>
      <c r="UGY68" s="15"/>
      <c r="UGZ68" s="15"/>
      <c r="UHA68" s="15"/>
      <c r="UHB68" s="15"/>
      <c r="UHC68" s="15"/>
      <c r="UHD68" s="15"/>
      <c r="UHE68" s="15"/>
      <c r="UHF68" s="15"/>
      <c r="UHG68" s="15"/>
      <c r="UHH68" s="15"/>
      <c r="UHI68" s="15"/>
      <c r="UHJ68" s="15"/>
      <c r="UHK68" s="15"/>
      <c r="UHL68" s="15"/>
      <c r="UHM68" s="15"/>
      <c r="UHN68" s="15"/>
      <c r="UHO68" s="15"/>
      <c r="UHP68" s="15"/>
      <c r="UHQ68" s="15"/>
      <c r="UHR68" s="15"/>
      <c r="UHS68" s="15"/>
      <c r="UHT68" s="15"/>
      <c r="UHU68" s="15"/>
      <c r="UHV68" s="15"/>
      <c r="UHW68" s="15"/>
      <c r="UHX68" s="15"/>
      <c r="UHY68" s="15"/>
      <c r="UHZ68" s="15"/>
      <c r="UIA68" s="15"/>
      <c r="UIB68" s="15"/>
      <c r="UIC68" s="15"/>
      <c r="UID68" s="15"/>
      <c r="UIE68" s="15"/>
      <c r="UIF68" s="15"/>
      <c r="UIG68" s="15"/>
      <c r="UIH68" s="15"/>
      <c r="UII68" s="15"/>
      <c r="UIJ68" s="15"/>
      <c r="UIK68" s="15"/>
      <c r="UIL68" s="15"/>
      <c r="UIM68" s="15"/>
      <c r="UIN68" s="15"/>
      <c r="UIO68" s="15"/>
      <c r="UIP68" s="15"/>
      <c r="UIQ68" s="15"/>
      <c r="UIR68" s="15"/>
      <c r="UIS68" s="15"/>
      <c r="UIT68" s="15"/>
      <c r="UIU68" s="15"/>
      <c r="UIV68" s="15"/>
      <c r="UIW68" s="15"/>
      <c r="UIX68" s="15"/>
      <c r="UIY68" s="15"/>
      <c r="UIZ68" s="15"/>
      <c r="UJA68" s="15"/>
      <c r="UJB68" s="15"/>
      <c r="UJC68" s="15"/>
      <c r="UJD68" s="15"/>
      <c r="UJE68" s="15"/>
      <c r="UJF68" s="15"/>
      <c r="UJG68" s="15"/>
      <c r="UJH68" s="15"/>
      <c r="UJI68" s="15"/>
      <c r="UJJ68" s="15"/>
      <c r="UJK68" s="15"/>
      <c r="UJL68" s="15"/>
      <c r="UJM68" s="15"/>
      <c r="UJN68" s="15"/>
      <c r="UJO68" s="15"/>
      <c r="UJP68" s="15"/>
      <c r="UJQ68" s="15"/>
      <c r="UJR68" s="15"/>
      <c r="UJS68" s="15"/>
      <c r="UJT68" s="15"/>
      <c r="UJU68" s="15"/>
      <c r="UJV68" s="15"/>
      <c r="UJW68" s="15"/>
      <c r="UJX68" s="15"/>
      <c r="UJY68" s="15"/>
      <c r="UJZ68" s="15"/>
      <c r="UKA68" s="15"/>
      <c r="UKB68" s="15"/>
      <c r="UKC68" s="15"/>
      <c r="UKD68" s="15"/>
      <c r="UKE68" s="15"/>
      <c r="UKF68" s="15"/>
      <c r="UKG68" s="15"/>
      <c r="UKH68" s="15"/>
      <c r="UKI68" s="15"/>
      <c r="UKJ68" s="15"/>
      <c r="UKK68" s="15"/>
      <c r="UKL68" s="15"/>
      <c r="UKM68" s="15"/>
      <c r="UKN68" s="15"/>
      <c r="UKO68" s="15"/>
      <c r="UKP68" s="15"/>
      <c r="UKQ68" s="15"/>
      <c r="UKR68" s="15"/>
      <c r="UKS68" s="15"/>
      <c r="UKT68" s="15"/>
      <c r="UKU68" s="15"/>
      <c r="UKV68" s="15"/>
      <c r="UKW68" s="15"/>
      <c r="UKX68" s="15"/>
      <c r="UKY68" s="15"/>
      <c r="UKZ68" s="15"/>
      <c r="ULA68" s="15"/>
      <c r="ULB68" s="15"/>
      <c r="ULC68" s="15"/>
      <c r="ULD68" s="15"/>
      <c r="ULE68" s="15"/>
      <c r="ULF68" s="15"/>
      <c r="ULG68" s="15"/>
      <c r="ULH68" s="15"/>
      <c r="ULI68" s="15"/>
      <c r="ULJ68" s="15"/>
      <c r="ULK68" s="15"/>
      <c r="ULL68" s="15"/>
      <c r="ULM68" s="15"/>
      <c r="ULN68" s="15"/>
      <c r="ULO68" s="15"/>
      <c r="ULP68" s="15"/>
      <c r="ULQ68" s="15"/>
      <c r="ULR68" s="15"/>
      <c r="ULS68" s="15"/>
      <c r="ULT68" s="15"/>
      <c r="ULU68" s="15"/>
      <c r="ULV68" s="15"/>
      <c r="ULW68" s="15"/>
      <c r="ULX68" s="15"/>
      <c r="ULY68" s="15"/>
      <c r="ULZ68" s="15"/>
      <c r="UMA68" s="15"/>
      <c r="UMB68" s="15"/>
      <c r="UMC68" s="15"/>
      <c r="UMD68" s="15"/>
      <c r="UME68" s="15"/>
      <c r="UMF68" s="15"/>
      <c r="UMG68" s="15"/>
      <c r="UMH68" s="15"/>
      <c r="UMI68" s="15"/>
      <c r="UMJ68" s="15"/>
      <c r="UMK68" s="15"/>
      <c r="UML68" s="15"/>
      <c r="UMM68" s="15"/>
      <c r="UMN68" s="15"/>
      <c r="UMO68" s="15"/>
      <c r="UMP68" s="15"/>
      <c r="UMQ68" s="15"/>
      <c r="UMR68" s="15"/>
      <c r="UMS68" s="15"/>
      <c r="UMT68" s="15"/>
      <c r="UMU68" s="15"/>
      <c r="UMV68" s="15"/>
      <c r="UMW68" s="15"/>
      <c r="UMX68" s="15"/>
      <c r="UMY68" s="15"/>
      <c r="UMZ68" s="15"/>
      <c r="UNA68" s="15"/>
      <c r="UNB68" s="15"/>
      <c r="UNC68" s="15"/>
      <c r="UND68" s="15"/>
      <c r="UNE68" s="15"/>
      <c r="UNF68" s="15"/>
      <c r="UNG68" s="15"/>
      <c r="UNH68" s="15"/>
      <c r="UNI68" s="15"/>
      <c r="UNJ68" s="15"/>
      <c r="UNK68" s="15"/>
      <c r="UNL68" s="15"/>
      <c r="UNM68" s="15"/>
      <c r="UNN68" s="15"/>
      <c r="UNO68" s="15"/>
      <c r="UNP68" s="15"/>
      <c r="UNQ68" s="15"/>
      <c r="UNR68" s="15"/>
      <c r="UNS68" s="15"/>
      <c r="UNT68" s="15"/>
      <c r="UNU68" s="15"/>
      <c r="UNV68" s="15"/>
      <c r="UNW68" s="15"/>
      <c r="UNX68" s="15"/>
      <c r="UNY68" s="15"/>
      <c r="UNZ68" s="15"/>
      <c r="UOA68" s="15"/>
      <c r="UOB68" s="15"/>
      <c r="UOC68" s="15"/>
      <c r="UOD68" s="15"/>
      <c r="UOE68" s="15"/>
      <c r="UOF68" s="15"/>
      <c r="UOG68" s="15"/>
      <c r="UOH68" s="15"/>
      <c r="UOI68" s="15"/>
      <c r="UOJ68" s="15"/>
      <c r="UOK68" s="15"/>
      <c r="UOL68" s="15"/>
      <c r="UOM68" s="15"/>
      <c r="UON68" s="15"/>
      <c r="UOO68" s="15"/>
      <c r="UOP68" s="15"/>
      <c r="UOQ68" s="15"/>
      <c r="UOR68" s="15"/>
      <c r="UOS68" s="15"/>
      <c r="UOT68" s="15"/>
      <c r="UOU68" s="15"/>
      <c r="UOV68" s="15"/>
      <c r="UOW68" s="15"/>
      <c r="UOX68" s="15"/>
      <c r="UOY68" s="15"/>
      <c r="UOZ68" s="15"/>
      <c r="UPA68" s="15"/>
      <c r="UPB68" s="15"/>
      <c r="UPC68" s="15"/>
      <c r="UPD68" s="15"/>
      <c r="UPE68" s="15"/>
      <c r="UPF68" s="15"/>
      <c r="UPG68" s="15"/>
      <c r="UPH68" s="15"/>
      <c r="UPI68" s="15"/>
      <c r="UPJ68" s="15"/>
      <c r="UPK68" s="15"/>
      <c r="UPL68" s="15"/>
      <c r="UPM68" s="15"/>
      <c r="UPN68" s="15"/>
      <c r="UPO68" s="15"/>
      <c r="UPP68" s="15"/>
      <c r="UPQ68" s="15"/>
      <c r="UPR68" s="15"/>
      <c r="UPS68" s="15"/>
      <c r="UPT68" s="15"/>
      <c r="UPU68" s="15"/>
      <c r="UPV68" s="15"/>
      <c r="UPW68" s="15"/>
      <c r="UPX68" s="15"/>
      <c r="UPY68" s="15"/>
      <c r="UPZ68" s="15"/>
      <c r="UQA68" s="15"/>
      <c r="UQB68" s="15"/>
      <c r="UQC68" s="15"/>
      <c r="UQD68" s="15"/>
      <c r="UQE68" s="15"/>
      <c r="UQF68" s="15"/>
      <c r="UQG68" s="15"/>
      <c r="UQH68" s="15"/>
      <c r="UQI68" s="15"/>
      <c r="UQJ68" s="15"/>
      <c r="UQK68" s="15"/>
      <c r="UQL68" s="15"/>
      <c r="UQM68" s="15"/>
      <c r="UQN68" s="15"/>
      <c r="UQO68" s="15"/>
      <c r="UQP68" s="15"/>
      <c r="UQQ68" s="15"/>
      <c r="UQR68" s="15"/>
      <c r="UQS68" s="15"/>
      <c r="UQT68" s="15"/>
      <c r="UQU68" s="15"/>
      <c r="UQV68" s="15"/>
      <c r="UQW68" s="15"/>
      <c r="UQX68" s="15"/>
      <c r="UQY68" s="15"/>
      <c r="UQZ68" s="15"/>
      <c r="URA68" s="15"/>
      <c r="URB68" s="15"/>
      <c r="URC68" s="15"/>
      <c r="URD68" s="15"/>
      <c r="URE68" s="15"/>
      <c r="URF68" s="15"/>
      <c r="URG68" s="15"/>
      <c r="URH68" s="15"/>
      <c r="URI68" s="15"/>
      <c r="URJ68" s="15"/>
      <c r="URK68" s="15"/>
      <c r="URL68" s="15"/>
      <c r="URM68" s="15"/>
      <c r="URN68" s="15"/>
      <c r="URO68" s="15"/>
      <c r="URP68" s="15"/>
      <c r="URQ68" s="15"/>
      <c r="URR68" s="15"/>
      <c r="URS68" s="15"/>
      <c r="URT68" s="15"/>
      <c r="URU68" s="15"/>
      <c r="URV68" s="15"/>
      <c r="URW68" s="15"/>
      <c r="URX68" s="15"/>
      <c r="URY68" s="15"/>
      <c r="URZ68" s="15"/>
      <c r="USA68" s="15"/>
      <c r="USB68" s="15"/>
      <c r="USC68" s="15"/>
      <c r="USD68" s="15"/>
      <c r="USE68" s="15"/>
      <c r="USF68" s="15"/>
      <c r="USG68" s="15"/>
      <c r="USH68" s="15"/>
      <c r="USI68" s="15"/>
      <c r="USJ68" s="15"/>
      <c r="USK68" s="15"/>
      <c r="USL68" s="15"/>
      <c r="USM68" s="15"/>
      <c r="USN68" s="15"/>
      <c r="USO68" s="15"/>
      <c r="USP68" s="15"/>
      <c r="USQ68" s="15"/>
      <c r="USR68" s="15"/>
      <c r="USS68" s="15"/>
      <c r="UST68" s="15"/>
      <c r="USU68" s="15"/>
      <c r="USV68" s="15"/>
      <c r="USW68" s="15"/>
      <c r="USX68" s="15"/>
      <c r="USY68" s="15"/>
      <c r="USZ68" s="15"/>
      <c r="UTA68" s="15"/>
      <c r="UTB68" s="15"/>
      <c r="UTC68" s="15"/>
      <c r="UTD68" s="15"/>
      <c r="UTE68" s="15"/>
      <c r="UTF68" s="15"/>
      <c r="UTG68" s="15"/>
      <c r="UTH68" s="15"/>
      <c r="UTI68" s="15"/>
      <c r="UTJ68" s="15"/>
      <c r="UTK68" s="15"/>
      <c r="UTL68" s="15"/>
      <c r="UTM68" s="15"/>
      <c r="UTN68" s="15"/>
      <c r="UTO68" s="15"/>
      <c r="UTP68" s="15"/>
      <c r="UTQ68" s="15"/>
      <c r="UTR68" s="15"/>
      <c r="UTS68" s="15"/>
      <c r="UTT68" s="15"/>
      <c r="UTU68" s="15"/>
      <c r="UTV68" s="15"/>
      <c r="UTW68" s="15"/>
      <c r="UTX68" s="15"/>
      <c r="UTY68" s="15"/>
      <c r="UTZ68" s="15"/>
      <c r="UUA68" s="15"/>
      <c r="UUB68" s="15"/>
      <c r="UUC68" s="15"/>
      <c r="UUD68" s="15"/>
      <c r="UUE68" s="15"/>
      <c r="UUF68" s="15"/>
      <c r="UUG68" s="15"/>
      <c r="UUH68" s="15"/>
      <c r="UUI68" s="15"/>
      <c r="UUJ68" s="15"/>
      <c r="UUK68" s="15"/>
      <c r="UUL68" s="15"/>
      <c r="UUM68" s="15"/>
      <c r="UUN68" s="15"/>
      <c r="UUO68" s="15"/>
      <c r="UUP68" s="15"/>
      <c r="UUQ68" s="15"/>
      <c r="UUR68" s="15"/>
      <c r="UUS68" s="15"/>
      <c r="UUT68" s="15"/>
      <c r="UUU68" s="15"/>
      <c r="UUV68" s="15"/>
      <c r="UUW68" s="15"/>
      <c r="UUX68" s="15"/>
      <c r="UUY68" s="15"/>
      <c r="UUZ68" s="15"/>
      <c r="UVA68" s="15"/>
      <c r="UVB68" s="15"/>
      <c r="UVC68" s="15"/>
      <c r="UVD68" s="15"/>
      <c r="UVE68" s="15"/>
      <c r="UVF68" s="15"/>
      <c r="UVG68" s="15"/>
      <c r="UVH68" s="15"/>
      <c r="UVI68" s="15"/>
      <c r="UVJ68" s="15"/>
      <c r="UVK68" s="15"/>
      <c r="UVL68" s="15"/>
      <c r="UVM68" s="15"/>
      <c r="UVN68" s="15"/>
      <c r="UVO68" s="15"/>
      <c r="UVP68" s="15"/>
      <c r="UVQ68" s="15"/>
      <c r="UVR68" s="15"/>
      <c r="UVS68" s="15"/>
      <c r="UVT68" s="15"/>
      <c r="UVU68" s="15"/>
      <c r="UVV68" s="15"/>
      <c r="UVW68" s="15"/>
      <c r="UVX68" s="15"/>
      <c r="UVY68" s="15"/>
      <c r="UVZ68" s="15"/>
      <c r="UWA68" s="15"/>
      <c r="UWB68" s="15"/>
      <c r="UWC68" s="15"/>
      <c r="UWD68" s="15"/>
      <c r="UWE68" s="15"/>
      <c r="UWF68" s="15"/>
      <c r="UWG68" s="15"/>
      <c r="UWH68" s="15"/>
      <c r="UWI68" s="15"/>
      <c r="UWJ68" s="15"/>
      <c r="UWK68" s="15"/>
      <c r="UWL68" s="15"/>
      <c r="UWM68" s="15"/>
      <c r="UWN68" s="15"/>
      <c r="UWO68" s="15"/>
      <c r="UWP68" s="15"/>
      <c r="UWQ68" s="15"/>
      <c r="UWR68" s="15"/>
      <c r="UWS68" s="15"/>
      <c r="UWT68" s="15"/>
      <c r="UWU68" s="15"/>
      <c r="UWV68" s="15"/>
      <c r="UWW68" s="15"/>
      <c r="UWX68" s="15"/>
      <c r="UWY68" s="15"/>
      <c r="UWZ68" s="15"/>
      <c r="UXA68" s="15"/>
      <c r="UXB68" s="15"/>
      <c r="UXC68" s="15"/>
      <c r="UXD68" s="15"/>
      <c r="UXE68" s="15"/>
      <c r="UXF68" s="15"/>
      <c r="UXG68" s="15"/>
      <c r="UXH68" s="15"/>
      <c r="UXI68" s="15"/>
      <c r="UXJ68" s="15"/>
      <c r="UXK68" s="15"/>
      <c r="UXL68" s="15"/>
      <c r="UXM68" s="15"/>
      <c r="UXN68" s="15"/>
      <c r="UXO68" s="15"/>
      <c r="UXP68" s="15"/>
      <c r="UXQ68" s="15"/>
      <c r="UXR68" s="15"/>
      <c r="UXS68" s="15"/>
      <c r="UXT68" s="15"/>
      <c r="UXU68" s="15"/>
      <c r="UXV68" s="15"/>
      <c r="UXW68" s="15"/>
      <c r="UXX68" s="15"/>
      <c r="UXY68" s="15"/>
      <c r="UXZ68" s="15"/>
      <c r="UYA68" s="15"/>
      <c r="UYB68" s="15"/>
      <c r="UYC68" s="15"/>
      <c r="UYD68" s="15"/>
      <c r="UYE68" s="15"/>
      <c r="UYF68" s="15"/>
      <c r="UYG68" s="15"/>
      <c r="UYH68" s="15"/>
      <c r="UYI68" s="15"/>
      <c r="UYJ68" s="15"/>
      <c r="UYK68" s="15"/>
      <c r="UYL68" s="15"/>
      <c r="UYM68" s="15"/>
      <c r="UYN68" s="15"/>
      <c r="UYO68" s="15"/>
      <c r="UYP68" s="15"/>
      <c r="UYQ68" s="15"/>
      <c r="UYR68" s="15"/>
      <c r="UYS68" s="15"/>
      <c r="UYT68" s="15"/>
      <c r="UYU68" s="15"/>
      <c r="UYV68" s="15"/>
      <c r="UYW68" s="15"/>
      <c r="UYX68" s="15"/>
      <c r="UYY68" s="15"/>
      <c r="UYZ68" s="15"/>
      <c r="UZA68" s="15"/>
      <c r="UZB68" s="15"/>
      <c r="UZC68" s="15"/>
      <c r="UZD68" s="15"/>
      <c r="UZE68" s="15"/>
      <c r="UZF68" s="15"/>
      <c r="UZG68" s="15"/>
      <c r="UZH68" s="15"/>
      <c r="UZI68" s="15"/>
      <c r="UZJ68" s="15"/>
      <c r="UZK68" s="15"/>
      <c r="UZL68" s="15"/>
      <c r="UZM68" s="15"/>
      <c r="UZN68" s="15"/>
      <c r="UZO68" s="15"/>
      <c r="UZP68" s="15"/>
      <c r="UZQ68" s="15"/>
      <c r="UZR68" s="15"/>
      <c r="UZS68" s="15"/>
      <c r="UZT68" s="15"/>
      <c r="UZU68" s="15"/>
      <c r="UZV68" s="15"/>
      <c r="UZW68" s="15"/>
      <c r="UZX68" s="15"/>
      <c r="UZY68" s="15"/>
      <c r="UZZ68" s="15"/>
      <c r="VAA68" s="15"/>
      <c r="VAB68" s="15"/>
      <c r="VAC68" s="15"/>
      <c r="VAD68" s="15"/>
      <c r="VAE68" s="15"/>
      <c r="VAF68" s="15"/>
      <c r="VAG68" s="15"/>
      <c r="VAH68" s="15"/>
      <c r="VAI68" s="15"/>
      <c r="VAJ68" s="15"/>
      <c r="VAK68" s="15"/>
      <c r="VAL68" s="15"/>
      <c r="VAM68" s="15"/>
      <c r="VAN68" s="15"/>
      <c r="VAO68" s="15"/>
      <c r="VAP68" s="15"/>
      <c r="VAQ68" s="15"/>
      <c r="VAR68" s="15"/>
      <c r="VAS68" s="15"/>
      <c r="VAT68" s="15"/>
      <c r="VAU68" s="15"/>
      <c r="VAV68" s="15"/>
      <c r="VAW68" s="15"/>
      <c r="VAX68" s="15"/>
      <c r="VAY68" s="15"/>
      <c r="VAZ68" s="15"/>
      <c r="VBA68" s="15"/>
      <c r="VBB68" s="15"/>
      <c r="VBC68" s="15"/>
      <c r="VBD68" s="15"/>
      <c r="VBE68" s="15"/>
      <c r="VBF68" s="15"/>
      <c r="VBG68" s="15"/>
      <c r="VBH68" s="15"/>
      <c r="VBI68" s="15"/>
      <c r="VBJ68" s="15"/>
      <c r="VBK68" s="15"/>
      <c r="VBL68" s="15"/>
      <c r="VBM68" s="15"/>
      <c r="VBN68" s="15"/>
      <c r="VBO68" s="15"/>
      <c r="VBP68" s="15"/>
      <c r="VBQ68" s="15"/>
      <c r="VBR68" s="15"/>
      <c r="VBS68" s="15"/>
      <c r="VBT68" s="15"/>
      <c r="VBU68" s="15"/>
      <c r="VBV68" s="15"/>
      <c r="VBW68" s="15"/>
      <c r="VBX68" s="15"/>
      <c r="VBY68" s="15"/>
      <c r="VBZ68" s="15"/>
      <c r="VCA68" s="15"/>
      <c r="VCB68" s="15"/>
      <c r="VCC68" s="15"/>
      <c r="VCD68" s="15"/>
      <c r="VCE68" s="15"/>
      <c r="VCF68" s="15"/>
      <c r="VCG68" s="15"/>
      <c r="VCH68" s="15"/>
      <c r="VCI68" s="15"/>
      <c r="VCJ68" s="15"/>
      <c r="VCK68" s="15"/>
      <c r="VCL68" s="15"/>
      <c r="VCM68" s="15"/>
      <c r="VCN68" s="15"/>
      <c r="VCO68" s="15"/>
      <c r="VCP68" s="15"/>
      <c r="VCQ68" s="15"/>
      <c r="VCR68" s="15"/>
      <c r="VCS68" s="15"/>
      <c r="VCT68" s="15"/>
      <c r="VCU68" s="15"/>
      <c r="VCV68" s="15"/>
      <c r="VCW68" s="15"/>
      <c r="VCX68" s="15"/>
      <c r="VCY68" s="15"/>
      <c r="VCZ68" s="15"/>
      <c r="VDA68" s="15"/>
      <c r="VDB68" s="15"/>
      <c r="VDC68" s="15"/>
      <c r="VDD68" s="15"/>
      <c r="VDE68" s="15"/>
      <c r="VDF68" s="15"/>
      <c r="VDG68" s="15"/>
      <c r="VDH68" s="15"/>
      <c r="VDI68" s="15"/>
      <c r="VDJ68" s="15"/>
      <c r="VDK68" s="15"/>
      <c r="VDL68" s="15"/>
      <c r="VDM68" s="15"/>
      <c r="VDN68" s="15"/>
      <c r="VDO68" s="15"/>
      <c r="VDP68" s="15"/>
      <c r="VDQ68" s="15"/>
      <c r="VDR68" s="15"/>
      <c r="VDS68" s="15"/>
      <c r="VDT68" s="15"/>
      <c r="VDU68" s="15"/>
      <c r="VDV68" s="15"/>
      <c r="VDW68" s="15"/>
      <c r="VDX68" s="15"/>
      <c r="VDY68" s="15"/>
      <c r="VDZ68" s="15"/>
      <c r="VEA68" s="15"/>
      <c r="VEB68" s="15"/>
      <c r="VEC68" s="15"/>
      <c r="VED68" s="15"/>
      <c r="VEE68" s="15"/>
      <c r="VEF68" s="15"/>
      <c r="VEG68" s="15"/>
      <c r="VEH68" s="15"/>
      <c r="VEI68" s="15"/>
      <c r="VEJ68" s="15"/>
      <c r="VEK68" s="15"/>
      <c r="VEL68" s="15"/>
      <c r="VEM68" s="15"/>
      <c r="VEN68" s="15"/>
      <c r="VEO68" s="15"/>
      <c r="VEP68" s="15"/>
      <c r="VEQ68" s="15"/>
      <c r="VER68" s="15"/>
      <c r="VES68" s="15"/>
      <c r="VET68" s="15"/>
      <c r="VEU68" s="15"/>
      <c r="VEV68" s="15"/>
      <c r="VEW68" s="15"/>
      <c r="VEX68" s="15"/>
      <c r="VEY68" s="15"/>
      <c r="VEZ68" s="15"/>
      <c r="VFA68" s="15"/>
      <c r="VFB68" s="15"/>
      <c r="VFC68" s="15"/>
      <c r="VFD68" s="15"/>
      <c r="VFE68" s="15"/>
      <c r="VFF68" s="15"/>
      <c r="VFG68" s="15"/>
      <c r="VFH68" s="15"/>
      <c r="VFI68" s="15"/>
      <c r="VFJ68" s="15"/>
      <c r="VFK68" s="15"/>
      <c r="VFL68" s="15"/>
      <c r="VFM68" s="15"/>
      <c r="VFN68" s="15"/>
      <c r="VFO68" s="15"/>
      <c r="VFP68" s="15"/>
      <c r="VFQ68" s="15"/>
      <c r="VFR68" s="15"/>
      <c r="VFS68" s="15"/>
      <c r="VFT68" s="15"/>
      <c r="VFU68" s="15"/>
      <c r="VFV68" s="15"/>
      <c r="VFW68" s="15"/>
      <c r="VFX68" s="15"/>
      <c r="VFY68" s="15"/>
      <c r="VFZ68" s="15"/>
      <c r="VGA68" s="15"/>
      <c r="VGB68" s="15"/>
      <c r="VGC68" s="15"/>
      <c r="VGD68" s="15"/>
      <c r="VGE68" s="15"/>
      <c r="VGF68" s="15"/>
      <c r="VGG68" s="15"/>
      <c r="VGH68" s="15"/>
      <c r="VGI68" s="15"/>
      <c r="VGJ68" s="15"/>
      <c r="VGK68" s="15"/>
      <c r="VGL68" s="15"/>
      <c r="VGM68" s="15"/>
      <c r="VGN68" s="15"/>
      <c r="VGO68" s="15"/>
      <c r="VGP68" s="15"/>
      <c r="VGQ68" s="15"/>
      <c r="VGR68" s="15"/>
      <c r="VGS68" s="15"/>
      <c r="VGT68" s="15"/>
      <c r="VGU68" s="15"/>
      <c r="VGV68" s="15"/>
      <c r="VGW68" s="15"/>
      <c r="VGX68" s="15"/>
      <c r="VGY68" s="15"/>
      <c r="VGZ68" s="15"/>
      <c r="VHA68" s="15"/>
      <c r="VHB68" s="15"/>
      <c r="VHC68" s="15"/>
      <c r="VHD68" s="15"/>
      <c r="VHE68" s="15"/>
      <c r="VHF68" s="15"/>
      <c r="VHG68" s="15"/>
      <c r="VHH68" s="15"/>
      <c r="VHI68" s="15"/>
      <c r="VHJ68" s="15"/>
      <c r="VHK68" s="15"/>
      <c r="VHL68" s="15"/>
      <c r="VHM68" s="15"/>
      <c r="VHN68" s="15"/>
      <c r="VHO68" s="15"/>
      <c r="VHP68" s="15"/>
      <c r="VHQ68" s="15"/>
      <c r="VHR68" s="15"/>
      <c r="VHS68" s="15"/>
      <c r="VHT68" s="15"/>
      <c r="VHU68" s="15"/>
      <c r="VHV68" s="15"/>
      <c r="VHW68" s="15"/>
      <c r="VHX68" s="15"/>
      <c r="VHY68" s="15"/>
      <c r="VHZ68" s="15"/>
      <c r="VIA68" s="15"/>
      <c r="VIB68" s="15"/>
      <c r="VIC68" s="15"/>
      <c r="VID68" s="15"/>
      <c r="VIE68" s="15"/>
      <c r="VIF68" s="15"/>
      <c r="VIG68" s="15"/>
      <c r="VIH68" s="15"/>
      <c r="VII68" s="15"/>
      <c r="VIJ68" s="15"/>
      <c r="VIK68" s="15"/>
      <c r="VIL68" s="15"/>
      <c r="VIM68" s="15"/>
      <c r="VIN68" s="15"/>
      <c r="VIO68" s="15"/>
      <c r="VIP68" s="15"/>
      <c r="VIQ68" s="15"/>
      <c r="VIR68" s="15"/>
      <c r="VIS68" s="15"/>
      <c r="VIT68" s="15"/>
      <c r="VIU68" s="15"/>
      <c r="VIV68" s="15"/>
      <c r="VIW68" s="15"/>
      <c r="VIX68" s="15"/>
      <c r="VIY68" s="15"/>
      <c r="VIZ68" s="15"/>
      <c r="VJA68" s="15"/>
      <c r="VJB68" s="15"/>
      <c r="VJC68" s="15"/>
      <c r="VJD68" s="15"/>
      <c r="VJE68" s="15"/>
      <c r="VJF68" s="15"/>
      <c r="VJG68" s="15"/>
      <c r="VJH68" s="15"/>
      <c r="VJI68" s="15"/>
      <c r="VJJ68" s="15"/>
      <c r="VJK68" s="15"/>
      <c r="VJL68" s="15"/>
      <c r="VJM68" s="15"/>
      <c r="VJN68" s="15"/>
      <c r="VJO68" s="15"/>
      <c r="VJP68" s="15"/>
      <c r="VJQ68" s="15"/>
      <c r="VJR68" s="15"/>
      <c r="VJS68" s="15"/>
      <c r="VJT68" s="15"/>
      <c r="VJU68" s="15"/>
      <c r="VJV68" s="15"/>
      <c r="VJW68" s="15"/>
      <c r="VJX68" s="15"/>
      <c r="VJY68" s="15"/>
      <c r="VJZ68" s="15"/>
      <c r="VKA68" s="15"/>
      <c r="VKB68" s="15"/>
      <c r="VKC68" s="15"/>
      <c r="VKD68" s="15"/>
      <c r="VKE68" s="15"/>
      <c r="VKF68" s="15"/>
      <c r="VKG68" s="15"/>
      <c r="VKH68" s="15"/>
      <c r="VKI68" s="15"/>
      <c r="VKJ68" s="15"/>
      <c r="VKK68" s="15"/>
      <c r="VKL68" s="15"/>
      <c r="VKM68" s="15"/>
      <c r="VKN68" s="15"/>
      <c r="VKO68" s="15"/>
      <c r="VKP68" s="15"/>
      <c r="VKQ68" s="15"/>
      <c r="VKR68" s="15"/>
      <c r="VKS68" s="15"/>
      <c r="VKT68" s="15"/>
      <c r="VKU68" s="15"/>
      <c r="VKV68" s="15"/>
      <c r="VKW68" s="15"/>
      <c r="VKX68" s="15"/>
      <c r="VKY68" s="15"/>
      <c r="VKZ68" s="15"/>
      <c r="VLA68" s="15"/>
      <c r="VLB68" s="15"/>
      <c r="VLC68" s="15"/>
      <c r="VLD68" s="15"/>
      <c r="VLE68" s="15"/>
      <c r="VLF68" s="15"/>
      <c r="VLG68" s="15"/>
      <c r="VLH68" s="15"/>
      <c r="VLI68" s="15"/>
      <c r="VLJ68" s="15"/>
      <c r="VLK68" s="15"/>
      <c r="VLL68" s="15"/>
      <c r="VLM68" s="15"/>
      <c r="VLN68" s="15"/>
      <c r="VLO68" s="15"/>
      <c r="VLP68" s="15"/>
      <c r="VLQ68" s="15"/>
      <c r="VLR68" s="15"/>
      <c r="VLS68" s="15"/>
      <c r="VLT68" s="15"/>
      <c r="VLU68" s="15"/>
      <c r="VLV68" s="15"/>
      <c r="VLW68" s="15"/>
      <c r="VLX68" s="15"/>
      <c r="VLY68" s="15"/>
      <c r="VLZ68" s="15"/>
      <c r="VMA68" s="15"/>
      <c r="VMB68" s="15"/>
      <c r="VMC68" s="15"/>
      <c r="VMD68" s="15"/>
      <c r="VME68" s="15"/>
      <c r="VMF68" s="15"/>
      <c r="VMG68" s="15"/>
      <c r="VMH68" s="15"/>
      <c r="VMI68" s="15"/>
      <c r="VMJ68" s="15"/>
      <c r="VMK68" s="15"/>
      <c r="VML68" s="15"/>
      <c r="VMM68" s="15"/>
      <c r="VMN68" s="15"/>
      <c r="VMO68" s="15"/>
      <c r="VMP68" s="15"/>
      <c r="VMQ68" s="15"/>
      <c r="VMR68" s="15"/>
      <c r="VMS68" s="15"/>
      <c r="VMT68" s="15"/>
      <c r="VMU68" s="15"/>
      <c r="VMV68" s="15"/>
      <c r="VMW68" s="15"/>
      <c r="VMX68" s="15"/>
      <c r="VMY68" s="15"/>
      <c r="VMZ68" s="15"/>
      <c r="VNA68" s="15"/>
      <c r="VNB68" s="15"/>
      <c r="VNC68" s="15"/>
      <c r="VND68" s="15"/>
      <c r="VNE68" s="15"/>
      <c r="VNF68" s="15"/>
      <c r="VNG68" s="15"/>
      <c r="VNH68" s="15"/>
      <c r="VNI68" s="15"/>
      <c r="VNJ68" s="15"/>
      <c r="VNK68" s="15"/>
      <c r="VNL68" s="15"/>
      <c r="VNM68" s="15"/>
      <c r="VNN68" s="15"/>
      <c r="VNO68" s="15"/>
      <c r="VNP68" s="15"/>
      <c r="VNQ68" s="15"/>
      <c r="VNR68" s="15"/>
      <c r="VNS68" s="15"/>
      <c r="VNT68" s="15"/>
      <c r="VNU68" s="15"/>
      <c r="VNV68" s="15"/>
      <c r="VNW68" s="15"/>
      <c r="VNX68" s="15"/>
      <c r="VNY68" s="15"/>
      <c r="VNZ68" s="15"/>
      <c r="VOA68" s="15"/>
      <c r="VOB68" s="15"/>
      <c r="VOC68" s="15"/>
      <c r="VOD68" s="15"/>
      <c r="VOE68" s="15"/>
      <c r="VOF68" s="15"/>
      <c r="VOG68" s="15"/>
      <c r="VOH68" s="15"/>
      <c r="VOI68" s="15"/>
      <c r="VOJ68" s="15"/>
      <c r="VOK68" s="15"/>
      <c r="VOL68" s="15"/>
      <c r="VOM68" s="15"/>
      <c r="VON68" s="15"/>
      <c r="VOO68" s="15"/>
      <c r="VOP68" s="15"/>
      <c r="VOQ68" s="15"/>
      <c r="VOR68" s="15"/>
      <c r="VOS68" s="15"/>
      <c r="VOT68" s="15"/>
      <c r="VOU68" s="15"/>
      <c r="VOV68" s="15"/>
      <c r="VOW68" s="15"/>
      <c r="VOX68" s="15"/>
      <c r="VOY68" s="15"/>
      <c r="VOZ68" s="15"/>
      <c r="VPA68" s="15"/>
      <c r="VPB68" s="15"/>
      <c r="VPC68" s="15"/>
      <c r="VPD68" s="15"/>
      <c r="VPE68" s="15"/>
      <c r="VPF68" s="15"/>
      <c r="VPG68" s="15"/>
      <c r="VPH68" s="15"/>
      <c r="VPI68" s="15"/>
      <c r="VPJ68" s="15"/>
      <c r="VPK68" s="15"/>
      <c r="VPL68" s="15"/>
      <c r="VPM68" s="15"/>
      <c r="VPN68" s="15"/>
      <c r="VPO68" s="15"/>
      <c r="VPP68" s="15"/>
      <c r="VPQ68" s="15"/>
      <c r="VPR68" s="15"/>
      <c r="VPS68" s="15"/>
      <c r="VPT68" s="15"/>
      <c r="VPU68" s="15"/>
      <c r="VPV68" s="15"/>
      <c r="VPW68" s="15"/>
      <c r="VPX68" s="15"/>
      <c r="VPY68" s="15"/>
      <c r="VPZ68" s="15"/>
      <c r="VQA68" s="15"/>
      <c r="VQB68" s="15"/>
      <c r="VQC68" s="15"/>
      <c r="VQD68" s="15"/>
      <c r="VQE68" s="15"/>
      <c r="VQF68" s="15"/>
      <c r="VQG68" s="15"/>
      <c r="VQH68" s="15"/>
      <c r="VQI68" s="15"/>
      <c r="VQJ68" s="15"/>
      <c r="VQK68" s="15"/>
      <c r="VQL68" s="15"/>
      <c r="VQM68" s="15"/>
      <c r="VQN68" s="15"/>
      <c r="VQO68" s="15"/>
      <c r="VQP68" s="15"/>
      <c r="VQQ68" s="15"/>
      <c r="VQR68" s="15"/>
      <c r="VQS68" s="15"/>
      <c r="VQT68" s="15"/>
      <c r="VQU68" s="15"/>
      <c r="VQV68" s="15"/>
      <c r="VQW68" s="15"/>
      <c r="VQX68" s="15"/>
      <c r="VQY68" s="15"/>
      <c r="VQZ68" s="15"/>
      <c r="VRA68" s="15"/>
      <c r="VRB68" s="15"/>
      <c r="VRC68" s="15"/>
      <c r="VRD68" s="15"/>
      <c r="VRE68" s="15"/>
      <c r="VRF68" s="15"/>
      <c r="VRG68" s="15"/>
      <c r="VRH68" s="15"/>
      <c r="VRI68" s="15"/>
      <c r="VRJ68" s="15"/>
      <c r="VRK68" s="15"/>
      <c r="VRL68" s="15"/>
      <c r="VRM68" s="15"/>
      <c r="VRN68" s="15"/>
      <c r="VRO68" s="15"/>
      <c r="VRP68" s="15"/>
      <c r="VRQ68" s="15"/>
      <c r="VRR68" s="15"/>
      <c r="VRS68" s="15"/>
      <c r="VRT68" s="15"/>
      <c r="VRU68" s="15"/>
      <c r="VRV68" s="15"/>
      <c r="VRW68" s="15"/>
      <c r="VRX68" s="15"/>
      <c r="VRY68" s="15"/>
      <c r="VRZ68" s="15"/>
      <c r="VSA68" s="15"/>
      <c r="VSB68" s="15"/>
      <c r="VSC68" s="15"/>
      <c r="VSD68" s="15"/>
      <c r="VSE68" s="15"/>
      <c r="VSF68" s="15"/>
      <c r="VSG68" s="15"/>
      <c r="VSH68" s="15"/>
      <c r="VSI68" s="15"/>
      <c r="VSJ68" s="15"/>
      <c r="VSK68" s="15"/>
      <c r="VSL68" s="15"/>
      <c r="VSM68" s="15"/>
      <c r="VSN68" s="15"/>
      <c r="VSO68" s="15"/>
      <c r="VSP68" s="15"/>
      <c r="VSQ68" s="15"/>
      <c r="VSR68" s="15"/>
      <c r="VSS68" s="15"/>
      <c r="VST68" s="15"/>
      <c r="VSU68" s="15"/>
      <c r="VSV68" s="15"/>
      <c r="VSW68" s="15"/>
      <c r="VSX68" s="15"/>
      <c r="VSY68" s="15"/>
      <c r="VSZ68" s="15"/>
      <c r="VTA68" s="15"/>
      <c r="VTB68" s="15"/>
      <c r="VTC68" s="15"/>
      <c r="VTD68" s="15"/>
      <c r="VTE68" s="15"/>
      <c r="VTF68" s="15"/>
      <c r="VTG68" s="15"/>
      <c r="VTH68" s="15"/>
      <c r="VTI68" s="15"/>
      <c r="VTJ68" s="15"/>
      <c r="VTK68" s="15"/>
      <c r="VTL68" s="15"/>
      <c r="VTM68" s="15"/>
      <c r="VTN68" s="15"/>
      <c r="VTO68" s="15"/>
      <c r="VTP68" s="15"/>
      <c r="VTQ68" s="15"/>
      <c r="VTR68" s="15"/>
      <c r="VTS68" s="15"/>
      <c r="VTT68" s="15"/>
      <c r="VTU68" s="15"/>
      <c r="VTV68" s="15"/>
      <c r="VTW68" s="15"/>
      <c r="VTX68" s="15"/>
      <c r="VTY68" s="15"/>
      <c r="VTZ68" s="15"/>
      <c r="VUA68" s="15"/>
      <c r="VUB68" s="15"/>
      <c r="VUC68" s="15"/>
      <c r="VUD68" s="15"/>
      <c r="VUE68" s="15"/>
      <c r="VUF68" s="15"/>
      <c r="VUG68" s="15"/>
      <c r="VUH68" s="15"/>
      <c r="VUI68" s="15"/>
      <c r="VUJ68" s="15"/>
      <c r="VUK68" s="15"/>
      <c r="VUL68" s="15"/>
      <c r="VUM68" s="15"/>
      <c r="VUN68" s="15"/>
      <c r="VUO68" s="15"/>
      <c r="VUP68" s="15"/>
      <c r="VUQ68" s="15"/>
      <c r="VUR68" s="15"/>
      <c r="VUS68" s="15"/>
      <c r="VUT68" s="15"/>
      <c r="VUU68" s="15"/>
      <c r="VUV68" s="15"/>
      <c r="VUW68" s="15"/>
      <c r="VUX68" s="15"/>
      <c r="VUY68" s="15"/>
      <c r="VUZ68" s="15"/>
      <c r="VVA68" s="15"/>
      <c r="VVB68" s="15"/>
      <c r="VVC68" s="15"/>
      <c r="VVD68" s="15"/>
      <c r="VVE68" s="15"/>
      <c r="VVF68" s="15"/>
      <c r="VVG68" s="15"/>
      <c r="VVH68" s="15"/>
      <c r="VVI68" s="15"/>
      <c r="VVJ68" s="15"/>
      <c r="VVK68" s="15"/>
      <c r="VVL68" s="15"/>
      <c r="VVM68" s="15"/>
      <c r="VVN68" s="15"/>
      <c r="VVO68" s="15"/>
      <c r="VVP68" s="15"/>
      <c r="VVQ68" s="15"/>
      <c r="VVR68" s="15"/>
      <c r="VVS68" s="15"/>
      <c r="VVT68" s="15"/>
      <c r="VVU68" s="15"/>
      <c r="VVV68" s="15"/>
      <c r="VVW68" s="15"/>
      <c r="VVX68" s="15"/>
      <c r="VVY68" s="15"/>
      <c r="VVZ68" s="15"/>
      <c r="VWA68" s="15"/>
      <c r="VWB68" s="15"/>
      <c r="VWC68" s="15"/>
      <c r="VWD68" s="15"/>
      <c r="VWE68" s="15"/>
      <c r="VWF68" s="15"/>
      <c r="VWG68" s="15"/>
      <c r="VWH68" s="15"/>
      <c r="VWI68" s="15"/>
      <c r="VWJ68" s="15"/>
      <c r="VWK68" s="15"/>
      <c r="VWL68" s="15"/>
      <c r="VWM68" s="15"/>
      <c r="VWN68" s="15"/>
      <c r="VWO68" s="15"/>
      <c r="VWP68" s="15"/>
      <c r="VWQ68" s="15"/>
      <c r="VWR68" s="15"/>
      <c r="VWS68" s="15"/>
      <c r="VWT68" s="15"/>
      <c r="VWU68" s="15"/>
      <c r="VWV68" s="15"/>
      <c r="VWW68" s="15"/>
      <c r="VWX68" s="15"/>
      <c r="VWY68" s="15"/>
      <c r="VWZ68" s="15"/>
      <c r="VXA68" s="15"/>
      <c r="VXB68" s="15"/>
      <c r="VXC68" s="15"/>
      <c r="VXD68" s="15"/>
      <c r="VXE68" s="15"/>
      <c r="VXF68" s="15"/>
      <c r="VXG68" s="15"/>
      <c r="VXH68" s="15"/>
      <c r="VXI68" s="15"/>
      <c r="VXJ68" s="15"/>
      <c r="VXK68" s="15"/>
      <c r="VXL68" s="15"/>
      <c r="VXM68" s="15"/>
      <c r="VXN68" s="15"/>
      <c r="VXO68" s="15"/>
      <c r="VXP68" s="15"/>
      <c r="VXQ68" s="15"/>
      <c r="VXR68" s="15"/>
      <c r="VXS68" s="15"/>
      <c r="VXT68" s="15"/>
      <c r="VXU68" s="15"/>
      <c r="VXV68" s="15"/>
      <c r="VXW68" s="15"/>
      <c r="VXX68" s="15"/>
      <c r="VXY68" s="15"/>
      <c r="VXZ68" s="15"/>
      <c r="VYA68" s="15"/>
      <c r="VYB68" s="15"/>
      <c r="VYC68" s="15"/>
      <c r="VYD68" s="15"/>
      <c r="VYE68" s="15"/>
      <c r="VYF68" s="15"/>
      <c r="VYG68" s="15"/>
      <c r="VYH68" s="15"/>
      <c r="VYI68" s="15"/>
      <c r="VYJ68" s="15"/>
      <c r="VYK68" s="15"/>
      <c r="VYL68" s="15"/>
      <c r="VYM68" s="15"/>
      <c r="VYN68" s="15"/>
      <c r="VYO68" s="15"/>
      <c r="VYP68" s="15"/>
      <c r="VYQ68" s="15"/>
      <c r="VYR68" s="15"/>
      <c r="VYS68" s="15"/>
      <c r="VYT68" s="15"/>
      <c r="VYU68" s="15"/>
      <c r="VYV68" s="15"/>
      <c r="VYW68" s="15"/>
      <c r="VYX68" s="15"/>
      <c r="VYY68" s="15"/>
      <c r="VYZ68" s="15"/>
      <c r="VZA68" s="15"/>
      <c r="VZB68" s="15"/>
      <c r="VZC68" s="15"/>
      <c r="VZD68" s="15"/>
      <c r="VZE68" s="15"/>
      <c r="VZF68" s="15"/>
      <c r="VZG68" s="15"/>
      <c r="VZH68" s="15"/>
      <c r="VZI68" s="15"/>
      <c r="VZJ68" s="15"/>
      <c r="VZK68" s="15"/>
      <c r="VZL68" s="15"/>
      <c r="VZM68" s="15"/>
      <c r="VZN68" s="15"/>
      <c r="VZO68" s="15"/>
      <c r="VZP68" s="15"/>
      <c r="VZQ68" s="15"/>
      <c r="VZR68" s="15"/>
      <c r="VZS68" s="15"/>
      <c r="VZT68" s="15"/>
      <c r="VZU68" s="15"/>
      <c r="VZV68" s="15"/>
      <c r="VZW68" s="15"/>
      <c r="VZX68" s="15"/>
      <c r="VZY68" s="15"/>
      <c r="VZZ68" s="15"/>
      <c r="WAA68" s="15"/>
      <c r="WAB68" s="15"/>
      <c r="WAC68" s="15"/>
      <c r="WAD68" s="15"/>
      <c r="WAE68" s="15"/>
      <c r="WAF68" s="15"/>
      <c r="WAG68" s="15"/>
      <c r="WAH68" s="15"/>
      <c r="WAI68" s="15"/>
      <c r="WAJ68" s="15"/>
      <c r="WAK68" s="15"/>
      <c r="WAL68" s="15"/>
      <c r="WAM68" s="15"/>
      <c r="WAN68" s="15"/>
      <c r="WAO68" s="15"/>
      <c r="WAP68" s="15"/>
      <c r="WAQ68" s="15"/>
      <c r="WAR68" s="15"/>
      <c r="WAS68" s="15"/>
      <c r="WAT68" s="15"/>
      <c r="WAU68" s="15"/>
      <c r="WAV68" s="15"/>
      <c r="WAW68" s="15"/>
      <c r="WAX68" s="15"/>
      <c r="WAY68" s="15"/>
      <c r="WAZ68" s="15"/>
      <c r="WBA68" s="15"/>
      <c r="WBB68" s="15"/>
      <c r="WBC68" s="15"/>
      <c r="WBD68" s="15"/>
      <c r="WBE68" s="15"/>
      <c r="WBF68" s="15"/>
      <c r="WBG68" s="15"/>
      <c r="WBH68" s="15"/>
      <c r="WBI68" s="15"/>
      <c r="WBJ68" s="15"/>
      <c r="WBK68" s="15"/>
      <c r="WBL68" s="15"/>
      <c r="WBM68" s="15"/>
      <c r="WBN68" s="15"/>
      <c r="WBO68" s="15"/>
      <c r="WBP68" s="15"/>
      <c r="WBQ68" s="15"/>
      <c r="WBR68" s="15"/>
      <c r="WBS68" s="15"/>
      <c r="WBT68" s="15"/>
      <c r="WBU68" s="15"/>
      <c r="WBV68" s="15"/>
      <c r="WBW68" s="15"/>
      <c r="WBX68" s="15"/>
      <c r="WBY68" s="15"/>
      <c r="WBZ68" s="15"/>
      <c r="WCA68" s="15"/>
      <c r="WCB68" s="15"/>
      <c r="WCC68" s="15"/>
      <c r="WCD68" s="15"/>
      <c r="WCE68" s="15"/>
      <c r="WCF68" s="15"/>
      <c r="WCG68" s="15"/>
      <c r="WCH68" s="15"/>
      <c r="WCI68" s="15"/>
      <c r="WCJ68" s="15"/>
      <c r="WCK68" s="15"/>
      <c r="WCL68" s="15"/>
      <c r="WCM68" s="15"/>
      <c r="WCN68" s="15"/>
      <c r="WCO68" s="15"/>
      <c r="WCP68" s="15"/>
      <c r="WCQ68" s="15"/>
      <c r="WCR68" s="15"/>
      <c r="WCS68" s="15"/>
      <c r="WCT68" s="15"/>
      <c r="WCU68" s="15"/>
      <c r="WCV68" s="15"/>
      <c r="WCW68" s="15"/>
      <c r="WCX68" s="15"/>
      <c r="WCY68" s="15"/>
      <c r="WCZ68" s="15"/>
      <c r="WDA68" s="15"/>
      <c r="WDB68" s="15"/>
      <c r="WDC68" s="15"/>
      <c r="WDD68" s="15"/>
      <c r="WDE68" s="15"/>
      <c r="WDF68" s="15"/>
      <c r="WDG68" s="15"/>
      <c r="WDH68" s="15"/>
      <c r="WDI68" s="15"/>
      <c r="WDJ68" s="15"/>
      <c r="WDK68" s="15"/>
      <c r="WDL68" s="15"/>
      <c r="WDM68" s="15"/>
      <c r="WDN68" s="15"/>
      <c r="WDO68" s="15"/>
      <c r="WDP68" s="15"/>
      <c r="WDQ68" s="15"/>
      <c r="WDR68" s="15"/>
      <c r="WDS68" s="15"/>
      <c r="WDT68" s="15"/>
      <c r="WDU68" s="15"/>
      <c r="WDV68" s="15"/>
      <c r="WDW68" s="15"/>
      <c r="WDX68" s="15"/>
      <c r="WDY68" s="15"/>
      <c r="WDZ68" s="15"/>
      <c r="WEA68" s="15"/>
      <c r="WEB68" s="15"/>
      <c r="WEC68" s="15"/>
      <c r="WED68" s="15"/>
      <c r="WEE68" s="15"/>
      <c r="WEF68" s="15"/>
      <c r="WEG68" s="15"/>
      <c r="WEH68" s="15"/>
      <c r="WEI68" s="15"/>
      <c r="WEJ68" s="15"/>
      <c r="WEK68" s="15"/>
      <c r="WEL68" s="15"/>
      <c r="WEM68" s="15"/>
      <c r="WEN68" s="15"/>
      <c r="WEO68" s="15"/>
      <c r="WEP68" s="15"/>
      <c r="WEQ68" s="15"/>
      <c r="WER68" s="15"/>
      <c r="WES68" s="15"/>
      <c r="WET68" s="15"/>
      <c r="WEU68" s="15"/>
      <c r="WEV68" s="15"/>
      <c r="WEW68" s="15"/>
      <c r="WEX68" s="15"/>
      <c r="WEY68" s="15"/>
      <c r="WEZ68" s="15"/>
      <c r="WFA68" s="15"/>
      <c r="WFB68" s="15"/>
      <c r="WFC68" s="15"/>
      <c r="WFD68" s="15"/>
      <c r="WFE68" s="15"/>
      <c r="WFF68" s="15"/>
      <c r="WFG68" s="15"/>
      <c r="WFH68" s="15"/>
      <c r="WFI68" s="15"/>
      <c r="WFJ68" s="15"/>
      <c r="WFK68" s="15"/>
      <c r="WFL68" s="15"/>
      <c r="WFM68" s="15"/>
      <c r="WFN68" s="15"/>
      <c r="WFO68" s="15"/>
      <c r="WFP68" s="15"/>
      <c r="WFQ68" s="15"/>
      <c r="WFR68" s="15"/>
      <c r="WFS68" s="15"/>
      <c r="WFT68" s="15"/>
      <c r="WFU68" s="15"/>
      <c r="WFV68" s="15"/>
      <c r="WFW68" s="15"/>
      <c r="WFX68" s="15"/>
      <c r="WFY68" s="15"/>
      <c r="WFZ68" s="15"/>
      <c r="WGA68" s="15"/>
      <c r="WGB68" s="15"/>
      <c r="WGC68" s="15"/>
      <c r="WGD68" s="15"/>
      <c r="WGE68" s="15"/>
      <c r="WGF68" s="15"/>
      <c r="WGG68" s="15"/>
      <c r="WGH68" s="15"/>
      <c r="WGI68" s="15"/>
      <c r="WGJ68" s="15"/>
      <c r="WGK68" s="15"/>
      <c r="WGL68" s="15"/>
      <c r="WGM68" s="15"/>
      <c r="WGN68" s="15"/>
      <c r="WGO68" s="15"/>
      <c r="WGP68" s="15"/>
      <c r="WGQ68" s="15"/>
      <c r="WGR68" s="15"/>
      <c r="WGS68" s="15"/>
      <c r="WGT68" s="15"/>
      <c r="WGU68" s="15"/>
      <c r="WGV68" s="15"/>
      <c r="WGW68" s="15"/>
      <c r="WGX68" s="15"/>
      <c r="WGY68" s="15"/>
      <c r="WGZ68" s="15"/>
      <c r="WHA68" s="15"/>
      <c r="WHB68" s="15"/>
      <c r="WHC68" s="15"/>
      <c r="WHD68" s="15"/>
      <c r="WHE68" s="15"/>
      <c r="WHF68" s="15"/>
      <c r="WHG68" s="15"/>
      <c r="WHH68" s="15"/>
      <c r="WHI68" s="15"/>
      <c r="WHJ68" s="15"/>
      <c r="WHK68" s="15"/>
      <c r="WHL68" s="15"/>
      <c r="WHM68" s="15"/>
      <c r="WHN68" s="15"/>
      <c r="WHO68" s="15"/>
      <c r="WHP68" s="15"/>
      <c r="WHQ68" s="15"/>
      <c r="WHR68" s="15"/>
      <c r="WHS68" s="15"/>
      <c r="WHT68" s="15"/>
      <c r="WHU68" s="15"/>
      <c r="WHV68" s="15"/>
      <c r="WHW68" s="15"/>
      <c r="WHX68" s="15"/>
      <c r="WHY68" s="15"/>
      <c r="WHZ68" s="15"/>
      <c r="WIA68" s="15"/>
      <c r="WIB68" s="15"/>
      <c r="WIC68" s="15"/>
      <c r="WID68" s="15"/>
      <c r="WIE68" s="15"/>
      <c r="WIF68" s="15"/>
      <c r="WIG68" s="15"/>
      <c r="WIH68" s="15"/>
      <c r="WII68" s="15"/>
      <c r="WIJ68" s="15"/>
      <c r="WIK68" s="15"/>
      <c r="WIL68" s="15"/>
      <c r="WIM68" s="15"/>
      <c r="WIN68" s="15"/>
      <c r="WIO68" s="15"/>
      <c r="WIP68" s="15"/>
      <c r="WIQ68" s="15"/>
      <c r="WIR68" s="15"/>
      <c r="WIS68" s="15"/>
      <c r="WIT68" s="15"/>
      <c r="WIU68" s="15"/>
      <c r="WIV68" s="15"/>
      <c r="WIW68" s="15"/>
      <c r="WIX68" s="15"/>
      <c r="WIY68" s="15"/>
      <c r="WIZ68" s="15"/>
      <c r="WJA68" s="15"/>
      <c r="WJB68" s="15"/>
      <c r="WJC68" s="15"/>
      <c r="WJD68" s="15"/>
      <c r="WJE68" s="15"/>
      <c r="WJF68" s="15"/>
      <c r="WJG68" s="15"/>
      <c r="WJH68" s="15"/>
      <c r="WJI68" s="15"/>
      <c r="WJJ68" s="15"/>
      <c r="WJK68" s="15"/>
      <c r="WJL68" s="15"/>
      <c r="WJM68" s="15"/>
      <c r="WJN68" s="15"/>
      <c r="WJO68" s="15"/>
      <c r="WJP68" s="15"/>
      <c r="WJQ68" s="15"/>
      <c r="WJR68" s="15"/>
      <c r="WJS68" s="15"/>
      <c r="WJT68" s="15"/>
      <c r="WJU68" s="15"/>
      <c r="WJV68" s="15"/>
      <c r="WJW68" s="15"/>
      <c r="WJX68" s="15"/>
      <c r="WJY68" s="15"/>
      <c r="WJZ68" s="15"/>
      <c r="WKA68" s="15"/>
      <c r="WKB68" s="15"/>
      <c r="WKC68" s="15"/>
      <c r="WKD68" s="15"/>
      <c r="WKE68" s="15"/>
      <c r="WKF68" s="15"/>
      <c r="WKG68" s="15"/>
      <c r="WKH68" s="15"/>
      <c r="WKI68" s="15"/>
      <c r="WKJ68" s="15"/>
      <c r="WKK68" s="15"/>
      <c r="WKL68" s="15"/>
      <c r="WKM68" s="15"/>
      <c r="WKN68" s="15"/>
      <c r="WKO68" s="15"/>
      <c r="WKP68" s="15"/>
      <c r="WKQ68" s="15"/>
      <c r="WKR68" s="15"/>
      <c r="WKS68" s="15"/>
      <c r="WKT68" s="15"/>
      <c r="WKU68" s="15"/>
      <c r="WKV68" s="15"/>
      <c r="WKW68" s="15"/>
      <c r="WKX68" s="15"/>
      <c r="WKY68" s="15"/>
      <c r="WKZ68" s="15"/>
      <c r="WLA68" s="15"/>
      <c r="WLB68" s="15"/>
      <c r="WLC68" s="15"/>
      <c r="WLD68" s="15"/>
      <c r="WLE68" s="15"/>
      <c r="WLF68" s="15"/>
      <c r="WLG68" s="15"/>
      <c r="WLH68" s="15"/>
      <c r="WLI68" s="15"/>
      <c r="WLJ68" s="15"/>
      <c r="WLK68" s="15"/>
      <c r="WLL68" s="15"/>
      <c r="WLM68" s="15"/>
      <c r="WLN68" s="15"/>
      <c r="WLO68" s="15"/>
      <c r="WLP68" s="15"/>
      <c r="WLQ68" s="15"/>
      <c r="WLR68" s="15"/>
      <c r="WLS68" s="15"/>
      <c r="WLT68" s="15"/>
      <c r="WLU68" s="15"/>
      <c r="WLV68" s="15"/>
      <c r="WLW68" s="15"/>
      <c r="WLX68" s="15"/>
      <c r="WLY68" s="15"/>
      <c r="WLZ68" s="15"/>
      <c r="WMA68" s="15"/>
      <c r="WMB68" s="15"/>
      <c r="WMC68" s="15"/>
      <c r="WMD68" s="15"/>
      <c r="WME68" s="15"/>
      <c r="WMF68" s="15"/>
      <c r="WMG68" s="15"/>
      <c r="WMH68" s="15"/>
      <c r="WMI68" s="15"/>
      <c r="WMJ68" s="15"/>
      <c r="WMK68" s="15"/>
      <c r="WML68" s="15"/>
      <c r="WMM68" s="15"/>
      <c r="WMN68" s="15"/>
      <c r="WMO68" s="15"/>
      <c r="WMP68" s="15"/>
      <c r="WMQ68" s="15"/>
      <c r="WMR68" s="15"/>
      <c r="WMS68" s="15"/>
      <c r="WMT68" s="15"/>
      <c r="WMU68" s="15"/>
      <c r="WMV68" s="15"/>
      <c r="WMW68" s="15"/>
      <c r="WMX68" s="15"/>
      <c r="WMY68" s="15"/>
      <c r="WMZ68" s="15"/>
      <c r="WNA68" s="15"/>
      <c r="WNB68" s="15"/>
      <c r="WNC68" s="15"/>
      <c r="WND68" s="15"/>
      <c r="WNE68" s="15"/>
      <c r="WNF68" s="15"/>
      <c r="WNG68" s="15"/>
      <c r="WNH68" s="15"/>
      <c r="WNI68" s="15"/>
      <c r="WNJ68" s="15"/>
      <c r="WNK68" s="15"/>
      <c r="WNL68" s="15"/>
      <c r="WNM68" s="15"/>
      <c r="WNN68" s="15"/>
      <c r="WNO68" s="15"/>
      <c r="WNP68" s="15"/>
      <c r="WNQ68" s="15"/>
      <c r="WNR68" s="15"/>
      <c r="WNS68" s="15"/>
      <c r="WNT68" s="15"/>
      <c r="WNU68" s="15"/>
      <c r="WNV68" s="15"/>
      <c r="WNW68" s="15"/>
      <c r="WNX68" s="15"/>
      <c r="WNY68" s="15"/>
      <c r="WNZ68" s="15"/>
      <c r="WOA68" s="15"/>
      <c r="WOB68" s="15"/>
      <c r="WOC68" s="15"/>
      <c r="WOD68" s="15"/>
      <c r="WOE68" s="15"/>
      <c r="WOF68" s="15"/>
      <c r="WOG68" s="15"/>
      <c r="WOH68" s="15"/>
      <c r="WOI68" s="15"/>
      <c r="WOJ68" s="15"/>
      <c r="WOK68" s="15"/>
      <c r="WOL68" s="15"/>
      <c r="WOM68" s="15"/>
      <c r="WON68" s="15"/>
      <c r="WOO68" s="15"/>
      <c r="WOP68" s="15"/>
      <c r="WOQ68" s="15"/>
      <c r="WOR68" s="15"/>
      <c r="WOS68" s="15"/>
      <c r="WOT68" s="15"/>
      <c r="WOU68" s="15"/>
      <c r="WOV68" s="15"/>
      <c r="WOW68" s="15"/>
      <c r="WOX68" s="15"/>
      <c r="WOY68" s="15"/>
      <c r="WOZ68" s="15"/>
      <c r="WPA68" s="15"/>
      <c r="WPB68" s="15"/>
      <c r="WPC68" s="15"/>
      <c r="WPD68" s="15"/>
      <c r="WPE68" s="15"/>
      <c r="WPF68" s="15"/>
      <c r="WPG68" s="15"/>
      <c r="WPH68" s="15"/>
      <c r="WPI68" s="15"/>
      <c r="WPJ68" s="15"/>
      <c r="WPK68" s="15"/>
      <c r="WPL68" s="15"/>
      <c r="WPM68" s="15"/>
      <c r="WPN68" s="15"/>
      <c r="WPO68" s="15"/>
      <c r="WPP68" s="15"/>
      <c r="WPQ68" s="15"/>
      <c r="WPR68" s="15"/>
      <c r="WPS68" s="15"/>
      <c r="WPT68" s="15"/>
      <c r="WPU68" s="15"/>
      <c r="WPV68" s="15"/>
      <c r="WPW68" s="15"/>
      <c r="WPX68" s="15"/>
      <c r="WPY68" s="15"/>
      <c r="WPZ68" s="15"/>
      <c r="WQA68" s="15"/>
      <c r="WQB68" s="15"/>
      <c r="WQC68" s="15"/>
      <c r="WQD68" s="15"/>
      <c r="WQE68" s="15"/>
      <c r="WQF68" s="15"/>
      <c r="WQG68" s="15"/>
      <c r="WQH68" s="15"/>
      <c r="WQI68" s="15"/>
      <c r="WQJ68" s="15"/>
      <c r="WQK68" s="15"/>
      <c r="WQL68" s="15"/>
      <c r="WQM68" s="15"/>
      <c r="WQN68" s="15"/>
      <c r="WQO68" s="15"/>
      <c r="WQP68" s="15"/>
      <c r="WQQ68" s="15"/>
      <c r="WQR68" s="15"/>
      <c r="WQS68" s="15"/>
      <c r="WQT68" s="15"/>
      <c r="WQU68" s="15"/>
      <c r="WQV68" s="15"/>
      <c r="WQW68" s="15"/>
      <c r="WQX68" s="15"/>
      <c r="WQY68" s="15"/>
      <c r="WQZ68" s="15"/>
      <c r="WRA68" s="15"/>
      <c r="WRB68" s="15"/>
      <c r="WRC68" s="15"/>
      <c r="WRD68" s="15"/>
      <c r="WRE68" s="15"/>
      <c r="WRF68" s="15"/>
      <c r="WRG68" s="15"/>
      <c r="WRH68" s="15"/>
      <c r="WRI68" s="15"/>
      <c r="WRJ68" s="15"/>
      <c r="WRK68" s="15"/>
      <c r="WRL68" s="15"/>
      <c r="WRM68" s="15"/>
      <c r="WRN68" s="15"/>
      <c r="WRO68" s="15"/>
      <c r="WRP68" s="15"/>
      <c r="WRQ68" s="15"/>
      <c r="WRR68" s="15"/>
      <c r="WRS68" s="15"/>
      <c r="WRT68" s="15"/>
      <c r="WRU68" s="15"/>
      <c r="WRV68" s="15"/>
      <c r="WRW68" s="15"/>
      <c r="WRX68" s="15"/>
      <c r="WRY68" s="15"/>
      <c r="WRZ68" s="15"/>
      <c r="WSA68" s="15"/>
      <c r="WSB68" s="15"/>
      <c r="WSC68" s="15"/>
      <c r="WSD68" s="15"/>
      <c r="WSE68" s="15"/>
      <c r="WSF68" s="15"/>
      <c r="WSG68" s="15"/>
      <c r="WSH68" s="15"/>
      <c r="WSI68" s="15"/>
      <c r="WSJ68" s="15"/>
      <c r="WSK68" s="15"/>
      <c r="WSL68" s="15"/>
      <c r="WSM68" s="15"/>
      <c r="WSN68" s="15"/>
      <c r="WSO68" s="15"/>
      <c r="WSP68" s="15"/>
      <c r="WSQ68" s="15"/>
      <c r="WSR68" s="15"/>
      <c r="WSS68" s="15"/>
      <c r="WST68" s="15"/>
      <c r="WSU68" s="15"/>
      <c r="WSV68" s="15"/>
      <c r="WSW68" s="15"/>
      <c r="WSX68" s="15"/>
      <c r="WSY68" s="15"/>
      <c r="WSZ68" s="15"/>
      <c r="WTA68" s="15"/>
      <c r="WTB68" s="15"/>
      <c r="WTC68" s="15"/>
      <c r="WTD68" s="15"/>
      <c r="WTE68" s="15"/>
      <c r="WTF68" s="15"/>
      <c r="WTG68" s="15"/>
      <c r="WTH68" s="15"/>
      <c r="WTI68" s="15"/>
      <c r="WTJ68" s="15"/>
      <c r="WTK68" s="15"/>
      <c r="WTL68" s="15"/>
      <c r="WTM68" s="15"/>
      <c r="WTN68" s="15"/>
      <c r="WTO68" s="15"/>
      <c r="WTP68" s="15"/>
      <c r="WTQ68" s="15"/>
      <c r="WTR68" s="15"/>
      <c r="WTS68" s="15"/>
      <c r="WTT68" s="15"/>
      <c r="WTU68" s="15"/>
      <c r="WTV68" s="15"/>
      <c r="WTW68" s="15"/>
      <c r="WTX68" s="15"/>
      <c r="WTY68" s="15"/>
      <c r="WTZ68" s="15"/>
      <c r="WUA68" s="15"/>
      <c r="WUB68" s="15"/>
      <c r="WUC68" s="15"/>
      <c r="WUD68" s="15"/>
      <c r="WUE68" s="15"/>
      <c r="WUF68" s="15"/>
      <c r="WUG68" s="15"/>
      <c r="WUH68" s="15"/>
      <c r="WUI68" s="15"/>
      <c r="WUJ68" s="15"/>
      <c r="WUK68" s="15"/>
      <c r="WUL68" s="15"/>
      <c r="WUM68" s="15"/>
      <c r="WUN68" s="15"/>
      <c r="WUO68" s="15"/>
      <c r="WUP68" s="15"/>
      <c r="WUQ68" s="15"/>
      <c r="WUR68" s="15"/>
      <c r="WUS68" s="15"/>
      <c r="WUT68" s="15"/>
      <c r="WUU68" s="15"/>
      <c r="WUV68" s="15"/>
      <c r="WUW68" s="15"/>
      <c r="WUX68" s="15"/>
      <c r="WUY68" s="15"/>
      <c r="WUZ68" s="15"/>
      <c r="WVA68" s="15"/>
      <c r="WVB68" s="15"/>
      <c r="WVC68" s="15"/>
      <c r="WVD68" s="15"/>
      <c r="WVE68" s="15"/>
      <c r="WVF68" s="15"/>
      <c r="WVG68" s="15"/>
      <c r="WVH68" s="15"/>
      <c r="WVI68" s="15"/>
      <c r="WVJ68" s="15"/>
      <c r="WVK68" s="15"/>
      <c r="WVL68" s="15"/>
      <c r="WVM68" s="15"/>
      <c r="WVN68" s="15"/>
      <c r="WVO68" s="15"/>
      <c r="WVP68" s="15"/>
      <c r="WVQ68" s="15"/>
      <c r="WVR68" s="15"/>
      <c r="WVS68" s="15"/>
      <c r="WVT68" s="15"/>
      <c r="WVU68" s="15"/>
      <c r="WVV68" s="15"/>
      <c r="WVW68" s="15"/>
      <c r="WVX68" s="15"/>
      <c r="WVY68" s="15"/>
      <c r="WVZ68" s="15"/>
      <c r="WWA68" s="15"/>
      <c r="WWB68" s="15"/>
      <c r="WWC68" s="15"/>
      <c r="WWD68" s="15"/>
      <c r="WWE68" s="15"/>
      <c r="WWF68" s="15"/>
      <c r="WWG68" s="15"/>
      <c r="WWH68" s="15"/>
      <c r="WWI68" s="15"/>
      <c r="WWJ68" s="15"/>
      <c r="WWK68" s="15"/>
      <c r="WWL68" s="15"/>
      <c r="WWM68" s="15"/>
      <c r="WWN68" s="15"/>
      <c r="WWO68" s="15"/>
      <c r="WWP68" s="15"/>
      <c r="WWQ68" s="15"/>
      <c r="WWR68" s="15"/>
      <c r="WWS68" s="15"/>
      <c r="WWT68" s="15"/>
      <c r="WWU68" s="15"/>
      <c r="WWV68" s="15"/>
      <c r="WWW68" s="15"/>
      <c r="WWX68" s="15"/>
      <c r="WWY68" s="15"/>
      <c r="WWZ68" s="15"/>
      <c r="WXA68" s="15"/>
      <c r="WXB68" s="15"/>
      <c r="WXC68" s="15"/>
      <c r="WXD68" s="15"/>
      <c r="WXE68" s="15"/>
      <c r="WXF68" s="15"/>
      <c r="WXG68" s="15"/>
      <c r="WXH68" s="15"/>
      <c r="WXI68" s="15"/>
      <c r="WXJ68" s="15"/>
      <c r="WXK68" s="15"/>
      <c r="WXL68" s="15"/>
      <c r="WXM68" s="15"/>
      <c r="WXN68" s="15"/>
      <c r="WXO68" s="15"/>
      <c r="WXP68" s="15"/>
      <c r="WXQ68" s="15"/>
      <c r="WXR68" s="15"/>
      <c r="WXS68" s="15"/>
      <c r="WXT68" s="15"/>
      <c r="WXU68" s="15"/>
      <c r="WXV68" s="15"/>
      <c r="WXW68" s="15"/>
      <c r="WXX68" s="15"/>
      <c r="WXY68" s="15"/>
      <c r="WXZ68" s="15"/>
      <c r="WYA68" s="15"/>
      <c r="WYB68" s="15"/>
      <c r="WYC68" s="15"/>
      <c r="WYD68" s="15"/>
      <c r="WYE68" s="15"/>
      <c r="WYF68" s="15"/>
      <c r="WYG68" s="15"/>
      <c r="WYH68" s="15"/>
      <c r="WYI68" s="15"/>
      <c r="WYJ68" s="15"/>
      <c r="WYK68" s="15"/>
      <c r="WYL68" s="15"/>
      <c r="WYM68" s="15"/>
      <c r="WYN68" s="15"/>
      <c r="WYO68" s="15"/>
      <c r="WYP68" s="15"/>
      <c r="WYQ68" s="15"/>
      <c r="WYR68" s="15"/>
      <c r="WYS68" s="15"/>
      <c r="WYT68" s="15"/>
      <c r="WYU68" s="15"/>
      <c r="WYV68" s="15"/>
      <c r="WYW68" s="15"/>
      <c r="WYX68" s="15"/>
      <c r="WYY68" s="15"/>
      <c r="WYZ68" s="15"/>
      <c r="WZA68" s="15"/>
      <c r="WZB68" s="15"/>
      <c r="WZC68" s="15"/>
      <c r="WZD68" s="15"/>
      <c r="WZE68" s="15"/>
      <c r="WZF68" s="15"/>
      <c r="WZG68" s="15"/>
      <c r="WZH68" s="15"/>
      <c r="WZI68" s="15"/>
      <c r="WZJ68" s="15"/>
      <c r="WZK68" s="15"/>
      <c r="WZL68" s="15"/>
      <c r="WZM68" s="15"/>
      <c r="WZN68" s="15"/>
      <c r="WZO68" s="15"/>
      <c r="WZP68" s="15"/>
      <c r="WZQ68" s="15"/>
      <c r="WZR68" s="15"/>
      <c r="WZS68" s="15"/>
      <c r="WZT68" s="15"/>
      <c r="WZU68" s="15"/>
      <c r="WZV68" s="15"/>
      <c r="WZW68" s="15"/>
      <c r="WZX68" s="15"/>
      <c r="WZY68" s="15"/>
      <c r="WZZ68" s="15"/>
      <c r="XAA68" s="15"/>
      <c r="XAB68" s="15"/>
      <c r="XAC68" s="15"/>
      <c r="XAD68" s="15"/>
      <c r="XAE68" s="15"/>
      <c r="XAF68" s="15"/>
      <c r="XAG68" s="15"/>
      <c r="XAH68" s="15"/>
      <c r="XAI68" s="15"/>
      <c r="XAJ68" s="15"/>
      <c r="XAK68" s="15"/>
      <c r="XAL68" s="15"/>
      <c r="XAM68" s="15"/>
      <c r="XAN68" s="15"/>
      <c r="XAO68" s="15"/>
      <c r="XAP68" s="15"/>
      <c r="XAQ68" s="15"/>
      <c r="XAR68" s="15"/>
      <c r="XAS68" s="15"/>
      <c r="XAT68" s="15"/>
      <c r="XAU68" s="15"/>
      <c r="XAV68" s="15"/>
      <c r="XAW68" s="15"/>
      <c r="XAX68" s="15"/>
      <c r="XAY68" s="15"/>
      <c r="XAZ68" s="15"/>
      <c r="XBA68" s="15"/>
      <c r="XBB68" s="15"/>
      <c r="XBC68" s="15"/>
      <c r="XBD68" s="15"/>
      <c r="XBE68" s="15"/>
      <c r="XBF68" s="15"/>
      <c r="XBG68" s="15"/>
      <c r="XBH68" s="15"/>
      <c r="XBI68" s="15"/>
      <c r="XBJ68" s="15"/>
      <c r="XBK68" s="15"/>
      <c r="XBL68" s="15"/>
      <c r="XBM68" s="15"/>
      <c r="XBN68" s="15"/>
      <c r="XBO68" s="15"/>
      <c r="XBP68" s="15"/>
      <c r="XBQ68" s="15"/>
      <c r="XBR68" s="15"/>
      <c r="XBS68" s="15"/>
      <c r="XBT68" s="15"/>
      <c r="XBU68" s="15"/>
      <c r="XBV68" s="15"/>
      <c r="XBW68" s="15"/>
      <c r="XBX68" s="15"/>
      <c r="XBY68" s="15"/>
      <c r="XBZ68" s="15"/>
      <c r="XCA68" s="15"/>
      <c r="XCB68" s="15"/>
      <c r="XCC68" s="15"/>
      <c r="XCD68" s="15"/>
      <c r="XCE68" s="15"/>
      <c r="XCF68" s="15"/>
      <c r="XCG68" s="15"/>
      <c r="XCH68" s="15"/>
      <c r="XCI68" s="15"/>
      <c r="XCJ68" s="15"/>
      <c r="XCK68" s="15"/>
      <c r="XCL68" s="15"/>
      <c r="XCM68" s="15"/>
      <c r="XCN68" s="15"/>
      <c r="XCO68" s="15"/>
      <c r="XCP68" s="15"/>
      <c r="XCQ68" s="15"/>
      <c r="XCR68" s="15"/>
      <c r="XCS68" s="15"/>
      <c r="XCT68" s="15"/>
      <c r="XCU68" s="15"/>
      <c r="XCV68" s="15"/>
      <c r="XCW68" s="15"/>
      <c r="XCX68" s="15"/>
      <c r="XCY68" s="15"/>
      <c r="XCZ68" s="15"/>
      <c r="XDA68" s="15"/>
      <c r="XDB68" s="15"/>
      <c r="XDC68" s="15"/>
      <c r="XDD68" s="15"/>
      <c r="XDE68" s="15"/>
      <c r="XDF68" s="15"/>
      <c r="XDG68" s="15"/>
      <c r="XDH68" s="15"/>
      <c r="XDI68" s="15"/>
      <c r="XDJ68" s="15"/>
      <c r="XDK68" s="15"/>
      <c r="XDL68" s="15"/>
      <c r="XDM68" s="15"/>
      <c r="XDN68" s="15"/>
      <c r="XDO68" s="15"/>
      <c r="XDP68" s="15"/>
      <c r="XDQ68" s="15"/>
      <c r="XDR68" s="15"/>
      <c r="XDS68" s="15"/>
      <c r="XDT68" s="15"/>
      <c r="XDU68" s="15"/>
      <c r="XDV68" s="15"/>
      <c r="XDW68" s="15"/>
      <c r="XDX68" s="15"/>
      <c r="XDY68" s="15"/>
      <c r="XDZ68" s="15"/>
      <c r="XEA68" s="15"/>
      <c r="XEB68" s="15"/>
      <c r="XEC68" s="15"/>
      <c r="XED68" s="15"/>
      <c r="XEE68" s="15"/>
      <c r="XEF68" s="15"/>
      <c r="XEG68" s="15"/>
      <c r="XEH68" s="15"/>
      <c r="XEI68" s="15"/>
      <c r="XEJ68" s="15"/>
      <c r="XEK68" s="15"/>
      <c r="XEL68" s="15"/>
      <c r="XEM68" s="15"/>
      <c r="XEN68" s="15"/>
      <c r="XEO68" s="15"/>
      <c r="XEP68" s="15"/>
      <c r="XEQ68" s="15"/>
      <c r="XER68" s="15"/>
      <c r="XES68" s="15"/>
      <c r="XET68" s="15"/>
      <c r="XEU68" s="15"/>
      <c r="XEV68" s="15"/>
      <c r="XEW68" s="15"/>
      <c r="XEX68" s="15"/>
      <c r="XEY68" s="15"/>
      <c r="XEZ68" s="15"/>
      <c r="XFA68" s="15"/>
      <c r="XFB68" s="15"/>
      <c r="XFC68" s="15"/>
    </row>
    <row r="69" spans="2:16383" s="15" customFormat="1">
      <c r="B69" s="15" t="s">
        <v>28</v>
      </c>
      <c r="D69" s="149">
        <f ca="1">IFERROR(D68/C68-1,"na")</f>
        <v>4.0554081534494024E-3</v>
      </c>
      <c r="E69" s="149">
        <f t="shared" ref="E69:M69" ca="1" si="22">IFERROR(E68/D68-1,"na")</f>
        <v>-0.2719500032837755</v>
      </c>
      <c r="F69" s="149">
        <f t="shared" ca="1" si="22"/>
        <v>-0.25244439273926489</v>
      </c>
      <c r="G69" s="149">
        <f t="shared" ca="1" si="22"/>
        <v>-0.48678117109566654</v>
      </c>
      <c r="H69" s="149">
        <f t="shared" ca="1" si="22"/>
        <v>-1.2082729193563755</v>
      </c>
      <c r="I69" s="149">
        <f t="shared" ca="1" si="22"/>
        <v>7.0054991986887156</v>
      </c>
      <c r="J69" s="149">
        <f t="shared" ca="1" si="22"/>
        <v>0.96540718867894948</v>
      </c>
      <c r="K69" s="149">
        <f t="shared" ca="1" si="22"/>
        <v>0.56643819236891102</v>
      </c>
      <c r="L69" s="149">
        <f ca="1">IFERROR(L68/K68-1,"na")</f>
        <v>0.42265275651914158</v>
      </c>
      <c r="M69" s="149">
        <f t="shared" ca="1" si="22"/>
        <v>4.7476617179768921E-2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</row>
    <row r="70" spans="2:16383" ht="5.15" customHeight="1"/>
    <row r="71" spans="2:16383">
      <c r="B71" t="s">
        <v>26</v>
      </c>
      <c r="C71" s="7">
        <f ca="1">+C68</f>
        <v>-1006.5985955743743</v>
      </c>
      <c r="D71" s="7">
        <f t="shared" ref="D71:K71" ca="1" si="23">+D68</f>
        <v>-1010.6807637261173</v>
      </c>
      <c r="E71" s="7">
        <f t="shared" ca="1" si="23"/>
        <v>-735.82612671195102</v>
      </c>
      <c r="F71" s="7">
        <f t="shared" ca="1" si="23"/>
        <v>-550.07094699246716</v>
      </c>
      <c r="G71" s="7">
        <f t="shared" ca="1" si="23"/>
        <v>-282.30676722977171</v>
      </c>
      <c r="H71" s="7">
        <f t="shared" ca="1" si="23"/>
        <v>58.796854565005333</v>
      </c>
      <c r="I71" s="7">
        <f t="shared" ca="1" si="23"/>
        <v>470.6981721055671</v>
      </c>
      <c r="J71" s="7">
        <f t="shared" ca="1" si="23"/>
        <v>925.11357115432293</v>
      </c>
      <c r="K71" s="7">
        <f t="shared" ca="1" si="23"/>
        <v>1449.1332301349255</v>
      </c>
      <c r="L71" s="7">
        <f ca="1">+L68+L75</f>
        <v>69241.287697304593</v>
      </c>
      <c r="M71" s="7"/>
    </row>
    <row r="72" spans="2:16383">
      <c r="B72" t="s">
        <v>12</v>
      </c>
      <c r="C72" s="4">
        <f ca="1">+(1+C$46)^(C$50-$C$47-$C$48)</f>
        <v>1.0065368693203016</v>
      </c>
      <c r="D72" s="4">
        <f t="shared" ref="D72:K72" ca="1" si="24">+(1+D$46)^(D$50-$C$47-$C$48)</f>
        <v>1.08461298595781</v>
      </c>
      <c r="E72" s="4">
        <f t="shared" ca="1" si="24"/>
        <v>1.1670442405097197</v>
      </c>
      <c r="F72" s="4">
        <f t="shared" ca="1" si="24"/>
        <v>1.2539105471538889</v>
      </c>
      <c r="G72" s="4">
        <f t="shared" ca="1" si="24"/>
        <v>1.34527730067728</v>
      </c>
      <c r="H72" s="4">
        <f t="shared" ca="1" si="24"/>
        <v>1.4411938557012733</v>
      </c>
      <c r="I72" s="4">
        <f t="shared" ca="1" si="24"/>
        <v>1.541692014053252</v>
      </c>
      <c r="J72" s="4">
        <f t="shared" ca="1" si="24"/>
        <v>1.6467845350012265</v>
      </c>
      <c r="K72" s="4">
        <f t="shared" ca="1" si="24"/>
        <v>1.7564636839403365</v>
      </c>
      <c r="L72" s="4">
        <f ca="1">+(1+L$46)^(L$50-$C$47-$C$48)</f>
        <v>1.8831837873499944</v>
      </c>
      <c r="M72" s="4"/>
    </row>
    <row r="73" spans="2:16383">
      <c r="B73" t="s">
        <v>15</v>
      </c>
      <c r="C73" s="7">
        <f t="shared" ref="C73:L73" ca="1" si="25">+C71/C72</f>
        <v>-1000.06132537809</v>
      </c>
      <c r="D73" s="7">
        <f t="shared" ca="1" si="25"/>
        <v>-931.83538903841918</v>
      </c>
      <c r="E73" s="7">
        <f t="shared" ca="1" si="25"/>
        <v>-630.50405560509921</v>
      </c>
      <c r="F73" s="7">
        <f t="shared" ca="1" si="25"/>
        <v>-438.68436089082394</v>
      </c>
      <c r="G73" s="7">
        <f t="shared" ca="1" si="25"/>
        <v>-209.85024209331738</v>
      </c>
      <c r="H73" s="7">
        <f t="shared" ca="1" si="25"/>
        <v>40.797325309436083</v>
      </c>
      <c r="I73" s="7">
        <f t="shared" ca="1" si="25"/>
        <v>305.31271344401517</v>
      </c>
      <c r="J73" s="7">
        <f t="shared" ca="1" si="25"/>
        <v>561.76964957570112</v>
      </c>
      <c r="K73" s="7">
        <f t="shared" ca="1" si="25"/>
        <v>825.0288596255142</v>
      </c>
      <c r="L73" s="7">
        <f t="shared" ca="1" si="25"/>
        <v>36768.205080365813</v>
      </c>
      <c r="M73" s="7"/>
    </row>
    <row r="74" spans="2:16383" ht="5.15" customHeight="1"/>
    <row r="75" spans="2:16383">
      <c r="B75" s="3" t="s">
        <v>16</v>
      </c>
      <c r="C75" s="132">
        <f ca="1">+SUM(C73:M73)</f>
        <v>35290.178255314728</v>
      </c>
      <c r="K75" s="10" t="s">
        <v>95</v>
      </c>
      <c r="L75" s="132">
        <f ca="1">(M68)/(L46-L85)</f>
        <v>67179.674312889649</v>
      </c>
    </row>
    <row r="76" spans="2:16383">
      <c r="B76" s="136" t="s">
        <v>17</v>
      </c>
      <c r="C76" s="133">
        <f>-Model!AA382</f>
        <v>-1722.3190000000002</v>
      </c>
      <c r="K76" s="140" t="s">
        <v>17</v>
      </c>
      <c r="L76" s="130">
        <f ca="1">-Model!AK382</f>
        <v>-11636.056420641456</v>
      </c>
    </row>
    <row r="77" spans="2:16383">
      <c r="B77" s="136" t="s">
        <v>18</v>
      </c>
      <c r="C77" s="134">
        <f>-Model!AA297</f>
        <v>0</v>
      </c>
      <c r="K77" s="140" t="s">
        <v>18</v>
      </c>
      <c r="L77" s="142">
        <f>-Model!AK297</f>
        <v>0</v>
      </c>
    </row>
    <row r="78" spans="2:16383">
      <c r="B78" s="136" t="s">
        <v>19</v>
      </c>
      <c r="C78" s="317">
        <v>0</v>
      </c>
      <c r="K78" s="140" t="s">
        <v>19</v>
      </c>
      <c r="L78" s="317">
        <v>0</v>
      </c>
    </row>
    <row r="79" spans="2:16383">
      <c r="B79" s="137" t="s">
        <v>20</v>
      </c>
      <c r="C79" s="135">
        <f>+Model!AA267</f>
        <v>300.81</v>
      </c>
      <c r="K79" s="141" t="s">
        <v>20</v>
      </c>
      <c r="L79" s="143">
        <f ca="1">+Model!AK267</f>
        <v>7593.4520837092505</v>
      </c>
    </row>
    <row r="80" spans="2:16383">
      <c r="B80" s="2" t="s">
        <v>21</v>
      </c>
      <c r="C80" s="139">
        <f ca="1">SUM(C75:C79)</f>
        <v>33868.669255314722</v>
      </c>
      <c r="D80" s="205"/>
      <c r="E80" s="9"/>
      <c r="F80" s="9"/>
      <c r="G80" s="9"/>
      <c r="H80" s="9"/>
      <c r="I80" s="9"/>
      <c r="J80" s="9"/>
      <c r="K80" s="11" t="s">
        <v>96</v>
      </c>
      <c r="L80" s="139">
        <f ca="1">+SUM(L75:L79)</f>
        <v>63137.069975957442</v>
      </c>
      <c r="N80" s="1"/>
    </row>
    <row r="81" spans="2:15" ht="15" thickBot="1">
      <c r="B81" s="138" t="s">
        <v>22</v>
      </c>
      <c r="C81" s="188">
        <f>+Model!AB321</f>
        <v>175.56</v>
      </c>
      <c r="K81" s="141" t="s">
        <v>22</v>
      </c>
      <c r="L81" s="187">
        <f ca="1">+Model!AK321</f>
        <v>183.10120890547941</v>
      </c>
    </row>
    <row r="82" spans="2:15" ht="15" thickBot="1">
      <c r="B82" s="146" t="s">
        <v>23</v>
      </c>
      <c r="C82" s="145">
        <f ca="1">+C80/C81</f>
        <v>192.91791555772798</v>
      </c>
      <c r="D82" s="9"/>
      <c r="E82" s="9"/>
      <c r="F82" s="9"/>
      <c r="G82" s="9"/>
      <c r="H82" s="9"/>
      <c r="I82" s="9"/>
      <c r="J82" s="9"/>
      <c r="K82" s="11" t="s">
        <v>24</v>
      </c>
      <c r="L82" s="13">
        <f ca="1">+L80/L81</f>
        <v>344.82060688386872</v>
      </c>
      <c r="N82" s="1"/>
    </row>
    <row r="83" spans="2:15">
      <c r="K83" s="10" t="s">
        <v>71</v>
      </c>
      <c r="L83" s="147">
        <f ca="1">IFERROR(L82/L84,"na")</f>
        <v>24.680238680913142</v>
      </c>
      <c r="N83" s="1"/>
    </row>
    <row r="84" spans="2:15">
      <c r="K84" s="10" t="str">
        <f>$L$51+1&amp;" EPS (1Y Forward)"</f>
        <v>2031 EPS (1Y Forward)</v>
      </c>
      <c r="L84" s="120">
        <f ca="1">+M53</f>
        <v>13.971526394873051</v>
      </c>
      <c r="O84" s="7"/>
    </row>
    <row r="85" spans="2:15">
      <c r="K85" s="10" t="s">
        <v>50</v>
      </c>
      <c r="L85" s="50">
        <f>+$K$36</f>
        <v>0.04</v>
      </c>
    </row>
    <row r="87" spans="2:15">
      <c r="C87" s="213"/>
      <c r="D87" s="213"/>
      <c r="E87" s="213"/>
      <c r="F87" s="213"/>
      <c r="G87" s="213"/>
      <c r="H87" s="213"/>
      <c r="I87" s="213"/>
      <c r="J87" s="213"/>
      <c r="K87" s="213"/>
      <c r="L87" s="213"/>
    </row>
    <row r="88" spans="2:15" hidden="1" outlineLevel="1">
      <c r="B88" s="12" t="s">
        <v>83</v>
      </c>
      <c r="C88" s="12"/>
      <c r="D88" s="12"/>
      <c r="E88" s="12"/>
    </row>
    <row r="89" spans="2:15" hidden="1" outlineLevel="1">
      <c r="B89" t="s">
        <v>73</v>
      </c>
      <c r="C89" t="s">
        <v>463</v>
      </c>
      <c r="D89" t="s">
        <v>529</v>
      </c>
      <c r="E89" t="s">
        <v>1</v>
      </c>
    </row>
    <row r="90" spans="2:15" hidden="1" outlineLevel="1">
      <c r="B90" t="s">
        <v>75</v>
      </c>
      <c r="C90" t="s">
        <v>259</v>
      </c>
      <c r="D90" t="s">
        <v>81</v>
      </c>
      <c r="E90" t="s">
        <v>55</v>
      </c>
    </row>
    <row r="91" spans="2:15" hidden="1" outlineLevel="1">
      <c r="B91" t="s">
        <v>78</v>
      </c>
      <c r="C91" t="s">
        <v>464</v>
      </c>
      <c r="D91" t="s">
        <v>530</v>
      </c>
      <c r="E91" t="s">
        <v>84</v>
      </c>
    </row>
    <row r="92" spans="2:15" hidden="1" outlineLevel="1">
      <c r="B92" t="s">
        <v>76</v>
      </c>
      <c r="C92" t="s">
        <v>465</v>
      </c>
      <c r="D92" t="s">
        <v>531</v>
      </c>
      <c r="E92" t="s">
        <v>532</v>
      </c>
    </row>
    <row r="93" spans="2:15" hidden="1" outlineLevel="1">
      <c r="B93" t="s">
        <v>80</v>
      </c>
      <c r="C93" t="s">
        <v>466</v>
      </c>
      <c r="D93" t="s">
        <v>533</v>
      </c>
    </row>
    <row r="94" spans="2:15" hidden="1" outlineLevel="1">
      <c r="B94" t="s">
        <v>77</v>
      </c>
      <c r="C94" t="s">
        <v>467</v>
      </c>
      <c r="D94" t="s">
        <v>534</v>
      </c>
    </row>
    <row r="95" spans="2:15" hidden="1" outlineLevel="1">
      <c r="B95" t="s">
        <v>47</v>
      </c>
      <c r="C95" t="s">
        <v>468</v>
      </c>
      <c r="D95" t="s">
        <v>535</v>
      </c>
    </row>
    <row r="96" spans="2:15" hidden="1" outlineLevel="1">
      <c r="B96" t="s">
        <v>74</v>
      </c>
      <c r="C96" t="s">
        <v>469</v>
      </c>
      <c r="D96" t="s">
        <v>536</v>
      </c>
    </row>
    <row r="97" spans="2:4" hidden="1" outlineLevel="1">
      <c r="B97" t="s">
        <v>45</v>
      </c>
      <c r="C97" t="s">
        <v>470</v>
      </c>
      <c r="D97" t="s">
        <v>537</v>
      </c>
    </row>
    <row r="98" spans="2:4" hidden="1" outlineLevel="1">
      <c r="B98" t="s">
        <v>79</v>
      </c>
      <c r="C98" t="s">
        <v>471</v>
      </c>
      <c r="D98" t="s">
        <v>538</v>
      </c>
    </row>
    <row r="99" spans="2:4" hidden="1" outlineLevel="1">
      <c r="B99" t="s">
        <v>46</v>
      </c>
      <c r="C99" t="s">
        <v>472</v>
      </c>
      <c r="D99" t="s">
        <v>539</v>
      </c>
    </row>
    <row r="100" spans="2:4" hidden="1" outlineLevel="1">
      <c r="C100" t="s">
        <v>473</v>
      </c>
      <c r="D100" t="s">
        <v>540</v>
      </c>
    </row>
    <row r="101" spans="2:4" hidden="1" outlineLevel="1">
      <c r="C101" t="s">
        <v>474</v>
      </c>
      <c r="D101" t="s">
        <v>541</v>
      </c>
    </row>
    <row r="102" spans="2:4" hidden="1" outlineLevel="1">
      <c r="C102" t="s">
        <v>475</v>
      </c>
      <c r="D102" t="s">
        <v>542</v>
      </c>
    </row>
    <row r="103" spans="2:4" hidden="1" outlineLevel="1">
      <c r="C103" t="s">
        <v>476</v>
      </c>
      <c r="D103" t="s">
        <v>543</v>
      </c>
    </row>
    <row r="104" spans="2:4" hidden="1" outlineLevel="1">
      <c r="C104" t="s">
        <v>477</v>
      </c>
    </row>
    <row r="105" spans="2:4" hidden="1" outlineLevel="1">
      <c r="C105" t="s">
        <v>478</v>
      </c>
    </row>
    <row r="106" spans="2:4" hidden="1" outlineLevel="1">
      <c r="C106" t="s">
        <v>479</v>
      </c>
    </row>
    <row r="107" spans="2:4" hidden="1" outlineLevel="1">
      <c r="C107" t="s">
        <v>480</v>
      </c>
    </row>
    <row r="108" spans="2:4" hidden="1" outlineLevel="1">
      <c r="C108" t="s">
        <v>481</v>
      </c>
    </row>
    <row r="109" spans="2:4" hidden="1" outlineLevel="1">
      <c r="C109" t="s">
        <v>482</v>
      </c>
    </row>
    <row r="110" spans="2:4" hidden="1" outlineLevel="1">
      <c r="C110" t="s">
        <v>483</v>
      </c>
    </row>
    <row r="111" spans="2:4" hidden="1" outlineLevel="1">
      <c r="C111" t="s">
        <v>484</v>
      </c>
    </row>
    <row r="112" spans="2:4" hidden="1" outlineLevel="1">
      <c r="C112" t="s">
        <v>485</v>
      </c>
    </row>
    <row r="113" spans="3:3" hidden="1" outlineLevel="1">
      <c r="C113" t="s">
        <v>82</v>
      </c>
    </row>
    <row r="114" spans="3:3" hidden="1" outlineLevel="1">
      <c r="C114" t="s">
        <v>486</v>
      </c>
    </row>
    <row r="115" spans="3:3" hidden="1" outlineLevel="1">
      <c r="C115" t="s">
        <v>487</v>
      </c>
    </row>
    <row r="116" spans="3:3" hidden="1" outlineLevel="1">
      <c r="C116" t="s">
        <v>488</v>
      </c>
    </row>
    <row r="117" spans="3:3" hidden="1" outlineLevel="1">
      <c r="C117" t="s">
        <v>489</v>
      </c>
    </row>
    <row r="118" spans="3:3" hidden="1" outlineLevel="1">
      <c r="C118" t="s">
        <v>490</v>
      </c>
    </row>
    <row r="119" spans="3:3" hidden="1" outlineLevel="1">
      <c r="C119" t="s">
        <v>491</v>
      </c>
    </row>
    <row r="120" spans="3:3" hidden="1" outlineLevel="1">
      <c r="C120" t="s">
        <v>492</v>
      </c>
    </row>
    <row r="121" spans="3:3" hidden="1" outlineLevel="1">
      <c r="C121" t="s">
        <v>493</v>
      </c>
    </row>
    <row r="122" spans="3:3" hidden="1" outlineLevel="1">
      <c r="C122" t="s">
        <v>494</v>
      </c>
    </row>
    <row r="123" spans="3:3" hidden="1" outlineLevel="1">
      <c r="C123" t="s">
        <v>495</v>
      </c>
    </row>
    <row r="124" spans="3:3" hidden="1" outlineLevel="1">
      <c r="C124" t="s">
        <v>496</v>
      </c>
    </row>
    <row r="125" spans="3:3" hidden="1" outlineLevel="1">
      <c r="C125" t="s">
        <v>497</v>
      </c>
    </row>
    <row r="126" spans="3:3" hidden="1" outlineLevel="1">
      <c r="C126" t="s">
        <v>498</v>
      </c>
    </row>
    <row r="127" spans="3:3" hidden="1" outlineLevel="1">
      <c r="C127" t="s">
        <v>499</v>
      </c>
    </row>
    <row r="128" spans="3:3" hidden="1" outlineLevel="1">
      <c r="C128" t="s">
        <v>500</v>
      </c>
    </row>
    <row r="129" spans="3:3" hidden="1" outlineLevel="1">
      <c r="C129" t="s">
        <v>501</v>
      </c>
    </row>
    <row r="130" spans="3:3" hidden="1" outlineLevel="1">
      <c r="C130" t="s">
        <v>502</v>
      </c>
    </row>
    <row r="131" spans="3:3" hidden="1" outlineLevel="1">
      <c r="C131" t="s">
        <v>503</v>
      </c>
    </row>
    <row r="132" spans="3:3" hidden="1" outlineLevel="1">
      <c r="C132" t="s">
        <v>504</v>
      </c>
    </row>
    <row r="133" spans="3:3" hidden="1" outlineLevel="1">
      <c r="C133" t="s">
        <v>505</v>
      </c>
    </row>
    <row r="134" spans="3:3" hidden="1" outlineLevel="1">
      <c r="C134" t="s">
        <v>506</v>
      </c>
    </row>
    <row r="135" spans="3:3" hidden="1" outlineLevel="1">
      <c r="C135" t="s">
        <v>507</v>
      </c>
    </row>
    <row r="136" spans="3:3" hidden="1" outlineLevel="1">
      <c r="C136" t="s">
        <v>508</v>
      </c>
    </row>
    <row r="137" spans="3:3" hidden="1" outlineLevel="1">
      <c r="C137" t="s">
        <v>509</v>
      </c>
    </row>
    <row r="138" spans="3:3" hidden="1" outlineLevel="1">
      <c r="C138" t="s">
        <v>510</v>
      </c>
    </row>
    <row r="139" spans="3:3" hidden="1" outlineLevel="1">
      <c r="C139" t="s">
        <v>511</v>
      </c>
    </row>
    <row r="140" spans="3:3" hidden="1" outlineLevel="1">
      <c r="C140" t="s">
        <v>512</v>
      </c>
    </row>
    <row r="141" spans="3:3" hidden="1" outlineLevel="1">
      <c r="C141" t="s">
        <v>513</v>
      </c>
    </row>
    <row r="142" spans="3:3" hidden="1" outlineLevel="1">
      <c r="C142" t="s">
        <v>514</v>
      </c>
    </row>
    <row r="143" spans="3:3" hidden="1" outlineLevel="1">
      <c r="C143" t="s">
        <v>515</v>
      </c>
    </row>
    <row r="144" spans="3:3" hidden="1" outlineLevel="1">
      <c r="C144" t="s">
        <v>516</v>
      </c>
    </row>
    <row r="145" spans="3:3" hidden="1" outlineLevel="1">
      <c r="C145" t="s">
        <v>517</v>
      </c>
    </row>
    <row r="146" spans="3:3" hidden="1" outlineLevel="1">
      <c r="C146" t="s">
        <v>518</v>
      </c>
    </row>
    <row r="147" spans="3:3" hidden="1" outlineLevel="1">
      <c r="C147" t="s">
        <v>519</v>
      </c>
    </row>
    <row r="148" spans="3:3" hidden="1" outlineLevel="1">
      <c r="C148" t="s">
        <v>248</v>
      </c>
    </row>
    <row r="149" spans="3:3" hidden="1" outlineLevel="1">
      <c r="C149" t="s">
        <v>520</v>
      </c>
    </row>
    <row r="150" spans="3:3" hidden="1" outlineLevel="1">
      <c r="C150" t="s">
        <v>521</v>
      </c>
    </row>
    <row r="151" spans="3:3" hidden="1" outlineLevel="1">
      <c r="C151" t="s">
        <v>522</v>
      </c>
    </row>
    <row r="152" spans="3:3" hidden="1" outlineLevel="1">
      <c r="C152" t="s">
        <v>386</v>
      </c>
    </row>
    <row r="153" spans="3:3" hidden="1" outlineLevel="1">
      <c r="C153" t="s">
        <v>523</v>
      </c>
    </row>
    <row r="154" spans="3:3" hidden="1" outlineLevel="1">
      <c r="C154" t="s">
        <v>524</v>
      </c>
    </row>
    <row r="155" spans="3:3" hidden="1" outlineLevel="1">
      <c r="C155" t="s">
        <v>525</v>
      </c>
    </row>
    <row r="156" spans="3:3" hidden="1" outlineLevel="1">
      <c r="C156" t="s">
        <v>526</v>
      </c>
    </row>
    <row r="157" spans="3:3" hidden="1" outlineLevel="1">
      <c r="C157" t="s">
        <v>527</v>
      </c>
    </row>
    <row r="158" spans="3:3" hidden="1" outlineLevel="1">
      <c r="C158" t="s">
        <v>528</v>
      </c>
    </row>
    <row r="159" spans="3:3" hidden="1" outlineLevel="1"/>
    <row r="160" spans="3:3" hidden="1" outlineLevel="1"/>
    <row r="161" spans="3:12" hidden="1" outlineLevel="1"/>
    <row r="162" spans="3:12" hidden="1" outlineLevel="1"/>
    <row r="163" spans="3:12" hidden="1" outlineLevel="1"/>
    <row r="164" spans="3:12" hidden="1" outlineLevel="1"/>
    <row r="165" spans="3:12" hidden="1" outlineLevel="1"/>
    <row r="166" spans="3:12" hidden="1" outlineLevel="1"/>
    <row r="167" spans="3:12" hidden="1" outlineLevel="1"/>
    <row r="168" spans="3:12" hidden="1" outlineLevel="1"/>
    <row r="169" spans="3:12" collapsed="1"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</sheetData>
  <dataValidations disablePrompts="1" count="4">
    <dataValidation type="list" allowBlank="1" showInputMessage="1" showErrorMessage="1" sqref="P13:Q13" xr:uid="{00000000-0002-0000-0100-000000000000}">
      <formula1>$E$89:$E$92</formula1>
    </dataValidation>
    <dataValidation type="list" allowBlank="1" showInputMessage="1" showErrorMessage="1" sqref="P12:Q12" xr:uid="{00000000-0002-0000-0100-000001000000}">
      <formula1>$D$89:$D$133</formula1>
    </dataValidation>
    <dataValidation type="list" allowBlank="1" showInputMessage="1" showErrorMessage="1" sqref="P11:Q11" xr:uid="{00000000-0002-0000-0100-000002000000}">
      <formula1>$C$89:$C$158</formula1>
    </dataValidation>
    <dataValidation type="list" allowBlank="1" showInputMessage="1" showErrorMessage="1" sqref="P10:Q10" xr:uid="{00000000-0002-0000-0100-000003000000}">
      <formula1>$B$89:$B$99</formula1>
    </dataValidation>
  </dataValidations>
  <pageMargins left="0.7" right="0.7" top="0.75" bottom="0.75" header="0.3" footer="0.3"/>
  <pageSetup orientation="portrait" verticalDpi="0" r:id="rId1"/>
  <ignoredErrors>
    <ignoredError sqref="D55:L55 D57:L57 M54:O61 M64:O65 N63:O63 N62:O6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7C60-7C9A-4D3D-915A-E293AD21902B}">
  <sheetPr>
    <tabColor theme="6" tint="-0.499984740745262"/>
  </sheetPr>
  <dimension ref="A1:D1"/>
  <sheetViews>
    <sheetView workbookViewId="0"/>
  </sheetViews>
  <sheetFormatPr defaultRowHeight="14.5"/>
  <sheetData>
    <row r="1" spans="1:4">
      <c r="A1">
        <v>4</v>
      </c>
      <c r="B1" t="s">
        <v>236</v>
      </c>
      <c r="C1" t="s">
        <v>237</v>
      </c>
      <c r="D1" t="s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82C3-87C6-47B9-9CBD-B5866CC22466}">
  <sheetPr codeName="Sheet2">
    <tabColor theme="6" tint="-0.499984740745262"/>
    <pageSetUpPr fitToPage="1"/>
  </sheetPr>
  <dimension ref="A1:AP510"/>
  <sheetViews>
    <sheetView tabSelected="1" zoomScale="85" zoomScaleNormal="85" workbookViewId="0">
      <pane xSplit="6" ySplit="3" topLeftCell="G46" activePane="bottomRight" state="frozen"/>
      <selection activeCell="L64" sqref="L64"/>
      <selection pane="topRight" activeCell="L64" sqref="L64"/>
      <selection pane="bottomLeft" activeCell="L64" sqref="L64"/>
      <selection pane="bottomRight" activeCell="Z58" sqref="Z58"/>
    </sheetView>
  </sheetViews>
  <sheetFormatPr defaultRowHeight="14.5" outlineLevelCol="1"/>
  <cols>
    <col min="1" max="1" width="23.453125" style="116" hidden="1" customWidth="1" outlineLevel="1"/>
    <col min="2" max="2" width="1.7265625" style="36" customWidth="1" collapsed="1"/>
    <col min="3" max="3" width="1.7265625" customWidth="1"/>
    <col min="4" max="4" width="15.7265625" customWidth="1"/>
    <col min="5" max="5" width="17.26953125" customWidth="1"/>
    <col min="7" max="13" width="9.1796875" hidden="1" customWidth="1" outlineLevel="1"/>
    <col min="14" max="17" width="8.7265625" hidden="1" customWidth="1" outlineLevel="1"/>
    <col min="18" max="18" width="8.7265625" collapsed="1"/>
    <col min="19" max="19" width="9" customWidth="1"/>
  </cols>
  <sheetData>
    <row r="1" spans="2:42" ht="23.5">
      <c r="B1" s="152"/>
      <c r="C1" s="55"/>
      <c r="D1" s="194">
        <f ca="1">+DCF!C82</f>
        <v>192.91791555772798</v>
      </c>
      <c r="L1" s="56"/>
      <c r="M1" s="56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O1" s="57"/>
    </row>
    <row r="2" spans="2:42" ht="15.5">
      <c r="D2" s="58"/>
      <c r="E2" s="59"/>
      <c r="O2" s="7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O2" s="61" t="s">
        <v>102</v>
      </c>
      <c r="AP2" s="62"/>
    </row>
    <row r="3" spans="2:42">
      <c r="B3" s="153"/>
      <c r="C3" s="52"/>
      <c r="D3" s="52"/>
      <c r="E3" s="52"/>
      <c r="F3" s="52"/>
      <c r="G3" s="115">
        <v>2000</v>
      </c>
      <c r="H3" s="52">
        <f>+G3+1</f>
        <v>2001</v>
      </c>
      <c r="I3" s="52">
        <f t="shared" ref="I3:AK3" si="0">+H3+1</f>
        <v>2002</v>
      </c>
      <c r="J3" s="52">
        <f t="shared" si="0"/>
        <v>2003</v>
      </c>
      <c r="K3" s="52">
        <f t="shared" si="0"/>
        <v>2004</v>
      </c>
      <c r="L3" s="52">
        <f t="shared" si="0"/>
        <v>2005</v>
      </c>
      <c r="M3" s="52">
        <f t="shared" si="0"/>
        <v>2006</v>
      </c>
      <c r="N3" s="52">
        <f t="shared" si="0"/>
        <v>2007</v>
      </c>
      <c r="O3" s="52">
        <f t="shared" si="0"/>
        <v>2008</v>
      </c>
      <c r="P3" s="52">
        <f t="shared" si="0"/>
        <v>2009</v>
      </c>
      <c r="Q3" s="52">
        <f t="shared" si="0"/>
        <v>2010</v>
      </c>
      <c r="R3" s="52">
        <f t="shared" si="0"/>
        <v>2011</v>
      </c>
      <c r="S3" s="52">
        <f t="shared" si="0"/>
        <v>2012</v>
      </c>
      <c r="T3" s="52">
        <f t="shared" si="0"/>
        <v>2013</v>
      </c>
      <c r="U3" s="52">
        <f t="shared" si="0"/>
        <v>2014</v>
      </c>
      <c r="V3" s="52">
        <f t="shared" si="0"/>
        <v>2015</v>
      </c>
      <c r="W3" s="52">
        <f t="shared" si="0"/>
        <v>2016</v>
      </c>
      <c r="X3" s="52">
        <f t="shared" si="0"/>
        <v>2017</v>
      </c>
      <c r="Y3" s="52">
        <f t="shared" si="0"/>
        <v>2018</v>
      </c>
      <c r="Z3" s="52">
        <f t="shared" si="0"/>
        <v>2019</v>
      </c>
      <c r="AA3" s="52">
        <f t="shared" si="0"/>
        <v>2020</v>
      </c>
      <c r="AB3" s="52">
        <f t="shared" si="0"/>
        <v>2021</v>
      </c>
      <c r="AC3" s="52">
        <f t="shared" si="0"/>
        <v>2022</v>
      </c>
      <c r="AD3" s="52">
        <f t="shared" si="0"/>
        <v>2023</v>
      </c>
      <c r="AE3" s="52">
        <f t="shared" si="0"/>
        <v>2024</v>
      </c>
      <c r="AF3" s="52">
        <f t="shared" si="0"/>
        <v>2025</v>
      </c>
      <c r="AG3" s="52">
        <f t="shared" si="0"/>
        <v>2026</v>
      </c>
      <c r="AH3" s="52">
        <f t="shared" si="0"/>
        <v>2027</v>
      </c>
      <c r="AI3" s="52">
        <f t="shared" si="0"/>
        <v>2028</v>
      </c>
      <c r="AJ3" s="52">
        <f t="shared" si="0"/>
        <v>2029</v>
      </c>
      <c r="AK3" s="52">
        <f t="shared" si="0"/>
        <v>2030</v>
      </c>
      <c r="AL3" s="52">
        <f t="shared" ref="AL3" si="1">+AK3+1</f>
        <v>2031</v>
      </c>
      <c r="AM3" s="52">
        <f t="shared" ref="AM3" si="2">+AL3+1</f>
        <v>2032</v>
      </c>
      <c r="AO3" s="113" t="s">
        <v>231</v>
      </c>
      <c r="AP3" s="113" t="s">
        <v>323</v>
      </c>
    </row>
    <row r="4" spans="2:42">
      <c r="B4" s="153" t="s">
        <v>206</v>
      </c>
      <c r="C4" s="52" t="s">
        <v>206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</row>
    <row r="5" spans="2:42">
      <c r="C5" s="111"/>
      <c r="D5" s="112" t="s">
        <v>163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</row>
    <row r="6" spans="2:42" ht="5.15" customHeight="1">
      <c r="B6" s="154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7"/>
      <c r="AO6" s="1"/>
    </row>
    <row r="7" spans="2:42">
      <c r="B7"/>
      <c r="D7" s="226" t="s">
        <v>210</v>
      </c>
      <c r="G7" s="7"/>
      <c r="H7" s="7"/>
      <c r="I7" s="7"/>
      <c r="J7" s="7"/>
      <c r="K7" s="7"/>
      <c r="L7" s="75"/>
      <c r="M7" s="75"/>
      <c r="N7" s="75"/>
      <c r="O7" s="75"/>
      <c r="P7" s="75"/>
      <c r="Q7" s="75"/>
      <c r="R7" s="75"/>
      <c r="S7" s="75"/>
      <c r="T7" s="75"/>
      <c r="U7" s="75">
        <f t="shared" ref="U7:Z7" si="3">+U55</f>
        <v>41.678999999999995</v>
      </c>
      <c r="V7" s="75">
        <f t="shared" si="3"/>
        <v>130.392</v>
      </c>
      <c r="W7" s="75">
        <f t="shared" si="3"/>
        <v>365.14799999999997</v>
      </c>
      <c r="X7" s="75">
        <f t="shared" si="3"/>
        <v>858.87</v>
      </c>
      <c r="Y7" s="75">
        <f t="shared" si="3"/>
        <v>1955.4670000000001</v>
      </c>
      <c r="Z7" s="75">
        <f t="shared" si="3"/>
        <v>3939.8959999999997</v>
      </c>
      <c r="AA7" s="75">
        <f>+AA55</f>
        <v>5586.5650000000005</v>
      </c>
      <c r="AB7" s="75">
        <f t="shared" ref="AB7:AM7" si="4">+AB55</f>
        <v>9735.9035585324546</v>
      </c>
      <c r="AC7" s="75">
        <f t="shared" si="4"/>
        <v>13885.525239528481</v>
      </c>
      <c r="AD7" s="75">
        <f t="shared" ca="1" si="4"/>
        <v>17790.380494450546</v>
      </c>
      <c r="AE7" s="75">
        <f t="shared" ca="1" si="4"/>
        <v>21889.397163361726</v>
      </c>
      <c r="AF7" s="75">
        <f t="shared" ca="1" si="4"/>
        <v>26194.755905463302</v>
      </c>
      <c r="AG7" s="75">
        <f t="shared" ca="1" si="4"/>
        <v>30282.853411641707</v>
      </c>
      <c r="AH7" s="75">
        <f t="shared" ca="1" si="4"/>
        <v>34587.063924973321</v>
      </c>
      <c r="AI7" s="75">
        <f t="shared" ca="1" si="4"/>
        <v>39099.510346543429</v>
      </c>
      <c r="AJ7" s="75">
        <f t="shared" ca="1" si="4"/>
        <v>43843.960523102323</v>
      </c>
      <c r="AK7" s="75">
        <f t="shared" ca="1" si="4"/>
        <v>48835.985692769922</v>
      </c>
      <c r="AL7" s="75">
        <f t="shared" ca="1" si="4"/>
        <v>52483.366612389975</v>
      </c>
      <c r="AM7" s="75">
        <f t="shared" ca="1" si="4"/>
        <v>56402.172154158863</v>
      </c>
      <c r="AN7" s="7"/>
      <c r="AO7" s="332">
        <f ca="1">IFERROR((AK7/AA7)^(1/10)-1,"na")</f>
        <v>0.24210843252529912</v>
      </c>
      <c r="AP7" s="264">
        <f>(AA7/V7)^(1/5)-1</f>
        <v>1.1202095281620683</v>
      </c>
    </row>
    <row r="8" spans="2:42">
      <c r="B8"/>
      <c r="D8" s="228" t="s">
        <v>263</v>
      </c>
      <c r="G8" s="7"/>
      <c r="H8" s="7"/>
      <c r="I8" s="7"/>
      <c r="J8" s="7"/>
      <c r="K8" s="7"/>
      <c r="L8" s="75"/>
      <c r="M8" s="75"/>
      <c r="N8" s="75"/>
      <c r="O8" s="75"/>
      <c r="P8" s="75"/>
      <c r="Q8" s="75"/>
      <c r="R8" s="75"/>
      <c r="S8" s="75"/>
      <c r="T8" s="75"/>
      <c r="U8" s="75">
        <f t="shared" ref="U8:Z8" si="5">+U9-U7</f>
        <v>-42.102999999999994</v>
      </c>
      <c r="V8" s="75">
        <f t="shared" si="5"/>
        <v>-129.04599999999999</v>
      </c>
      <c r="W8" s="75">
        <f t="shared" si="5"/>
        <v>-345.95099999999996</v>
      </c>
      <c r="X8" s="75">
        <f t="shared" si="5"/>
        <v>-790.779</v>
      </c>
      <c r="Y8" s="75">
        <f t="shared" si="5"/>
        <v>-1758.758</v>
      </c>
      <c r="Z8" s="75">
        <f t="shared" si="5"/>
        <v>-3433.482</v>
      </c>
      <c r="AA8" s="75">
        <f>+AA9-AA7</f>
        <v>-4792.8</v>
      </c>
      <c r="AB8" s="75">
        <f t="shared" ref="AB8:AM8" si="6">+AB9-AB7</f>
        <v>-8362.8833119955707</v>
      </c>
      <c r="AC8" s="75">
        <f t="shared" si="6"/>
        <v>-11794.064972043705</v>
      </c>
      <c r="AD8" s="75">
        <f t="shared" ca="1" si="6"/>
        <v>-15020.072033005703</v>
      </c>
      <c r="AE8" s="75">
        <f t="shared" ca="1" si="6"/>
        <v>-18402.098727238499</v>
      </c>
      <c r="AF8" s="75">
        <f t="shared" ca="1" si="6"/>
        <v>-21947.177538802061</v>
      </c>
      <c r="AG8" s="75">
        <f t="shared" ca="1" si="6"/>
        <v>-25282.751366386092</v>
      </c>
      <c r="AH8" s="75">
        <f t="shared" ca="1" si="6"/>
        <v>-28768.314547471909</v>
      </c>
      <c r="AI8" s="75">
        <f t="shared" ca="1" si="6"/>
        <v>-32443.508528075428</v>
      </c>
      <c r="AJ8" s="75">
        <f t="shared" ca="1" si="6"/>
        <v>-36306.008902935726</v>
      </c>
      <c r="AK8" s="75">
        <f t="shared" ca="1" si="6"/>
        <v>-40353.527699939077</v>
      </c>
      <c r="AL8" s="75">
        <f t="shared" ca="1" si="6"/>
        <v>-43324.220955628371</v>
      </c>
      <c r="AM8" s="75">
        <f t="shared" ca="1" si="6"/>
        <v>-46513.669292774342</v>
      </c>
      <c r="AN8" s="7"/>
      <c r="AO8" s="332"/>
      <c r="AP8" s="227"/>
    </row>
    <row r="9" spans="2:42">
      <c r="B9"/>
      <c r="D9" s="2" t="s">
        <v>264</v>
      </c>
      <c r="E9" s="219"/>
      <c r="F9" s="219"/>
      <c r="G9" s="220"/>
      <c r="H9" s="220"/>
      <c r="I9" s="220"/>
      <c r="J9" s="220"/>
      <c r="K9" s="220"/>
      <c r="L9" s="177"/>
      <c r="M9" s="177"/>
      <c r="N9" s="177"/>
      <c r="O9" s="177"/>
      <c r="P9" s="177"/>
      <c r="Q9" s="177"/>
      <c r="R9" s="177"/>
      <c r="S9" s="177"/>
      <c r="T9" s="177"/>
      <c r="U9" s="177">
        <f t="shared" ref="U9:Z9" si="7">+U60</f>
        <v>-0.42400000000000004</v>
      </c>
      <c r="V9" s="177">
        <f t="shared" si="7"/>
        <v>1.3460000000000001</v>
      </c>
      <c r="W9" s="177">
        <f t="shared" si="7"/>
        <v>19.196999999999999</v>
      </c>
      <c r="X9" s="177">
        <f t="shared" si="7"/>
        <v>68.090999999999994</v>
      </c>
      <c r="Y9" s="177">
        <f t="shared" si="7"/>
        <v>196.709</v>
      </c>
      <c r="Z9" s="177">
        <f t="shared" si="7"/>
        <v>506.41399999999999</v>
      </c>
      <c r="AA9" s="177">
        <f>+AA60</f>
        <v>793.76499999999999</v>
      </c>
      <c r="AB9" s="177">
        <f t="shared" ref="AB9:AM9" si="8">+AB60</f>
        <v>1373.0202465368848</v>
      </c>
      <c r="AC9" s="177">
        <f t="shared" si="8"/>
        <v>2091.4602674847761</v>
      </c>
      <c r="AD9" s="177">
        <f t="shared" ca="1" si="8"/>
        <v>2770.3084614448435</v>
      </c>
      <c r="AE9" s="177">
        <f t="shared" ca="1" si="8"/>
        <v>3487.298436123227</v>
      </c>
      <c r="AF9" s="177">
        <f t="shared" ca="1" si="8"/>
        <v>4247.5783666612406</v>
      </c>
      <c r="AG9" s="177">
        <f t="shared" ca="1" si="8"/>
        <v>5000.1020452556149</v>
      </c>
      <c r="AH9" s="177">
        <f t="shared" ca="1" si="8"/>
        <v>5818.7493775014127</v>
      </c>
      <c r="AI9" s="177">
        <f t="shared" ca="1" si="8"/>
        <v>6656.0018184680021</v>
      </c>
      <c r="AJ9" s="177">
        <f t="shared" ca="1" si="8"/>
        <v>7537.9516201665974</v>
      </c>
      <c r="AK9" s="177">
        <f t="shared" ca="1" si="8"/>
        <v>8482.4579928308431</v>
      </c>
      <c r="AL9" s="177">
        <f t="shared" ca="1" si="8"/>
        <v>9159.1456567616042</v>
      </c>
      <c r="AM9" s="177">
        <f t="shared" ca="1" si="8"/>
        <v>9888.502861384517</v>
      </c>
      <c r="AN9" s="7"/>
      <c r="AO9" s="332">
        <f ca="1">IFERROR((AK9/AA9)^(1/10)-1,"na")</f>
        <v>0.26731033686401862</v>
      </c>
      <c r="AP9" s="264">
        <f>(AA9/V9)^(1/5)-1</f>
        <v>2.582031305563818</v>
      </c>
    </row>
    <row r="10" spans="2:42">
      <c r="D10" s="176" t="s">
        <v>262</v>
      </c>
      <c r="G10" s="7"/>
      <c r="H10" s="7"/>
      <c r="I10" s="7"/>
      <c r="J10" s="7"/>
      <c r="K10" s="7"/>
      <c r="L10" s="7"/>
      <c r="M10" s="65"/>
      <c r="N10" s="65"/>
      <c r="O10" s="65"/>
      <c r="P10" s="65"/>
      <c r="Q10" s="65"/>
      <c r="R10" s="65"/>
      <c r="S10" s="65"/>
      <c r="T10" s="65"/>
      <c r="U10" s="75">
        <f t="shared" ref="U10:Z10" si="9">-U28-U13</f>
        <v>-12.978999999999999</v>
      </c>
      <c r="V10" s="75">
        <f t="shared" si="9"/>
        <v>-33.878</v>
      </c>
      <c r="W10" s="75">
        <f t="shared" si="9"/>
        <v>-104.01799999999999</v>
      </c>
      <c r="X10" s="75">
        <f t="shared" si="9"/>
        <v>-211.83200000000002</v>
      </c>
      <c r="Y10" s="75">
        <f t="shared" si="9"/>
        <v>-401.71900000000005</v>
      </c>
      <c r="Z10" s="75">
        <f t="shared" si="9"/>
        <v>-745.45199999999988</v>
      </c>
      <c r="AA10" s="75">
        <f>-AA28-AA13</f>
        <v>-1052.3700000000001</v>
      </c>
      <c r="AB10" s="75">
        <f t="shared" ref="AB10:AM10" si="10">-AB28-AB13</f>
        <v>-1593.5559935134261</v>
      </c>
      <c r="AC10" s="75">
        <f t="shared" ca="1" si="10"/>
        <v>-2121.4588562971271</v>
      </c>
      <c r="AD10" s="75">
        <f t="shared" ca="1" si="10"/>
        <v>-2577.7713628552256</v>
      </c>
      <c r="AE10" s="75">
        <f t="shared" ca="1" si="10"/>
        <v>-2991.2863462020273</v>
      </c>
      <c r="AF10" s="75">
        <f t="shared" ca="1" si="10"/>
        <v>-3369.8262089171872</v>
      </c>
      <c r="AG10" s="75">
        <f t="shared" ca="1" si="10"/>
        <v>-3645.6316082892158</v>
      </c>
      <c r="AH10" s="75">
        <f t="shared" ca="1" si="10"/>
        <v>-3873.4895166393853</v>
      </c>
      <c r="AI10" s="75">
        <f t="shared" ca="1" si="10"/>
        <v>-4053.7573071372062</v>
      </c>
      <c r="AJ10" s="75">
        <f t="shared" ca="1" si="10"/>
        <v>-4182.1329804900752</v>
      </c>
      <c r="AK10" s="75">
        <f t="shared" ca="1" si="10"/>
        <v>-4254.0968533089399</v>
      </c>
      <c r="AL10" s="75">
        <f t="shared" ca="1" si="10"/>
        <v>-4562.0091961802063</v>
      </c>
      <c r="AM10" s="75">
        <f t="shared" ca="1" si="10"/>
        <v>-4916.2551222829734</v>
      </c>
      <c r="AN10" s="7"/>
      <c r="AO10" s="252"/>
    </row>
    <row r="11" spans="2:42">
      <c r="D11" s="176" t="s">
        <v>128</v>
      </c>
      <c r="G11" s="7"/>
      <c r="H11" s="7"/>
      <c r="I11" s="7"/>
      <c r="J11" s="7"/>
      <c r="K11" s="7"/>
      <c r="L11" s="7"/>
      <c r="M11" s="65"/>
      <c r="N11" s="65"/>
      <c r="O11" s="65"/>
      <c r="P11" s="65"/>
      <c r="Q11" s="65"/>
      <c r="R11" s="65"/>
      <c r="S11" s="65"/>
      <c r="T11" s="65"/>
      <c r="U11" s="80">
        <v>-2.1999999999999999E-2</v>
      </c>
      <c r="V11" s="80">
        <v>-3.5999999999999997E-2</v>
      </c>
      <c r="W11" s="80">
        <v>-4.5999999999999999E-2</v>
      </c>
      <c r="X11" s="80">
        <v>-1.3480000000000001</v>
      </c>
      <c r="Y11" s="80">
        <v>-1.1779999999999999</v>
      </c>
      <c r="Z11" s="80">
        <v>-3.73</v>
      </c>
      <c r="AA11" s="80">
        <v>1.4470000000000001</v>
      </c>
      <c r="AB11" s="80">
        <v>0</v>
      </c>
      <c r="AC11" s="80">
        <v>0</v>
      </c>
      <c r="AD11" s="80">
        <v>0</v>
      </c>
      <c r="AE11" s="80">
        <v>0</v>
      </c>
      <c r="AF11" s="80">
        <v>0</v>
      </c>
      <c r="AG11" s="80">
        <v>0</v>
      </c>
      <c r="AH11" s="80">
        <v>0</v>
      </c>
      <c r="AI11" s="80">
        <v>0</v>
      </c>
      <c r="AJ11" s="80">
        <v>0</v>
      </c>
      <c r="AK11" s="80">
        <v>0</v>
      </c>
      <c r="AL11" s="80">
        <v>0</v>
      </c>
      <c r="AM11" s="80">
        <v>0</v>
      </c>
      <c r="AN11" s="7"/>
      <c r="AO11" s="252"/>
    </row>
    <row r="12" spans="2:42">
      <c r="B12"/>
      <c r="D12" s="2" t="s">
        <v>103</v>
      </c>
      <c r="E12" s="219"/>
      <c r="F12" s="219"/>
      <c r="G12" s="220"/>
      <c r="H12" s="220"/>
      <c r="I12" s="220"/>
      <c r="J12" s="220"/>
      <c r="K12" s="220"/>
      <c r="L12" s="177"/>
      <c r="M12" s="177"/>
      <c r="N12" s="177"/>
      <c r="O12" s="177"/>
      <c r="P12" s="177"/>
      <c r="Q12" s="177"/>
      <c r="R12" s="177"/>
      <c r="S12" s="177"/>
      <c r="T12" s="177"/>
      <c r="U12" s="177">
        <f t="shared" ref="U12:AM12" si="11">SUM(U9:U11)</f>
        <v>-13.424999999999999</v>
      </c>
      <c r="V12" s="177">
        <f t="shared" si="11"/>
        <v>-32.567999999999998</v>
      </c>
      <c r="W12" s="177">
        <f t="shared" si="11"/>
        <v>-84.86699999999999</v>
      </c>
      <c r="X12" s="177">
        <f t="shared" si="11"/>
        <v>-145.08900000000006</v>
      </c>
      <c r="Y12" s="177">
        <f t="shared" si="11"/>
        <v>-206.18800000000005</v>
      </c>
      <c r="Z12" s="177">
        <f t="shared" si="11"/>
        <v>-242.76799999999989</v>
      </c>
      <c r="AA12" s="177">
        <f t="shared" si="11"/>
        <v>-257.15800000000013</v>
      </c>
      <c r="AB12" s="177">
        <f t="shared" si="11"/>
        <v>-220.5357469765413</v>
      </c>
      <c r="AC12" s="177">
        <f t="shared" ca="1" si="11"/>
        <v>-29.998588812351045</v>
      </c>
      <c r="AD12" s="177">
        <f t="shared" ca="1" si="11"/>
        <v>192.53709858961793</v>
      </c>
      <c r="AE12" s="177">
        <f t="shared" ca="1" si="11"/>
        <v>496.01208992119973</v>
      </c>
      <c r="AF12" s="177">
        <f t="shared" ca="1" si="11"/>
        <v>877.75215774405342</v>
      </c>
      <c r="AG12" s="177">
        <f t="shared" ca="1" si="11"/>
        <v>1354.4704369663991</v>
      </c>
      <c r="AH12" s="177">
        <f t="shared" ca="1" si="11"/>
        <v>1945.2598608620274</v>
      </c>
      <c r="AI12" s="177">
        <f t="shared" ca="1" si="11"/>
        <v>2602.2445113307958</v>
      </c>
      <c r="AJ12" s="177">
        <f t="shared" ca="1" si="11"/>
        <v>3355.8186396765223</v>
      </c>
      <c r="AK12" s="177">
        <f t="shared" ca="1" si="11"/>
        <v>4228.3611395219032</v>
      </c>
      <c r="AL12" s="177">
        <f t="shared" ca="1" si="11"/>
        <v>4597.1364605813978</v>
      </c>
      <c r="AM12" s="177">
        <f t="shared" ca="1" si="11"/>
        <v>4972.2477391015436</v>
      </c>
      <c r="AN12" s="7"/>
      <c r="AO12" s="332" t="str">
        <f ca="1">IFERROR((AK12/AA12)^(1/10)-1,"na")</f>
        <v>na</v>
      </c>
      <c r="AP12" s="264"/>
    </row>
    <row r="13" spans="2:42">
      <c r="B13"/>
      <c r="D13" s="176" t="s">
        <v>7</v>
      </c>
      <c r="E13" s="96"/>
      <c r="F13" s="96"/>
      <c r="G13" s="229"/>
      <c r="H13" s="229"/>
      <c r="I13" s="229"/>
      <c r="J13" s="229"/>
      <c r="K13" s="229"/>
      <c r="L13" s="184"/>
      <c r="M13" s="184"/>
      <c r="N13" s="184"/>
      <c r="O13" s="184"/>
      <c r="P13" s="184"/>
      <c r="Q13" s="184"/>
      <c r="R13" s="184"/>
      <c r="S13" s="184"/>
      <c r="T13" s="184"/>
      <c r="U13" s="80">
        <v>-1.7050000000000001</v>
      </c>
      <c r="V13" s="80">
        <v>-2.8</v>
      </c>
      <c r="W13" s="80">
        <v>-4.6580000000000004</v>
      </c>
      <c r="X13" s="80">
        <v>-11.568</v>
      </c>
      <c r="Y13" s="80">
        <v>-23.539000000000001</v>
      </c>
      <c r="Z13" s="80">
        <v>-41.265000000000001</v>
      </c>
      <c r="AA13" s="80">
        <v>-73.790999999999997</v>
      </c>
      <c r="AB13" s="275">
        <f>AB436+AB454</f>
        <v>-122.82525833333335</v>
      </c>
      <c r="AC13" s="275">
        <f t="shared" ref="AC13:AM13" si="12">AC436+AC454</f>
        <v>-167.11348549505175</v>
      </c>
      <c r="AD13" s="275">
        <f t="shared" si="12"/>
        <v>-219.14302041927954</v>
      </c>
      <c r="AE13" s="275">
        <f t="shared" ca="1" si="12"/>
        <v>-261.75920558527469</v>
      </c>
      <c r="AF13" s="275">
        <f t="shared" ca="1" si="12"/>
        <v>-306.45156028706413</v>
      </c>
      <c r="AG13" s="275">
        <f t="shared" ca="1" si="12"/>
        <v>-353.98318791166622</v>
      </c>
      <c r="AH13" s="275">
        <f t="shared" ca="1" si="12"/>
        <v>-408.61110425297369</v>
      </c>
      <c r="AI13" s="275">
        <f t="shared" ca="1" si="12"/>
        <v>-463.70684453856592</v>
      </c>
      <c r="AJ13" s="275">
        <f t="shared" ca="1" si="12"/>
        <v>-520.95636888405625</v>
      </c>
      <c r="AK13" s="275">
        <f t="shared" ca="1" si="12"/>
        <v>-580.66573027528307</v>
      </c>
      <c r="AL13" s="275">
        <f t="shared" ca="1" si="12"/>
        <v>-633.84409844640163</v>
      </c>
      <c r="AM13" s="275">
        <f t="shared" ca="1" si="12"/>
        <v>-667.55992097875412</v>
      </c>
      <c r="AN13" s="7"/>
      <c r="AO13" s="332"/>
      <c r="AP13" s="227"/>
    </row>
    <row r="14" spans="2:42">
      <c r="B14"/>
      <c r="D14" s="2" t="s">
        <v>4</v>
      </c>
      <c r="E14" s="219"/>
      <c r="F14" s="219"/>
      <c r="G14" s="220"/>
      <c r="H14" s="220"/>
      <c r="I14" s="220"/>
      <c r="J14" s="220"/>
      <c r="K14" s="220"/>
      <c r="L14" s="177"/>
      <c r="M14" s="177"/>
      <c r="N14" s="177"/>
      <c r="O14" s="177"/>
      <c r="P14" s="177"/>
      <c r="Q14" s="177"/>
      <c r="R14" s="177"/>
      <c r="S14" s="177"/>
      <c r="T14" s="177"/>
      <c r="U14" s="177">
        <f>+SUM(U12:U13)</f>
        <v>-15.129999999999999</v>
      </c>
      <c r="V14" s="177">
        <f t="shared" ref="V14:AM14" si="13">+SUM(V12:V13)</f>
        <v>-35.367999999999995</v>
      </c>
      <c r="W14" s="177">
        <f t="shared" si="13"/>
        <v>-89.524999999999991</v>
      </c>
      <c r="X14" s="177">
        <f t="shared" si="13"/>
        <v>-156.65700000000007</v>
      </c>
      <c r="Y14" s="177">
        <f t="shared" si="13"/>
        <v>-229.72700000000003</v>
      </c>
      <c r="Z14" s="177">
        <f t="shared" si="13"/>
        <v>-284.0329999999999</v>
      </c>
      <c r="AA14" s="177">
        <f t="shared" si="13"/>
        <v>-330.94900000000013</v>
      </c>
      <c r="AB14" s="177">
        <f t="shared" si="13"/>
        <v>-343.36100530987466</v>
      </c>
      <c r="AC14" s="177">
        <f t="shared" ca="1" si="13"/>
        <v>-197.11207430740279</v>
      </c>
      <c r="AD14" s="177">
        <f t="shared" ca="1" si="13"/>
        <v>-26.605921829661611</v>
      </c>
      <c r="AE14" s="177">
        <f t="shared" ca="1" si="13"/>
        <v>234.25288433592505</v>
      </c>
      <c r="AF14" s="177">
        <f t="shared" ca="1" si="13"/>
        <v>571.30059745698929</v>
      </c>
      <c r="AG14" s="177">
        <f t="shared" ca="1" si="13"/>
        <v>1000.487249054733</v>
      </c>
      <c r="AH14" s="177">
        <f t="shared" ca="1" si="13"/>
        <v>1536.6487566090536</v>
      </c>
      <c r="AI14" s="177">
        <f t="shared" ca="1" si="13"/>
        <v>2138.5376667922301</v>
      </c>
      <c r="AJ14" s="177">
        <f t="shared" ca="1" si="13"/>
        <v>2834.862270792466</v>
      </c>
      <c r="AK14" s="177">
        <f t="shared" ca="1" si="13"/>
        <v>3647.6954092466203</v>
      </c>
      <c r="AL14" s="177">
        <f t="shared" ca="1" si="13"/>
        <v>3963.2923621349964</v>
      </c>
      <c r="AM14" s="177">
        <f t="shared" ca="1" si="13"/>
        <v>4304.6878181227894</v>
      </c>
      <c r="AN14" s="7"/>
      <c r="AO14" s="332" t="str">
        <f ca="1">IFERROR((AK14/AA14)^(1/10)-1,"na")</f>
        <v>na</v>
      </c>
      <c r="AP14" s="264"/>
    </row>
    <row r="15" spans="2:42">
      <c r="B15"/>
      <c r="D15" s="176" t="s">
        <v>265</v>
      </c>
      <c r="E15" s="96"/>
      <c r="F15" s="96"/>
      <c r="G15" s="229"/>
      <c r="H15" s="229"/>
      <c r="I15" s="229"/>
      <c r="J15" s="229"/>
      <c r="K15" s="229"/>
      <c r="L15" s="184"/>
      <c r="M15" s="184"/>
      <c r="N15" s="184"/>
      <c r="O15" s="184"/>
      <c r="P15" s="184"/>
      <c r="Q15" s="184"/>
      <c r="R15" s="184"/>
      <c r="S15" s="184"/>
      <c r="T15" s="184"/>
      <c r="U15" s="80">
        <v>-0.108</v>
      </c>
      <c r="V15" s="80">
        <v>-1.4119999999999999</v>
      </c>
      <c r="W15" s="80">
        <v>-3.5870000000000002</v>
      </c>
      <c r="X15" s="80">
        <v>-7.6589999999999998</v>
      </c>
      <c r="Y15" s="80">
        <v>-25.018000000000001</v>
      </c>
      <c r="Z15" s="80">
        <v>-80.605999999999995</v>
      </c>
      <c r="AA15" s="80">
        <v>-131.52799999999999</v>
      </c>
      <c r="AB15" s="275">
        <f ca="1">-AB406</f>
        <v>-113.09029598131836</v>
      </c>
      <c r="AC15" s="275">
        <f t="shared" ref="AC15:AM15" ca="1" si="14">-AC406</f>
        <v>-152.14536646685977</v>
      </c>
      <c r="AD15" s="275">
        <f t="shared" ca="1" si="14"/>
        <v>-179.54240173371471</v>
      </c>
      <c r="AE15" s="275">
        <f t="shared" ca="1" si="14"/>
        <v>-204.13489665900153</v>
      </c>
      <c r="AF15" s="275">
        <f t="shared" ca="1" si="14"/>
        <v>-232.15385876675828</v>
      </c>
      <c r="AG15" s="275">
        <f t="shared" ca="1" si="14"/>
        <v>-257.64746630086864</v>
      </c>
      <c r="AH15" s="275">
        <f t="shared" ca="1" si="14"/>
        <v>-298.66247230708757</v>
      </c>
      <c r="AI15" s="275">
        <f t="shared" ca="1" si="14"/>
        <v>-352.99084105044983</v>
      </c>
      <c r="AJ15" s="275">
        <f t="shared" ca="1" si="14"/>
        <v>-398.19435720549023</v>
      </c>
      <c r="AK15" s="275">
        <f t="shared" ca="1" si="14"/>
        <v>-453.13575841190533</v>
      </c>
      <c r="AL15" s="275">
        <f t="shared" ca="1" si="14"/>
        <v>-506.24768593436914</v>
      </c>
      <c r="AM15" s="275">
        <f t="shared" ca="1" si="14"/>
        <v>-544.67254387987703</v>
      </c>
      <c r="AN15" s="7"/>
      <c r="AO15" s="332"/>
      <c r="AP15" s="227"/>
    </row>
    <row r="16" spans="2:42">
      <c r="B16"/>
      <c r="D16" s="2" t="s">
        <v>111</v>
      </c>
      <c r="E16" s="219"/>
      <c r="F16" s="219"/>
      <c r="G16" s="220"/>
      <c r="H16" s="220"/>
      <c r="I16" s="220"/>
      <c r="J16" s="220"/>
      <c r="K16" s="220"/>
      <c r="L16" s="177"/>
      <c r="M16" s="177"/>
      <c r="N16" s="177"/>
      <c r="O16" s="177"/>
      <c r="P16" s="177"/>
      <c r="Q16" s="177"/>
      <c r="R16" s="177"/>
      <c r="S16" s="177"/>
      <c r="T16" s="177"/>
      <c r="U16" s="177">
        <f>SUM(U14:U15)</f>
        <v>-15.238</v>
      </c>
      <c r="V16" s="177">
        <f t="shared" ref="V16:AM16" si="15">SUM(V14:V15)</f>
        <v>-36.779999999999994</v>
      </c>
      <c r="W16" s="177">
        <f t="shared" si="15"/>
        <v>-93.111999999999995</v>
      </c>
      <c r="X16" s="177">
        <f t="shared" si="15"/>
        <v>-164.31600000000006</v>
      </c>
      <c r="Y16" s="177">
        <f t="shared" si="15"/>
        <v>-254.74500000000003</v>
      </c>
      <c r="Z16" s="177">
        <f t="shared" si="15"/>
        <v>-364.6389999999999</v>
      </c>
      <c r="AA16" s="177">
        <f t="shared" si="15"/>
        <v>-462.47700000000009</v>
      </c>
      <c r="AB16" s="177">
        <f t="shared" ca="1" si="15"/>
        <v>-456.45130129119303</v>
      </c>
      <c r="AC16" s="177">
        <f t="shared" ca="1" si="15"/>
        <v>-349.25744077426259</v>
      </c>
      <c r="AD16" s="177">
        <f t="shared" ca="1" si="15"/>
        <v>-206.14832356337632</v>
      </c>
      <c r="AE16" s="177">
        <f t="shared" ca="1" si="15"/>
        <v>30.117987676923519</v>
      </c>
      <c r="AF16" s="177">
        <f t="shared" ca="1" si="15"/>
        <v>339.14673869023102</v>
      </c>
      <c r="AG16" s="177">
        <f t="shared" ca="1" si="15"/>
        <v>742.83978275386426</v>
      </c>
      <c r="AH16" s="177">
        <f t="shared" ca="1" si="15"/>
        <v>1237.986284301966</v>
      </c>
      <c r="AI16" s="177">
        <f t="shared" ca="1" si="15"/>
        <v>1785.5468257417801</v>
      </c>
      <c r="AJ16" s="177">
        <f t="shared" ca="1" si="15"/>
        <v>2436.6679135869758</v>
      </c>
      <c r="AK16" s="177">
        <f t="shared" ca="1" si="15"/>
        <v>3194.5596508347148</v>
      </c>
      <c r="AL16" s="177">
        <f t="shared" ca="1" si="15"/>
        <v>3457.0446762006272</v>
      </c>
      <c r="AM16" s="177">
        <f t="shared" ca="1" si="15"/>
        <v>3760.0152742429123</v>
      </c>
      <c r="AN16" s="7"/>
      <c r="AO16" s="333" t="str">
        <f ca="1">IFERROR((AK16/AA16)^(1/10)-1,"na")</f>
        <v>na</v>
      </c>
      <c r="AP16" s="264">
        <f>(AA16/V16)^(1/5)-1</f>
        <v>0.65918832403312266</v>
      </c>
    </row>
    <row r="17" spans="1:42">
      <c r="D17" s="176"/>
      <c r="G17" s="7"/>
      <c r="H17" s="7"/>
      <c r="I17" s="7"/>
      <c r="J17" s="7"/>
      <c r="K17" s="7"/>
      <c r="L17" s="7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7"/>
    </row>
    <row r="18" spans="1:42">
      <c r="D18" s="225" t="s">
        <v>164</v>
      </c>
      <c r="G18" s="7"/>
      <c r="H18" s="7"/>
      <c r="I18" s="7"/>
      <c r="J18" s="7"/>
      <c r="K18" s="7"/>
      <c r="L18" s="7"/>
      <c r="M18" s="65"/>
      <c r="N18" s="65"/>
      <c r="O18" s="65"/>
      <c r="P18" s="65"/>
      <c r="Q18" s="65"/>
      <c r="R18" s="65"/>
      <c r="S18" s="65"/>
      <c r="T18" s="65"/>
      <c r="U18" s="14">
        <f>+U9/U7</f>
        <v>-1.0172988795316588E-2</v>
      </c>
      <c r="V18" s="14">
        <f t="shared" ref="V18:AM18" si="16">+V9/V7</f>
        <v>1.0322719185226089E-2</v>
      </c>
      <c r="W18" s="14">
        <f t="shared" si="16"/>
        <v>5.2573203194321211E-2</v>
      </c>
      <c r="X18" s="14">
        <f t="shared" si="16"/>
        <v>7.9279751301128215E-2</v>
      </c>
      <c r="Y18" s="14">
        <f t="shared" si="16"/>
        <v>0.10059438487072397</v>
      </c>
      <c r="Z18" s="14">
        <f t="shared" si="16"/>
        <v>0.1285348648796821</v>
      </c>
      <c r="AA18" s="14">
        <f t="shared" si="16"/>
        <v>0.14208462624170665</v>
      </c>
      <c r="AB18" s="14">
        <f t="shared" si="16"/>
        <v>0.141026483908993</v>
      </c>
      <c r="AC18" s="14">
        <f t="shared" si="16"/>
        <v>0.15062161721696579</v>
      </c>
      <c r="AD18" s="14">
        <f t="shared" ca="1" si="16"/>
        <v>0.15571946099236053</v>
      </c>
      <c r="AE18" s="14">
        <f t="shared" ca="1" si="16"/>
        <v>0.159314503277424</v>
      </c>
      <c r="AF18" s="14">
        <f t="shared" ca="1" si="16"/>
        <v>0.16215376779958257</v>
      </c>
      <c r="AG18" s="14">
        <f t="shared" ca="1" si="16"/>
        <v>0.16511330611049402</v>
      </c>
      <c r="AH18" s="14">
        <f t="shared" ca="1" si="16"/>
        <v>0.16823484612985695</v>
      </c>
      <c r="AI18" s="14">
        <f t="shared" ca="1" si="16"/>
        <v>0.17023235737417419</v>
      </c>
      <c r="AJ18" s="14">
        <f t="shared" ca="1" si="16"/>
        <v>0.17192679516702622</v>
      </c>
      <c r="AK18" s="14">
        <f t="shared" ca="1" si="16"/>
        <v>0.17369277741611461</v>
      </c>
      <c r="AL18" s="14">
        <f t="shared" ca="1" si="16"/>
        <v>0.17451520830219311</v>
      </c>
      <c r="AM18" s="14">
        <f t="shared" ca="1" si="16"/>
        <v>0.1753213127032977</v>
      </c>
      <c r="AN18" s="7"/>
    </row>
    <row r="19" spans="1:42">
      <c r="D19" s="225" t="s">
        <v>104</v>
      </c>
      <c r="G19" s="7"/>
      <c r="H19" s="7"/>
      <c r="I19" s="7"/>
      <c r="J19" s="7"/>
      <c r="K19" s="7"/>
      <c r="L19" s="7"/>
      <c r="M19" s="65"/>
      <c r="N19" s="65"/>
      <c r="O19" s="65"/>
      <c r="P19" s="65"/>
      <c r="Q19" s="65"/>
      <c r="R19" s="65"/>
      <c r="S19" s="65"/>
      <c r="T19" s="65"/>
      <c r="U19" s="14">
        <f>+U12/U7</f>
        <v>-0.32210465702152163</v>
      </c>
      <c r="V19" s="14">
        <f t="shared" ref="V19:AM19" si="17">+V12/V7</f>
        <v>-0.24976992453524755</v>
      </c>
      <c r="W19" s="14">
        <f t="shared" si="17"/>
        <v>-0.23241808800815011</v>
      </c>
      <c r="X19" s="14">
        <f t="shared" si="17"/>
        <v>-0.16893010583673904</v>
      </c>
      <c r="Y19" s="14">
        <f t="shared" si="17"/>
        <v>-0.10544182029152117</v>
      </c>
      <c r="Z19" s="14">
        <f t="shared" si="17"/>
        <v>-6.1617870116368531E-2</v>
      </c>
      <c r="AA19" s="14">
        <f t="shared" si="17"/>
        <v>-4.603150594327643E-2</v>
      </c>
      <c r="AB19" s="14">
        <f t="shared" si="17"/>
        <v>-2.2651800693245964E-2</v>
      </c>
      <c r="AC19" s="14">
        <f t="shared" ca="1" si="17"/>
        <v>-2.1604216113448025E-3</v>
      </c>
      <c r="AD19" s="14">
        <f t="shared" ca="1" si="17"/>
        <v>1.0822539666854068E-2</v>
      </c>
      <c r="AE19" s="14">
        <f t="shared" ca="1" si="17"/>
        <v>2.2659924630150173E-2</v>
      </c>
      <c r="AF19" s="14">
        <f t="shared" ca="1" si="17"/>
        <v>3.3508697729875976E-2</v>
      </c>
      <c r="AG19" s="14">
        <f t="shared" ca="1" si="17"/>
        <v>4.47273055334243E-2</v>
      </c>
      <c r="AH19" s="14">
        <f t="shared" ca="1" si="17"/>
        <v>5.6242410893324414E-2</v>
      </c>
      <c r="AI19" s="14">
        <f t="shared" ca="1" si="17"/>
        <v>6.6554401532571777E-2</v>
      </c>
      <c r="AJ19" s="14">
        <f t="shared" ca="1" si="17"/>
        <v>7.6540043363743773E-2</v>
      </c>
      <c r="AK19" s="14">
        <f t="shared" ca="1" si="17"/>
        <v>8.6582897417547253E-2</v>
      </c>
      <c r="AL19" s="14">
        <f t="shared" ca="1" si="17"/>
        <v>8.7592255552755113E-2</v>
      </c>
      <c r="AM19" s="14">
        <f t="shared" ca="1" si="17"/>
        <v>8.8157025681765533E-2</v>
      </c>
      <c r="AN19" s="7"/>
    </row>
    <row r="20" spans="1:42">
      <c r="D20" s="225" t="s">
        <v>182</v>
      </c>
      <c r="G20" s="7"/>
      <c r="H20" s="7"/>
      <c r="I20" s="7"/>
      <c r="J20" s="7"/>
      <c r="K20" s="7"/>
      <c r="L20" s="7"/>
      <c r="M20" s="65"/>
      <c r="N20" s="65"/>
      <c r="O20" s="65"/>
      <c r="P20" s="65"/>
      <c r="Q20" s="65"/>
      <c r="R20" s="65"/>
      <c r="S20" s="65"/>
      <c r="T20" s="65"/>
      <c r="U20" s="14">
        <f>+U14/U7</f>
        <v>-0.36301254828570745</v>
      </c>
      <c r="V20" s="14">
        <f t="shared" ref="V20:AM20" si="18">+V14/V7</f>
        <v>-0.27124363457880851</v>
      </c>
      <c r="W20" s="14">
        <f t="shared" si="18"/>
        <v>-0.24517455935675397</v>
      </c>
      <c r="X20" s="14">
        <f t="shared" si="18"/>
        <v>-0.18239896608334213</v>
      </c>
      <c r="Y20" s="14">
        <f t="shared" si="18"/>
        <v>-0.11747935403665724</v>
      </c>
      <c r="Z20" s="14">
        <f t="shared" si="18"/>
        <v>-7.2091496831388421E-2</v>
      </c>
      <c r="AA20" s="14">
        <f t="shared" si="18"/>
        <v>-5.924015920337454E-2</v>
      </c>
      <c r="AB20" s="14">
        <f t="shared" si="18"/>
        <v>-3.5267502727978059E-2</v>
      </c>
      <c r="AC20" s="14">
        <f t="shared" ca="1" si="18"/>
        <v>-1.4195507257174252E-2</v>
      </c>
      <c r="AD20" s="14">
        <f t="shared" ca="1" si="18"/>
        <v>-1.4955229225120253E-3</v>
      </c>
      <c r="AE20" s="14">
        <f t="shared" ca="1" si="18"/>
        <v>1.0701659921818926E-2</v>
      </c>
      <c r="AF20" s="14">
        <f t="shared" ca="1" si="18"/>
        <v>2.1809731669911691E-2</v>
      </c>
      <c r="AG20" s="14">
        <f t="shared" ca="1" si="18"/>
        <v>3.3038077206757319E-2</v>
      </c>
      <c r="AH20" s="14">
        <f t="shared" ca="1" si="18"/>
        <v>4.4428424452054409E-2</v>
      </c>
      <c r="AI20" s="14">
        <f t="shared" ca="1" si="18"/>
        <v>5.469474292230584E-2</v>
      </c>
      <c r="AJ20" s="14">
        <f t="shared" ca="1" si="18"/>
        <v>6.4657987941092052E-2</v>
      </c>
      <c r="AK20" s="14">
        <f t="shared" ca="1" si="18"/>
        <v>7.4692777416114589E-2</v>
      </c>
      <c r="AL20" s="14">
        <f t="shared" ca="1" si="18"/>
        <v>7.5515208302193118E-2</v>
      </c>
      <c r="AM20" s="14">
        <f t="shared" ca="1" si="18"/>
        <v>7.6321312703297714E-2</v>
      </c>
      <c r="AN20" s="7"/>
    </row>
    <row r="21" spans="1:42">
      <c r="D21" s="176"/>
      <c r="G21" s="7"/>
      <c r="H21" s="7"/>
      <c r="I21" s="7"/>
      <c r="J21" s="7"/>
      <c r="K21" s="7"/>
      <c r="L21" s="7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7"/>
    </row>
    <row r="22" spans="1:42">
      <c r="D22" s="176" t="s">
        <v>257</v>
      </c>
      <c r="G22" s="7"/>
      <c r="H22" s="7"/>
      <c r="I22" s="7"/>
      <c r="J22" s="7"/>
      <c r="K22" s="7"/>
      <c r="L22" s="7"/>
      <c r="M22" s="65"/>
      <c r="N22" s="65"/>
      <c r="O22" s="65"/>
      <c r="P22" s="65"/>
      <c r="Q22" s="65"/>
      <c r="R22" s="65"/>
      <c r="S22" s="65"/>
      <c r="T22" s="65"/>
      <c r="U22" s="80">
        <v>4.4130000000000003</v>
      </c>
      <c r="V22" s="80">
        <v>11.657</v>
      </c>
      <c r="W22" s="80">
        <v>37.22</v>
      </c>
      <c r="X22" s="80">
        <v>76.715000000000003</v>
      </c>
      <c r="Y22" s="80">
        <v>131.714</v>
      </c>
      <c r="Z22" s="80">
        <v>236.58199999999999</v>
      </c>
      <c r="AA22" s="80">
        <v>338.32100000000003</v>
      </c>
      <c r="AB22" s="75">
        <f t="shared" ref="AB22:AM22" si="19">+AB$7*AB30</f>
        <v>546.42487678177724</v>
      </c>
      <c r="AC22" s="75">
        <f t="shared" si="19"/>
        <v>749.81836293453796</v>
      </c>
      <c r="AD22" s="75">
        <f t="shared" ca="1" si="19"/>
        <v>960.6805467003295</v>
      </c>
      <c r="AE22" s="75">
        <f t="shared" ca="1" si="19"/>
        <v>1160.1380496581714</v>
      </c>
      <c r="AF22" s="75">
        <f t="shared" ca="1" si="19"/>
        <v>1370.8588923859127</v>
      </c>
      <c r="AG22" s="75">
        <f t="shared" ca="1" si="19"/>
        <v>1564.6140929348212</v>
      </c>
      <c r="AH22" s="75">
        <f t="shared" ca="1" si="19"/>
        <v>1763.940260173639</v>
      </c>
      <c r="AI22" s="75">
        <f t="shared" ca="1" si="19"/>
        <v>1968.0086874426856</v>
      </c>
      <c r="AJ22" s="75">
        <f t="shared" ca="1" si="19"/>
        <v>2177.5833726474152</v>
      </c>
      <c r="AK22" s="75">
        <f t="shared" ca="1" si="19"/>
        <v>2392.9632989457264</v>
      </c>
      <c r="AL22" s="75">
        <f t="shared" ca="1" si="19"/>
        <v>2571.6849640071086</v>
      </c>
      <c r="AM22" s="75">
        <f t="shared" ca="1" si="19"/>
        <v>2763.7064355537846</v>
      </c>
      <c r="AN22" s="7"/>
      <c r="AO22" s="333">
        <f ca="1">IFERROR((AK22/AA22)^(1/10)-1,"na")</f>
        <v>0.21607597398833889</v>
      </c>
      <c r="AP22" s="264">
        <f>(AA22/V22)^(1/5)-1</f>
        <v>0.96131988673238955</v>
      </c>
    </row>
    <row r="23" spans="1:42">
      <c r="D23" s="176" t="s">
        <v>258</v>
      </c>
      <c r="G23" s="7"/>
      <c r="H23" s="7"/>
      <c r="I23" s="7"/>
      <c r="J23" s="7"/>
      <c r="K23" s="7"/>
      <c r="L23" s="7"/>
      <c r="M23" s="65"/>
      <c r="N23" s="65"/>
      <c r="O23" s="65"/>
      <c r="P23" s="65"/>
      <c r="Q23" s="65"/>
      <c r="R23" s="65"/>
      <c r="S23" s="65"/>
      <c r="T23" s="65"/>
      <c r="U23" s="80">
        <v>0</v>
      </c>
      <c r="V23" s="80">
        <v>0</v>
      </c>
      <c r="W23" s="80">
        <v>0</v>
      </c>
      <c r="X23" s="80">
        <v>0</v>
      </c>
      <c r="Y23" s="80">
        <v>7.8179999999999996</v>
      </c>
      <c r="Z23" s="80">
        <v>7.7690000000000001</v>
      </c>
      <c r="AA23" s="80">
        <v>0</v>
      </c>
      <c r="AB23" s="75">
        <f t="shared" ref="AB23:AM23" si="20">+AB$7*AB31</f>
        <v>0</v>
      </c>
      <c r="AC23" s="75">
        <f t="shared" ca="1" si="20"/>
        <v>0</v>
      </c>
      <c r="AD23" s="75">
        <f t="shared" ca="1" si="20"/>
        <v>0</v>
      </c>
      <c r="AE23" s="75">
        <f t="shared" ca="1" si="20"/>
        <v>0</v>
      </c>
      <c r="AF23" s="75">
        <f t="shared" ca="1" si="20"/>
        <v>0</v>
      </c>
      <c r="AG23" s="75">
        <f t="shared" ca="1" si="20"/>
        <v>0</v>
      </c>
      <c r="AH23" s="75">
        <f t="shared" ca="1" si="20"/>
        <v>0</v>
      </c>
      <c r="AI23" s="75">
        <f t="shared" ca="1" si="20"/>
        <v>0</v>
      </c>
      <c r="AJ23" s="75">
        <f t="shared" ca="1" si="20"/>
        <v>0</v>
      </c>
      <c r="AK23" s="75">
        <f t="shared" ca="1" si="20"/>
        <v>0</v>
      </c>
      <c r="AL23" s="75">
        <f t="shared" ca="1" si="20"/>
        <v>0</v>
      </c>
      <c r="AM23" s="75">
        <f t="shared" ca="1" si="20"/>
        <v>0</v>
      </c>
      <c r="AN23" s="7"/>
      <c r="AO23" s="333"/>
      <c r="AP23" s="264"/>
    </row>
    <row r="24" spans="1:42">
      <c r="D24" s="176" t="s">
        <v>259</v>
      </c>
      <c r="G24" s="7"/>
      <c r="H24" s="7"/>
      <c r="I24" s="7"/>
      <c r="J24" s="7"/>
      <c r="K24" s="7"/>
      <c r="L24" s="7"/>
      <c r="M24" s="65"/>
      <c r="N24" s="65"/>
      <c r="O24" s="65"/>
      <c r="P24" s="65"/>
      <c r="Q24" s="65"/>
      <c r="R24" s="65"/>
      <c r="S24" s="65"/>
      <c r="T24" s="65"/>
      <c r="U24" s="80">
        <v>4.0780000000000003</v>
      </c>
      <c r="V24" s="80">
        <v>10.779</v>
      </c>
      <c r="W24" s="80">
        <v>26.988</v>
      </c>
      <c r="X24" s="80">
        <v>55.697000000000003</v>
      </c>
      <c r="Y24" s="80">
        <v>111.229</v>
      </c>
      <c r="Z24" s="80">
        <v>204.02</v>
      </c>
      <c r="AA24" s="80">
        <v>286.43299999999999</v>
      </c>
      <c r="AB24" s="75">
        <f t="shared" ref="AB24:AM24" si="21">+AB$7*AB32</f>
        <v>428.37975657542796</v>
      </c>
      <c r="AC24" s="75">
        <f t="shared" si="21"/>
        <v>541.53548434161075</v>
      </c>
      <c r="AD24" s="75">
        <f t="shared" ca="1" si="21"/>
        <v>636.00610267660716</v>
      </c>
      <c r="AE24" s="75">
        <f t="shared" ca="1" si="21"/>
        <v>711.4054078092563</v>
      </c>
      <c r="AF24" s="75">
        <f t="shared" ca="1" si="21"/>
        <v>766.19661023480194</v>
      </c>
      <c r="AG24" s="75">
        <f t="shared" ca="1" si="21"/>
        <v>787.35418870268472</v>
      </c>
      <c r="AH24" s="75">
        <f t="shared" ca="1" si="21"/>
        <v>786.8557042931435</v>
      </c>
      <c r="AI24" s="75">
        <f t="shared" ca="1" si="21"/>
        <v>762.44045175759732</v>
      </c>
      <c r="AJ24" s="75">
        <f t="shared" ca="1" si="21"/>
        <v>712.46435850041291</v>
      </c>
      <c r="AK24" s="75">
        <f t="shared" ca="1" si="21"/>
        <v>634.86781400600898</v>
      </c>
      <c r="AL24" s="75">
        <f t="shared" ca="1" si="21"/>
        <v>682.28376596106966</v>
      </c>
      <c r="AM24" s="75">
        <f t="shared" ca="1" si="21"/>
        <v>733.22823800406513</v>
      </c>
      <c r="AN24" s="7"/>
      <c r="AO24" s="333">
        <f ca="1">IFERROR((AK24/AA24)^(1/10)-1,"na")</f>
        <v>8.2844327578700083E-2</v>
      </c>
      <c r="AP24" s="264">
        <f>(AA24/V24)^(1/5)-1</f>
        <v>0.92703195298954899</v>
      </c>
    </row>
    <row r="25" spans="1:42">
      <c r="D25" s="176" t="s">
        <v>260</v>
      </c>
      <c r="G25" s="7"/>
      <c r="H25" s="7"/>
      <c r="I25" s="7"/>
      <c r="J25" s="7"/>
      <c r="K25" s="7"/>
      <c r="L25" s="7"/>
      <c r="M25" s="65"/>
      <c r="N25" s="65"/>
      <c r="O25" s="65"/>
      <c r="P25" s="65"/>
      <c r="Q25" s="65"/>
      <c r="R25" s="65"/>
      <c r="S25" s="65"/>
      <c r="T25" s="65"/>
      <c r="U25" s="80">
        <v>0.52600000000000002</v>
      </c>
      <c r="V25" s="80">
        <v>0.55400000000000005</v>
      </c>
      <c r="W25" s="80">
        <v>1.768</v>
      </c>
      <c r="X25" s="80">
        <v>6.2220000000000004</v>
      </c>
      <c r="Y25" s="80">
        <v>12.097</v>
      </c>
      <c r="Z25" s="80">
        <v>21.251000000000001</v>
      </c>
      <c r="AA25" s="80">
        <v>36.448</v>
      </c>
      <c r="AB25" s="75">
        <f t="shared" ref="AB25:AM25" si="22">+AB$7*AB33</f>
        <v>56.377169826691279</v>
      </c>
      <c r="AC25" s="75">
        <f t="shared" ca="1" si="22"/>
        <v>82.271994756255964</v>
      </c>
      <c r="AD25" s="75">
        <f t="shared" ca="1" si="22"/>
        <v>107.79887572064239</v>
      </c>
      <c r="AE25" s="75">
        <f t="shared" ca="1" si="22"/>
        <v>135.57775837708002</v>
      </c>
      <c r="AF25" s="75">
        <f t="shared" ca="1" si="22"/>
        <v>165.76399356953902</v>
      </c>
      <c r="AG25" s="75">
        <f t="shared" ca="1" si="22"/>
        <v>195.703221194017</v>
      </c>
      <c r="AH25" s="75">
        <f t="shared" ca="1" si="22"/>
        <v>228.16677805294194</v>
      </c>
      <c r="AI25" s="75">
        <f t="shared" ca="1" si="22"/>
        <v>263.18876043957619</v>
      </c>
      <c r="AJ25" s="75">
        <f t="shared" ca="1" si="22"/>
        <v>301.01629318311075</v>
      </c>
      <c r="AK25" s="75">
        <f t="shared" ca="1" si="22"/>
        <v>341.85189984938944</v>
      </c>
      <c r="AL25" s="75">
        <f t="shared" ca="1" si="22"/>
        <v>367.38356628672983</v>
      </c>
      <c r="AM25" s="75">
        <f t="shared" ca="1" si="22"/>
        <v>394.81520507911205</v>
      </c>
      <c r="AN25" s="7"/>
      <c r="AO25" s="333">
        <f ca="1">IFERROR((AK25/AA25)^(1/10)-1,"na")</f>
        <v>0.25088224888509081</v>
      </c>
      <c r="AP25" s="264">
        <f>(AA25/V25)^(1/5)-1</f>
        <v>1.3101106779073186</v>
      </c>
    </row>
    <row r="26" spans="1:42">
      <c r="D26" s="176" t="s">
        <v>261</v>
      </c>
      <c r="G26" s="7"/>
      <c r="H26" s="7"/>
      <c r="I26" s="7"/>
      <c r="J26" s="7"/>
      <c r="K26" s="7"/>
      <c r="L26" s="7"/>
      <c r="M26" s="65"/>
      <c r="N26" s="65"/>
      <c r="O26" s="65"/>
      <c r="P26" s="65"/>
      <c r="Q26" s="65"/>
      <c r="R26" s="65"/>
      <c r="S26" s="65"/>
      <c r="T26" s="65"/>
      <c r="U26" s="80">
        <v>0.48799999999999999</v>
      </c>
      <c r="V26" s="80">
        <v>1.3819999999999999</v>
      </c>
      <c r="W26" s="80">
        <v>8.35</v>
      </c>
      <c r="X26" s="80">
        <v>14.384</v>
      </c>
      <c r="Y26" s="80">
        <v>35.197000000000003</v>
      </c>
      <c r="Z26" s="80">
        <v>58.05</v>
      </c>
      <c r="AA26" s="80">
        <v>76.822000000000003</v>
      </c>
      <c r="AB26" s="75">
        <f t="shared" ref="AB26:AM26" si="23">+AB$7*AB34</f>
        <v>130.10116113851834</v>
      </c>
      <c r="AC26" s="75">
        <f t="shared" ca="1" si="23"/>
        <v>188.07825389398448</v>
      </c>
      <c r="AD26" s="75">
        <f t="shared" ca="1" si="23"/>
        <v>244.20500025418744</v>
      </c>
      <c r="AE26" s="75">
        <f t="shared" ca="1" si="23"/>
        <v>304.45275119196862</v>
      </c>
      <c r="AF26" s="75">
        <f t="shared" ca="1" si="23"/>
        <v>369.09908469613453</v>
      </c>
      <c r="AG26" s="75">
        <f t="shared" ca="1" si="23"/>
        <v>432.21073261975607</v>
      </c>
      <c r="AH26" s="75">
        <f t="shared" ca="1" si="23"/>
        <v>499.93328479527111</v>
      </c>
      <c r="AI26" s="75">
        <f t="shared" ca="1" si="23"/>
        <v>572.26937378032915</v>
      </c>
      <c r="AJ26" s="75">
        <f t="shared" ca="1" si="23"/>
        <v>649.68481962963779</v>
      </c>
      <c r="AK26" s="75">
        <f t="shared" ca="1" si="23"/>
        <v>732.53978539154878</v>
      </c>
      <c r="AL26" s="75">
        <f t="shared" ca="1" si="23"/>
        <v>787.25049918584955</v>
      </c>
      <c r="AM26" s="75">
        <f t="shared" ca="1" si="23"/>
        <v>846.03258231238294</v>
      </c>
      <c r="AN26" s="7"/>
      <c r="AO26" s="333">
        <f ca="1">IFERROR((AK26/AA26)^(1/10)-1,"na")</f>
        <v>0.25295236652401032</v>
      </c>
      <c r="AP26" s="264">
        <f>(AA26/V26)^(1/5)-1</f>
        <v>1.2335491478460825</v>
      </c>
    </row>
    <row r="27" spans="1:42">
      <c r="D27" s="176" t="s">
        <v>128</v>
      </c>
      <c r="G27" s="7"/>
      <c r="H27" s="7"/>
      <c r="I27" s="7"/>
      <c r="J27" s="7"/>
      <c r="K27" s="7"/>
      <c r="L27" s="7"/>
      <c r="M27" s="65"/>
      <c r="N27" s="65"/>
      <c r="O27" s="65"/>
      <c r="P27" s="65"/>
      <c r="Q27" s="65"/>
      <c r="R27" s="65"/>
      <c r="S27" s="65"/>
      <c r="T27" s="65"/>
      <c r="U27" s="80">
        <v>5.1790000000000003</v>
      </c>
      <c r="V27" s="80">
        <v>12.305999999999999</v>
      </c>
      <c r="W27" s="80">
        <v>34.35</v>
      </c>
      <c r="X27" s="80">
        <v>70.382000000000005</v>
      </c>
      <c r="Y27" s="80">
        <v>127.203</v>
      </c>
      <c r="Z27" s="80">
        <v>259.04500000000002</v>
      </c>
      <c r="AA27" s="80">
        <v>388.137</v>
      </c>
      <c r="AB27" s="75">
        <f t="shared" ref="AB27:AM27" si="24">+AB$7*AB35</f>
        <v>555.09828752434453</v>
      </c>
      <c r="AC27" s="75">
        <f t="shared" ca="1" si="24"/>
        <v>726.86824586578973</v>
      </c>
      <c r="AD27" s="75">
        <f t="shared" ca="1" si="24"/>
        <v>848.2238579227386</v>
      </c>
      <c r="AE27" s="75">
        <f t="shared" ca="1" si="24"/>
        <v>941.4715847508254</v>
      </c>
      <c r="AF27" s="75">
        <f t="shared" ca="1" si="24"/>
        <v>1004.3591883178633</v>
      </c>
      <c r="AG27" s="75">
        <f t="shared" ca="1" si="24"/>
        <v>1019.7325607496033</v>
      </c>
      <c r="AH27" s="75">
        <f t="shared" ca="1" si="24"/>
        <v>1003.2045935773632</v>
      </c>
      <c r="AI27" s="75">
        <f t="shared" ca="1" si="24"/>
        <v>951.55687825558402</v>
      </c>
      <c r="AJ27" s="75">
        <f t="shared" ca="1" si="24"/>
        <v>862.34050541355441</v>
      </c>
      <c r="AK27" s="75">
        <f t="shared" ca="1" si="24"/>
        <v>732.53978539154878</v>
      </c>
      <c r="AL27" s="75">
        <f t="shared" ca="1" si="24"/>
        <v>787.25049918584955</v>
      </c>
      <c r="AM27" s="75">
        <f t="shared" ca="1" si="24"/>
        <v>846.03258231238294</v>
      </c>
      <c r="AN27" s="7"/>
      <c r="AO27" s="333">
        <f ca="1">IFERROR((AK27/AA27)^(1/10)-1,"na")</f>
        <v>6.5576458579411412E-2</v>
      </c>
      <c r="AP27" s="264">
        <f>(AA27/V27)^(1/5)-1</f>
        <v>0.99422256837069312</v>
      </c>
    </row>
    <row r="28" spans="1:42" s="5" customFormat="1">
      <c r="A28" s="116"/>
      <c r="B28" s="158"/>
      <c r="D28" s="2" t="s">
        <v>262</v>
      </c>
      <c r="E28" s="2"/>
      <c r="F28" s="2"/>
      <c r="G28" s="222"/>
      <c r="H28" s="222"/>
      <c r="I28" s="222"/>
      <c r="J28" s="222"/>
      <c r="K28" s="222"/>
      <c r="L28" s="223"/>
      <c r="M28" s="223"/>
      <c r="N28" s="223"/>
      <c r="O28" s="223"/>
      <c r="P28" s="223"/>
      <c r="Q28" s="223"/>
      <c r="R28" s="223"/>
      <c r="S28" s="223"/>
      <c r="T28" s="223"/>
      <c r="U28" s="177">
        <f t="shared" ref="U28:Z28" si="25">SUM(U22:U27)</f>
        <v>14.683999999999999</v>
      </c>
      <c r="V28" s="177">
        <f t="shared" si="25"/>
        <v>36.677999999999997</v>
      </c>
      <c r="W28" s="177">
        <f t="shared" si="25"/>
        <v>108.67599999999999</v>
      </c>
      <c r="X28" s="177">
        <f t="shared" si="25"/>
        <v>223.40000000000003</v>
      </c>
      <c r="Y28" s="177">
        <f t="shared" si="25"/>
        <v>425.25800000000004</v>
      </c>
      <c r="Z28" s="177">
        <f t="shared" si="25"/>
        <v>786.71699999999987</v>
      </c>
      <c r="AA28" s="177">
        <f>SUM(AA22:AA27)</f>
        <v>1126.1610000000001</v>
      </c>
      <c r="AB28" s="177">
        <f>SUM(AB22:AB27)</f>
        <v>1716.3812518467594</v>
      </c>
      <c r="AC28" s="177">
        <f t="shared" ref="AC28:AM28" ca="1" si="26">SUM(AC22:AC27)</f>
        <v>2288.572341792179</v>
      </c>
      <c r="AD28" s="177">
        <f t="shared" ca="1" si="26"/>
        <v>2796.9143832745053</v>
      </c>
      <c r="AE28" s="177">
        <f t="shared" ca="1" si="26"/>
        <v>3253.045551787302</v>
      </c>
      <c r="AF28" s="177">
        <f t="shared" ca="1" si="26"/>
        <v>3676.2777692042514</v>
      </c>
      <c r="AG28" s="177">
        <f t="shared" ca="1" si="26"/>
        <v>3999.6147962008822</v>
      </c>
      <c r="AH28" s="177">
        <f t="shared" ca="1" si="26"/>
        <v>4282.1006208923591</v>
      </c>
      <c r="AI28" s="177">
        <f t="shared" ca="1" si="26"/>
        <v>4517.464151675772</v>
      </c>
      <c r="AJ28" s="177">
        <f t="shared" ca="1" si="26"/>
        <v>4703.0893493741314</v>
      </c>
      <c r="AK28" s="177">
        <f t="shared" ca="1" si="26"/>
        <v>4834.7625835842227</v>
      </c>
      <c r="AL28" s="177">
        <f t="shared" ca="1" si="26"/>
        <v>5195.8532946266077</v>
      </c>
      <c r="AM28" s="177">
        <f t="shared" ca="1" si="26"/>
        <v>5583.8150432617276</v>
      </c>
      <c r="AN28" s="73"/>
      <c r="AO28" s="333">
        <f ca="1">IFERROR((AK28/AA28)^(1/10)-1,"na")</f>
        <v>0.15685110812032854</v>
      </c>
      <c r="AP28" s="264">
        <f>(AA28/V28)^(1/5)-1</f>
        <v>0.98353088625388385</v>
      </c>
    </row>
    <row r="29" spans="1:42">
      <c r="D29" s="176"/>
      <c r="G29" s="7"/>
      <c r="H29" s="7"/>
      <c r="I29" s="7"/>
      <c r="J29" s="7"/>
      <c r="K29" s="7"/>
      <c r="L29" s="7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7"/>
    </row>
    <row r="30" spans="1:42">
      <c r="D30" s="176" t="s">
        <v>257</v>
      </c>
      <c r="G30" s="7"/>
      <c r="H30" s="7"/>
      <c r="I30" s="7"/>
      <c r="J30" s="7"/>
      <c r="K30" s="7"/>
      <c r="L30" s="7"/>
      <c r="M30" s="65"/>
      <c r="N30" s="65"/>
      <c r="O30" s="65"/>
      <c r="P30" s="65"/>
      <c r="Q30" s="65"/>
      <c r="R30" s="65"/>
      <c r="S30" s="65"/>
      <c r="T30" s="65"/>
      <c r="U30" s="41">
        <f t="shared" ref="U30:AA36" si="27">+U22/U$7</f>
        <v>0.10588065932483987</v>
      </c>
      <c r="V30" s="41">
        <f t="shared" si="27"/>
        <v>8.9399656420639309E-2</v>
      </c>
      <c r="W30" s="41">
        <f t="shared" si="27"/>
        <v>0.10193127170352843</v>
      </c>
      <c r="X30" s="41">
        <f t="shared" si="27"/>
        <v>8.9320851816922245E-2</v>
      </c>
      <c r="Y30" s="41">
        <f t="shared" si="27"/>
        <v>6.7356800191463215E-2</v>
      </c>
      <c r="Z30" s="41">
        <f t="shared" si="27"/>
        <v>6.0047777910889021E-2</v>
      </c>
      <c r="AA30" s="41">
        <f t="shared" si="27"/>
        <v>6.0559753623201373E-2</v>
      </c>
      <c r="AB30" s="78">
        <v>5.61247216035635E-2</v>
      </c>
      <c r="AC30" s="78">
        <v>5.3999999999999999E-2</v>
      </c>
      <c r="AD30" s="78">
        <v>5.3999999999999999E-2</v>
      </c>
      <c r="AE30" s="78">
        <v>5.2999999999999999E-2</v>
      </c>
      <c r="AF30" s="78">
        <f t="shared" ref="AC30:AJ35" ca="1" si="28">+AVERAGE(AG30,AE30)</f>
        <v>5.2333333333333329E-2</v>
      </c>
      <c r="AG30" s="78">
        <f t="shared" ca="1" si="28"/>
        <v>5.1666666666666659E-2</v>
      </c>
      <c r="AH30" s="78">
        <f t="shared" ca="1" si="28"/>
        <v>5.099999999999999E-2</v>
      </c>
      <c r="AI30" s="78">
        <f t="shared" ca="1" si="28"/>
        <v>5.0333333333333327E-2</v>
      </c>
      <c r="AJ30" s="78">
        <f t="shared" ca="1" si="28"/>
        <v>4.9666666666666665E-2</v>
      </c>
      <c r="AK30" s="78">
        <v>4.9000000000000002E-2</v>
      </c>
      <c r="AL30" s="78">
        <f>+AK30</f>
        <v>4.9000000000000002E-2</v>
      </c>
      <c r="AM30" s="78">
        <f t="shared" ref="AM30" si="29">+AL30</f>
        <v>4.9000000000000002E-2</v>
      </c>
      <c r="AN30" s="7"/>
    </row>
    <row r="31" spans="1:42">
      <c r="D31" s="176" t="s">
        <v>258</v>
      </c>
      <c r="G31" s="7"/>
      <c r="H31" s="7"/>
      <c r="I31" s="7"/>
      <c r="J31" s="7"/>
      <c r="K31" s="7"/>
      <c r="L31" s="7"/>
      <c r="M31" s="65"/>
      <c r="N31" s="65"/>
      <c r="O31" s="65"/>
      <c r="P31" s="65"/>
      <c r="Q31" s="65"/>
      <c r="R31" s="65"/>
      <c r="S31" s="65"/>
      <c r="T31" s="65"/>
      <c r="U31" s="41">
        <f t="shared" si="27"/>
        <v>0</v>
      </c>
      <c r="V31" s="41">
        <f t="shared" si="27"/>
        <v>0</v>
      </c>
      <c r="W31" s="41">
        <f t="shared" si="27"/>
        <v>0</v>
      </c>
      <c r="X31" s="41">
        <f t="shared" si="27"/>
        <v>0</v>
      </c>
      <c r="Y31" s="41">
        <f t="shared" si="27"/>
        <v>3.9980219558806152E-3</v>
      </c>
      <c r="Z31" s="41">
        <f t="shared" si="27"/>
        <v>1.9718794607776449E-3</v>
      </c>
      <c r="AA31" s="41">
        <f t="shared" si="27"/>
        <v>0</v>
      </c>
      <c r="AB31" s="78">
        <v>0</v>
      </c>
      <c r="AC31" s="78">
        <f t="shared" ca="1" si="28"/>
        <v>0</v>
      </c>
      <c r="AD31" s="78">
        <f t="shared" ca="1" si="28"/>
        <v>0</v>
      </c>
      <c r="AE31" s="78">
        <f t="shared" ca="1" si="28"/>
        <v>0</v>
      </c>
      <c r="AF31" s="78">
        <f t="shared" ca="1" si="28"/>
        <v>0</v>
      </c>
      <c r="AG31" s="78">
        <f t="shared" ca="1" si="28"/>
        <v>0</v>
      </c>
      <c r="AH31" s="78">
        <f t="shared" ca="1" si="28"/>
        <v>0</v>
      </c>
      <c r="AI31" s="78">
        <f t="shared" ca="1" si="28"/>
        <v>0</v>
      </c>
      <c r="AJ31" s="78">
        <f t="shared" ca="1" si="28"/>
        <v>0</v>
      </c>
      <c r="AK31" s="78">
        <v>0</v>
      </c>
      <c r="AL31" s="78">
        <f t="shared" ref="AL31:AL35" si="30">+AK31</f>
        <v>0</v>
      </c>
      <c r="AM31" s="78">
        <f t="shared" ref="AL31:AM35" si="31">+AL31</f>
        <v>0</v>
      </c>
      <c r="AN31" s="7"/>
    </row>
    <row r="32" spans="1:42">
      <c r="D32" s="176" t="s">
        <v>259</v>
      </c>
      <c r="G32" s="7"/>
      <c r="H32" s="7"/>
      <c r="I32" s="7"/>
      <c r="J32" s="7"/>
      <c r="K32" s="7"/>
      <c r="L32" s="7"/>
      <c r="M32" s="65"/>
      <c r="N32" s="65"/>
      <c r="O32" s="65"/>
      <c r="P32" s="65"/>
      <c r="Q32" s="65"/>
      <c r="R32" s="65"/>
      <c r="S32" s="65"/>
      <c r="T32" s="65"/>
      <c r="U32" s="41">
        <f t="shared" si="27"/>
        <v>9.7843038460615678E-2</v>
      </c>
      <c r="V32" s="41">
        <f t="shared" si="27"/>
        <v>8.2666114485551265E-2</v>
      </c>
      <c r="W32" s="41">
        <f t="shared" si="27"/>
        <v>7.3909757139570806E-2</v>
      </c>
      <c r="X32" s="41">
        <f t="shared" si="27"/>
        <v>6.484916227135655E-2</v>
      </c>
      <c r="Y32" s="41">
        <f t="shared" si="27"/>
        <v>5.6881041715354949E-2</v>
      </c>
      <c r="Z32" s="41">
        <f t="shared" si="27"/>
        <v>5.1783092751686854E-2</v>
      </c>
      <c r="AA32" s="41">
        <f t="shared" si="27"/>
        <v>5.1271756437095063E-2</v>
      </c>
      <c r="AB32" s="78">
        <v>4.3999999999999997E-2</v>
      </c>
      <c r="AC32" s="78">
        <v>3.9E-2</v>
      </c>
      <c r="AD32" s="78">
        <f t="shared" ca="1" si="28"/>
        <v>3.5750000000000004E-2</v>
      </c>
      <c r="AE32" s="78">
        <f t="shared" ca="1" si="28"/>
        <v>3.2500000000000008E-2</v>
      </c>
      <c r="AF32" s="78">
        <f t="shared" ca="1" si="28"/>
        <v>2.9250000000000012E-2</v>
      </c>
      <c r="AG32" s="78">
        <f t="shared" ca="1" si="28"/>
        <v>2.6000000000000013E-2</v>
      </c>
      <c r="AH32" s="78">
        <f t="shared" ca="1" si="28"/>
        <v>2.2750000000000013E-2</v>
      </c>
      <c r="AI32" s="78">
        <f t="shared" ca="1" si="28"/>
        <v>1.950000000000001E-2</v>
      </c>
      <c r="AJ32" s="78">
        <f t="shared" ca="1" si="28"/>
        <v>1.6250000000000004E-2</v>
      </c>
      <c r="AK32" s="78">
        <v>1.2999999999999999E-2</v>
      </c>
      <c r="AL32" s="78">
        <f t="shared" si="31"/>
        <v>1.2999999999999999E-2</v>
      </c>
      <c r="AM32" s="78">
        <f t="shared" si="31"/>
        <v>1.2999999999999999E-2</v>
      </c>
      <c r="AN32" s="7"/>
    </row>
    <row r="33" spans="1:42">
      <c r="D33" s="176" t="s">
        <v>260</v>
      </c>
      <c r="G33" s="7"/>
      <c r="H33" s="7"/>
      <c r="I33" s="7"/>
      <c r="J33" s="7"/>
      <c r="K33" s="7"/>
      <c r="L33" s="7"/>
      <c r="M33" s="65"/>
      <c r="N33" s="65"/>
      <c r="O33" s="65"/>
      <c r="P33" s="65"/>
      <c r="Q33" s="65"/>
      <c r="R33" s="65"/>
      <c r="S33" s="65"/>
      <c r="T33" s="65"/>
      <c r="U33" s="41">
        <f t="shared" si="27"/>
        <v>1.2620264401737087E-2</v>
      </c>
      <c r="V33" s="41">
        <f t="shared" si="27"/>
        <v>4.2487269157617039E-3</v>
      </c>
      <c r="W33" s="41">
        <f t="shared" si="27"/>
        <v>4.8418723366963536E-3</v>
      </c>
      <c r="X33" s="41">
        <f t="shared" si="27"/>
        <v>7.2444025289042585E-3</v>
      </c>
      <c r="Y33" s="41">
        <f t="shared" si="27"/>
        <v>6.186246047619315E-3</v>
      </c>
      <c r="Z33" s="41">
        <f t="shared" si="27"/>
        <v>5.3937971966772731E-3</v>
      </c>
      <c r="AA33" s="41">
        <f t="shared" si="27"/>
        <v>6.5242237403484961E-3</v>
      </c>
      <c r="AB33" s="78">
        <v>5.7906458797327403E-3</v>
      </c>
      <c r="AC33" s="78">
        <f t="shared" ca="1" si="28"/>
        <v>5.9250185597624341E-3</v>
      </c>
      <c r="AD33" s="78">
        <f t="shared" ca="1" si="28"/>
        <v>6.0593912397921279E-3</v>
      </c>
      <c r="AE33" s="78">
        <f t="shared" ca="1" si="28"/>
        <v>6.1937639198218226E-3</v>
      </c>
      <c r="AF33" s="78">
        <f t="shared" ca="1" si="28"/>
        <v>6.3281365998515181E-3</v>
      </c>
      <c r="AG33" s="78">
        <f t="shared" ca="1" si="28"/>
        <v>6.4625092798812137E-3</v>
      </c>
      <c r="AH33" s="78">
        <f t="shared" ca="1" si="28"/>
        <v>6.5968819599109101E-3</v>
      </c>
      <c r="AI33" s="78">
        <f t="shared" ca="1" si="28"/>
        <v>6.7312546399406065E-3</v>
      </c>
      <c r="AJ33" s="78">
        <f t="shared" ca="1" si="28"/>
        <v>6.8656273199703029E-3</v>
      </c>
      <c r="AK33" s="78">
        <v>7.0000000000000001E-3</v>
      </c>
      <c r="AL33" s="78">
        <f t="shared" si="30"/>
        <v>7.0000000000000001E-3</v>
      </c>
      <c r="AM33" s="78">
        <f t="shared" si="31"/>
        <v>7.0000000000000001E-3</v>
      </c>
      <c r="AN33" s="7"/>
    </row>
    <row r="34" spans="1:42">
      <c r="D34" s="176" t="s">
        <v>261</v>
      </c>
      <c r="G34" s="7"/>
      <c r="H34" s="7"/>
      <c r="I34" s="7"/>
      <c r="J34" s="7"/>
      <c r="K34" s="7"/>
      <c r="L34" s="7"/>
      <c r="M34" s="65"/>
      <c r="N34" s="65"/>
      <c r="O34" s="65"/>
      <c r="P34" s="65"/>
      <c r="Q34" s="65"/>
      <c r="R34" s="65"/>
      <c r="S34" s="65"/>
      <c r="T34" s="65"/>
      <c r="U34" s="41">
        <f t="shared" si="27"/>
        <v>1.170853427385494E-2</v>
      </c>
      <c r="V34" s="41">
        <f t="shared" si="27"/>
        <v>1.0598809742929014E-2</v>
      </c>
      <c r="W34" s="41">
        <f t="shared" si="27"/>
        <v>2.2867440051705063E-2</v>
      </c>
      <c r="X34" s="41">
        <f t="shared" si="27"/>
        <v>1.6747586945637872E-2</v>
      </c>
      <c r="Y34" s="41">
        <f t="shared" si="27"/>
        <v>1.7999280990167565E-2</v>
      </c>
      <c r="Z34" s="41">
        <f t="shared" si="27"/>
        <v>1.4733891452972363E-2</v>
      </c>
      <c r="AA34" s="41">
        <f t="shared" si="27"/>
        <v>1.3751204899611836E-2</v>
      </c>
      <c r="AB34" s="78">
        <v>1.3363028953229401E-2</v>
      </c>
      <c r="AC34" s="78">
        <f t="shared" ca="1" si="28"/>
        <v>1.3544914625092797E-2</v>
      </c>
      <c r="AD34" s="78">
        <f t="shared" ca="1" si="28"/>
        <v>1.3726800296956193E-2</v>
      </c>
      <c r="AE34" s="78">
        <f t="shared" ca="1" si="28"/>
        <v>1.3908685968819591E-2</v>
      </c>
      <c r="AF34" s="78">
        <f t="shared" ca="1" si="28"/>
        <v>1.4090571640682991E-2</v>
      </c>
      <c r="AG34" s="78">
        <f t="shared" ca="1" si="28"/>
        <v>1.427245731254639E-2</v>
      </c>
      <c r="AH34" s="78">
        <f t="shared" ca="1" si="28"/>
        <v>1.4454342984409792E-2</v>
      </c>
      <c r="AI34" s="78">
        <f t="shared" ca="1" si="28"/>
        <v>1.4636228656273193E-2</v>
      </c>
      <c r="AJ34" s="78">
        <f t="shared" ca="1" si="28"/>
        <v>1.4818114328136596E-2</v>
      </c>
      <c r="AK34" s="78">
        <v>1.4999999999999999E-2</v>
      </c>
      <c r="AL34" s="78">
        <f t="shared" si="30"/>
        <v>1.4999999999999999E-2</v>
      </c>
      <c r="AM34" s="78">
        <f t="shared" si="31"/>
        <v>1.4999999999999999E-2</v>
      </c>
      <c r="AN34" s="7"/>
    </row>
    <row r="35" spans="1:42">
      <c r="D35" s="176" t="s">
        <v>128</v>
      </c>
      <c r="G35" s="7"/>
      <c r="H35" s="7"/>
      <c r="I35" s="7"/>
      <c r="J35" s="7"/>
      <c r="K35" s="7"/>
      <c r="L35" s="7"/>
      <c r="M35" s="65"/>
      <c r="N35" s="65"/>
      <c r="O35" s="65"/>
      <c r="P35" s="65"/>
      <c r="Q35" s="65"/>
      <c r="R35" s="65"/>
      <c r="S35" s="65"/>
      <c r="T35" s="65"/>
      <c r="U35" s="41">
        <f t="shared" si="27"/>
        <v>0.12425921927109577</v>
      </c>
      <c r="V35" s="41">
        <f t="shared" si="27"/>
        <v>9.4376955641450391E-2</v>
      </c>
      <c r="W35" s="41">
        <f t="shared" si="27"/>
        <v>9.4071445003122034E-2</v>
      </c>
      <c r="X35" s="41">
        <f t="shared" si="27"/>
        <v>8.1947209705776194E-2</v>
      </c>
      <c r="Y35" s="41">
        <f t="shared" si="27"/>
        <v>6.504993436350498E-2</v>
      </c>
      <c r="Z35" s="41">
        <f t="shared" si="27"/>
        <v>6.5749197440744631E-2</v>
      </c>
      <c r="AA35" s="41">
        <f t="shared" si="27"/>
        <v>6.947686100492878E-2</v>
      </c>
      <c r="AB35" s="78">
        <v>5.7015590200445401E-2</v>
      </c>
      <c r="AC35" s="78">
        <f t="shared" ca="1" si="28"/>
        <v>5.2347191289284813E-2</v>
      </c>
      <c r="AD35" s="78">
        <f t="shared" ca="1" si="28"/>
        <v>4.7678792378124224E-2</v>
      </c>
      <c r="AE35" s="78">
        <f t="shared" ca="1" si="28"/>
        <v>4.3010393466963628E-2</v>
      </c>
      <c r="AF35" s="78">
        <f t="shared" ca="1" si="28"/>
        <v>3.8341994555803033E-2</v>
      </c>
      <c r="AG35" s="78">
        <f t="shared" ca="1" si="28"/>
        <v>3.367359564464243E-2</v>
      </c>
      <c r="AH35" s="78">
        <f t="shared" ca="1" si="28"/>
        <v>2.9005196733481824E-2</v>
      </c>
      <c r="AI35" s="78">
        <f t="shared" ca="1" si="28"/>
        <v>2.4336797822321218E-2</v>
      </c>
      <c r="AJ35" s="78">
        <f t="shared" ca="1" si="28"/>
        <v>1.9668398911160609E-2</v>
      </c>
      <c r="AK35" s="78">
        <v>1.4999999999999999E-2</v>
      </c>
      <c r="AL35" s="78">
        <f t="shared" si="30"/>
        <v>1.4999999999999999E-2</v>
      </c>
      <c r="AM35" s="78">
        <f t="shared" si="31"/>
        <v>1.4999999999999999E-2</v>
      </c>
      <c r="AN35" s="78"/>
    </row>
    <row r="36" spans="1:42" s="5" customFormat="1">
      <c r="A36" s="116"/>
      <c r="B36" s="158"/>
      <c r="D36" s="2" t="s">
        <v>262</v>
      </c>
      <c r="E36" s="2"/>
      <c r="F36" s="2"/>
      <c r="G36" s="222"/>
      <c r="H36" s="222"/>
      <c r="I36" s="222"/>
      <c r="J36" s="222"/>
      <c r="K36" s="222"/>
      <c r="L36" s="223"/>
      <c r="M36" s="223"/>
      <c r="N36" s="223"/>
      <c r="O36" s="223"/>
      <c r="P36" s="223"/>
      <c r="Q36" s="223"/>
      <c r="R36" s="223"/>
      <c r="S36" s="223"/>
      <c r="T36" s="223"/>
      <c r="U36" s="224">
        <f t="shared" si="27"/>
        <v>0.35231171573214332</v>
      </c>
      <c r="V36" s="224">
        <f t="shared" si="27"/>
        <v>0.28129026320633166</v>
      </c>
      <c r="W36" s="224">
        <f t="shared" si="27"/>
        <v>0.29762178623462265</v>
      </c>
      <c r="X36" s="224">
        <f t="shared" si="27"/>
        <v>0.26010921326859715</v>
      </c>
      <c r="Y36" s="224">
        <f t="shared" si="27"/>
        <v>0.21747132526399066</v>
      </c>
      <c r="Z36" s="224">
        <f t="shared" si="27"/>
        <v>0.19967963621374776</v>
      </c>
      <c r="AA36" s="224">
        <f t="shared" si="27"/>
        <v>0.20158379970518556</v>
      </c>
      <c r="AB36" s="224">
        <f t="shared" ref="AB36:AM36" si="32">+AB28/AB$7</f>
        <v>0.17629398663697105</v>
      </c>
      <c r="AC36" s="224">
        <f t="shared" ca="1" si="32"/>
        <v>0.16481712447414007</v>
      </c>
      <c r="AD36" s="224">
        <f t="shared" ca="1" si="32"/>
        <v>0.15721498391487257</v>
      </c>
      <c r="AE36" s="224">
        <f t="shared" ca="1" si="32"/>
        <v>0.14861284335560507</v>
      </c>
      <c r="AF36" s="224">
        <f t="shared" ca="1" si="32"/>
        <v>0.14034403612967089</v>
      </c>
      <c r="AG36" s="224">
        <f t="shared" ca="1" si="32"/>
        <v>0.13207522890373669</v>
      </c>
      <c r="AH36" s="224">
        <f t="shared" ca="1" si="32"/>
        <v>0.12380642167780254</v>
      </c>
      <c r="AI36" s="224">
        <f t="shared" ca="1" si="32"/>
        <v>0.11553761445186835</v>
      </c>
      <c r="AJ36" s="224">
        <f t="shared" ca="1" si="32"/>
        <v>0.10726880722593418</v>
      </c>
      <c r="AK36" s="224">
        <f t="shared" ca="1" si="32"/>
        <v>9.9000000000000005E-2</v>
      </c>
      <c r="AL36" s="224">
        <f t="shared" ca="1" si="32"/>
        <v>9.9000000000000005E-2</v>
      </c>
      <c r="AM36" s="224">
        <f t="shared" ca="1" si="32"/>
        <v>9.9000000000000005E-2</v>
      </c>
      <c r="AN36" s="73"/>
    </row>
    <row r="37" spans="1:42" s="5" customFormat="1">
      <c r="A37" s="116"/>
      <c r="B37" s="158"/>
      <c r="D37" s="181"/>
      <c r="E37" s="181"/>
      <c r="F37" s="181"/>
      <c r="G37" s="266"/>
      <c r="H37" s="266"/>
      <c r="I37" s="266"/>
      <c r="J37" s="266"/>
      <c r="K37" s="266"/>
      <c r="L37" s="183"/>
      <c r="M37" s="183"/>
      <c r="N37" s="183"/>
      <c r="O37" s="183"/>
      <c r="P37" s="183"/>
      <c r="Q37" s="183"/>
      <c r="R37" s="183"/>
      <c r="S37" s="183"/>
      <c r="T37" s="183"/>
      <c r="U37" s="184"/>
      <c r="V37" s="184"/>
      <c r="W37" s="184"/>
      <c r="X37" s="184"/>
      <c r="Y37" s="184"/>
      <c r="Z37" s="184"/>
      <c r="AA37" s="184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73"/>
    </row>
    <row r="38" spans="1:42">
      <c r="D38" s="176" t="s">
        <v>257</v>
      </c>
      <c r="G38" s="7"/>
      <c r="H38" s="7"/>
      <c r="I38" s="7"/>
      <c r="J38" s="7"/>
      <c r="K38" s="7"/>
      <c r="L38" s="7"/>
      <c r="M38" s="65"/>
      <c r="N38" s="65"/>
      <c r="O38" s="65"/>
      <c r="P38" s="65"/>
      <c r="Q38" s="65"/>
      <c r="R38" s="65"/>
      <c r="S38" s="65"/>
      <c r="T38" s="65"/>
      <c r="U38" s="75">
        <f t="shared" ref="U38:AM38" si="33">+U22/U$69*1000</f>
        <v>2096.4370546318291</v>
      </c>
      <c r="V38" s="75">
        <f t="shared" si="33"/>
        <v>1787.061168174153</v>
      </c>
      <c r="W38" s="75">
        <f t="shared" si="33"/>
        <v>1983.9027770374714</v>
      </c>
      <c r="X38" s="75">
        <f t="shared" si="33"/>
        <v>1733.5939618548316</v>
      </c>
      <c r="Y38" s="75">
        <f t="shared" si="33"/>
        <v>1399.604709482722</v>
      </c>
      <c r="Z38" s="75">
        <f t="shared" si="33"/>
        <v>1332.4884961334617</v>
      </c>
      <c r="AA38" s="75">
        <f t="shared" si="33"/>
        <v>1385.9309904101005</v>
      </c>
      <c r="AB38" s="75">
        <f t="shared" si="33"/>
        <v>1332.7436019067736</v>
      </c>
      <c r="AC38" s="75">
        <f t="shared" si="33"/>
        <v>1293.3700675036016</v>
      </c>
      <c r="AD38" s="75">
        <f t="shared" ca="1" si="33"/>
        <v>1312.5454281148623</v>
      </c>
      <c r="AE38" s="75">
        <f t="shared" ca="1" si="33"/>
        <v>1307.803207008378</v>
      </c>
      <c r="AF38" s="75">
        <f t="shared" ca="1" si="33"/>
        <v>1311.4668498181643</v>
      </c>
      <c r="AG38" s="75">
        <f t="shared" ca="1" si="33"/>
        <v>1315.5502154236824</v>
      </c>
      <c r="AH38" s="75">
        <f t="shared" ca="1" si="33"/>
        <v>1320.1807558351015</v>
      </c>
      <c r="AI38" s="75">
        <f t="shared" ca="1" si="33"/>
        <v>1324.575865635939</v>
      </c>
      <c r="AJ38" s="75">
        <f t="shared" ca="1" si="33"/>
        <v>1329.2099346925354</v>
      </c>
      <c r="AK38" s="75">
        <f t="shared" ca="1" si="33"/>
        <v>1334.1351476649988</v>
      </c>
      <c r="AL38" s="75">
        <f t="shared" ca="1" si="33"/>
        <v>1351.9819102762656</v>
      </c>
      <c r="AM38" s="75">
        <f t="shared" ca="1" si="33"/>
        <v>1370.0434856719485</v>
      </c>
      <c r="AN38" s="7"/>
      <c r="AO38" s="333">
        <f ca="1">IFERROR((AK38/AA38)^(1/10)-1,"na")</f>
        <v>-3.8016410562490277E-3</v>
      </c>
      <c r="AP38" s="264">
        <f>(AA38/V38)^(1/5)-1</f>
        <v>-4.956934039900085E-2</v>
      </c>
    </row>
    <row r="39" spans="1:42">
      <c r="D39" s="176" t="s">
        <v>258</v>
      </c>
      <c r="G39" s="7"/>
      <c r="H39" s="7"/>
      <c r="I39" s="7"/>
      <c r="J39" s="7"/>
      <c r="K39" s="7"/>
      <c r="L39" s="7"/>
      <c r="M39" s="65"/>
      <c r="N39" s="65"/>
      <c r="O39" s="65"/>
      <c r="P39" s="65"/>
      <c r="Q39" s="65"/>
      <c r="R39" s="65"/>
      <c r="S39" s="65"/>
      <c r="T39" s="65"/>
      <c r="U39" s="75">
        <f t="shared" ref="U39:AM39" si="34">+U23/U$69*1000</f>
        <v>0</v>
      </c>
      <c r="V39" s="75">
        <f t="shared" si="34"/>
        <v>0</v>
      </c>
      <c r="W39" s="75">
        <f t="shared" si="34"/>
        <v>0</v>
      </c>
      <c r="X39" s="75">
        <f t="shared" si="34"/>
        <v>0</v>
      </c>
      <c r="Y39" s="75">
        <f t="shared" si="34"/>
        <v>83.074765163429234</v>
      </c>
      <c r="Z39" s="75">
        <f t="shared" si="34"/>
        <v>43.756934705348947</v>
      </c>
      <c r="AA39" s="75">
        <f t="shared" si="34"/>
        <v>0</v>
      </c>
      <c r="AB39" s="75">
        <f t="shared" si="34"/>
        <v>0</v>
      </c>
      <c r="AC39" s="75">
        <f t="shared" ca="1" si="34"/>
        <v>0</v>
      </c>
      <c r="AD39" s="75">
        <f t="shared" ca="1" si="34"/>
        <v>0</v>
      </c>
      <c r="AE39" s="75">
        <f t="shared" ca="1" si="34"/>
        <v>0</v>
      </c>
      <c r="AF39" s="75">
        <f t="shared" ca="1" si="34"/>
        <v>0</v>
      </c>
      <c r="AG39" s="75">
        <f t="shared" ca="1" si="34"/>
        <v>0</v>
      </c>
      <c r="AH39" s="75">
        <f t="shared" ca="1" si="34"/>
        <v>0</v>
      </c>
      <c r="AI39" s="75">
        <f t="shared" ca="1" si="34"/>
        <v>0</v>
      </c>
      <c r="AJ39" s="75">
        <f t="shared" ca="1" si="34"/>
        <v>0</v>
      </c>
      <c r="AK39" s="75">
        <f t="shared" ca="1" si="34"/>
        <v>0</v>
      </c>
      <c r="AL39" s="75">
        <f t="shared" ca="1" si="34"/>
        <v>0</v>
      </c>
      <c r="AM39" s="75">
        <f t="shared" ca="1" si="34"/>
        <v>0</v>
      </c>
      <c r="AN39" s="7"/>
      <c r="AO39" s="65"/>
      <c r="AP39" s="65"/>
    </row>
    <row r="40" spans="1:42">
      <c r="D40" s="176" t="s">
        <v>259</v>
      </c>
      <c r="G40" s="7"/>
      <c r="H40" s="7"/>
      <c r="I40" s="7"/>
      <c r="J40" s="7"/>
      <c r="K40" s="7"/>
      <c r="L40" s="7"/>
      <c r="M40" s="65"/>
      <c r="N40" s="65"/>
      <c r="O40" s="65"/>
      <c r="P40" s="65"/>
      <c r="Q40" s="65"/>
      <c r="R40" s="65"/>
      <c r="S40" s="65"/>
      <c r="T40" s="65"/>
      <c r="U40" s="75">
        <f t="shared" ref="U40:AM40" si="35">+U24/U$69*1000</f>
        <v>1937.2921615201901</v>
      </c>
      <c r="V40" s="75">
        <f t="shared" si="35"/>
        <v>1652.4605242986356</v>
      </c>
      <c r="W40" s="75">
        <f t="shared" si="35"/>
        <v>1438.5160705719311</v>
      </c>
      <c r="X40" s="75">
        <f t="shared" si="35"/>
        <v>1258.6323781975957</v>
      </c>
      <c r="Y40" s="75">
        <f t="shared" si="35"/>
        <v>1181.9292727504569</v>
      </c>
      <c r="Z40" s="75">
        <f t="shared" si="35"/>
        <v>1149.0912367853382</v>
      </c>
      <c r="AA40" s="75">
        <f t="shared" si="35"/>
        <v>1173.371949645858</v>
      </c>
      <c r="AB40" s="75">
        <f t="shared" si="35"/>
        <v>1044.8286745742143</v>
      </c>
      <c r="AC40" s="75">
        <f t="shared" si="35"/>
        <v>934.10060430815668</v>
      </c>
      <c r="AD40" s="75">
        <f t="shared" ca="1" si="35"/>
        <v>868.95368620567297</v>
      </c>
      <c r="AE40" s="75">
        <f t="shared" ca="1" si="35"/>
        <v>801.95479675042066</v>
      </c>
      <c r="AF40" s="75">
        <f t="shared" ca="1" si="35"/>
        <v>733.00137625187244</v>
      </c>
      <c r="AG40" s="75">
        <f t="shared" ca="1" si="35"/>
        <v>662.01881808417602</v>
      </c>
      <c r="AH40" s="75">
        <f t="shared" ca="1" si="35"/>
        <v>588.90416069114872</v>
      </c>
      <c r="AI40" s="75">
        <f t="shared" ca="1" si="35"/>
        <v>513.16349761392382</v>
      </c>
      <c r="AJ40" s="75">
        <f t="shared" ca="1" si="35"/>
        <v>434.89251218967195</v>
      </c>
      <c r="AK40" s="75">
        <f t="shared" ca="1" si="35"/>
        <v>353.95422284989763</v>
      </c>
      <c r="AL40" s="75">
        <f t="shared" ca="1" si="35"/>
        <v>358.68907823656025</v>
      </c>
      <c r="AM40" s="75">
        <f t="shared" ca="1" si="35"/>
        <v>363.48092477010874</v>
      </c>
      <c r="AN40" s="7"/>
      <c r="AO40" s="333">
        <f ca="1">IFERROR((AK40/AA40)^(1/10)-1,"na")</f>
        <v>-0.11294379200045401</v>
      </c>
      <c r="AP40" s="264">
        <f>(AA40/V40)^(1/5)-1</f>
        <v>-6.6184836781825074E-2</v>
      </c>
    </row>
    <row r="41" spans="1:42">
      <c r="D41" s="176" t="s">
        <v>260</v>
      </c>
      <c r="G41" s="7"/>
      <c r="H41" s="7"/>
      <c r="I41" s="7"/>
      <c r="J41" s="7"/>
      <c r="K41" s="7"/>
      <c r="L41" s="7"/>
      <c r="M41" s="65"/>
      <c r="N41" s="65"/>
      <c r="O41" s="65"/>
      <c r="P41" s="65"/>
      <c r="Q41" s="65"/>
      <c r="R41" s="65"/>
      <c r="S41" s="65"/>
      <c r="T41" s="65"/>
      <c r="U41" s="75">
        <f t="shared" ref="U41:AM41" si="36">+U25/U$69*1000</f>
        <v>249.88123515439432</v>
      </c>
      <c r="V41" s="75">
        <f t="shared" si="36"/>
        <v>84.930246818948348</v>
      </c>
      <c r="W41" s="75">
        <f t="shared" si="36"/>
        <v>94.238047012419386</v>
      </c>
      <c r="X41" s="75">
        <f t="shared" si="36"/>
        <v>140.60381451685799</v>
      </c>
      <c r="Y41" s="75">
        <f t="shared" si="36"/>
        <v>128.5438007395758</v>
      </c>
      <c r="Z41" s="75">
        <f t="shared" si="36"/>
        <v>119.69090222980698</v>
      </c>
      <c r="AA41" s="75">
        <f t="shared" si="36"/>
        <v>149.30912576655703</v>
      </c>
      <c r="AB41" s="75">
        <f t="shared" si="36"/>
        <v>137.50529226022263</v>
      </c>
      <c r="AC41" s="75">
        <f t="shared" ca="1" si="36"/>
        <v>141.91188249259318</v>
      </c>
      <c r="AD41" s="75">
        <f t="shared" ca="1" si="36"/>
        <v>147.28196794348898</v>
      </c>
      <c r="AE41" s="75">
        <f t="shared" ca="1" si="36"/>
        <v>152.8344210904861</v>
      </c>
      <c r="AF41" s="75">
        <f t="shared" ca="1" si="36"/>
        <v>158.582319206872</v>
      </c>
      <c r="AG41" s="75">
        <f t="shared" ca="1" si="36"/>
        <v>164.55010597403765</v>
      </c>
      <c r="AH41" s="75">
        <f t="shared" ca="1" si="36"/>
        <v>170.7662080782379</v>
      </c>
      <c r="AI41" s="75">
        <f t="shared" ca="1" si="36"/>
        <v>177.14021406983963</v>
      </c>
      <c r="AJ41" s="75">
        <f t="shared" ca="1" si="36"/>
        <v>183.74214848861101</v>
      </c>
      <c r="AK41" s="75">
        <f t="shared" ca="1" si="36"/>
        <v>190.59073538071408</v>
      </c>
      <c r="AL41" s="75">
        <f t="shared" ca="1" si="36"/>
        <v>193.14027289660936</v>
      </c>
      <c r="AM41" s="75">
        <f t="shared" ca="1" si="36"/>
        <v>195.72049795313549</v>
      </c>
      <c r="AN41" s="7"/>
      <c r="AO41" s="333">
        <f ca="1">IFERROR((AK41/AA41)^(1/10)-1,"na")</f>
        <v>2.4711342239827294E-2</v>
      </c>
      <c r="AP41" s="264">
        <f>(AA41/V41)^(1/5)-1</f>
        <v>0.11945023869242033</v>
      </c>
    </row>
    <row r="42" spans="1:42">
      <c r="D42" s="176" t="s">
        <v>261</v>
      </c>
      <c r="G42" s="7"/>
      <c r="H42" s="7"/>
      <c r="I42" s="7"/>
      <c r="J42" s="7"/>
      <c r="K42" s="7"/>
      <c r="L42" s="7"/>
      <c r="M42" s="65"/>
      <c r="N42" s="65"/>
      <c r="O42" s="65"/>
      <c r="P42" s="65"/>
      <c r="Q42" s="65"/>
      <c r="R42" s="65"/>
      <c r="S42" s="65"/>
      <c r="T42" s="65"/>
      <c r="U42" s="75">
        <f t="shared" ref="U42:AM42" si="37">+U26/U$69*1000</f>
        <v>231.82897862232778</v>
      </c>
      <c r="V42" s="75">
        <f t="shared" si="37"/>
        <v>211.86570596351373</v>
      </c>
      <c r="W42" s="75">
        <f t="shared" si="37"/>
        <v>445.07222429508022</v>
      </c>
      <c r="X42" s="75">
        <f t="shared" si="37"/>
        <v>325.04745548223809</v>
      </c>
      <c r="Y42" s="75">
        <f t="shared" si="37"/>
        <v>374.00646066221788</v>
      </c>
      <c r="Z42" s="75">
        <f t="shared" si="37"/>
        <v>326.95199635030326</v>
      </c>
      <c r="AA42" s="75">
        <f t="shared" si="37"/>
        <v>314.70109909016804</v>
      </c>
      <c r="AB42" s="75">
        <f t="shared" si="37"/>
        <v>317.3199052158983</v>
      </c>
      <c r="AC42" s="75">
        <f t="shared" ca="1" si="37"/>
        <v>324.4182804256813</v>
      </c>
      <c r="AD42" s="75">
        <f t="shared" ca="1" si="37"/>
        <v>333.64905504473307</v>
      </c>
      <c r="AE42" s="75">
        <f t="shared" ca="1" si="37"/>
        <v>343.20422859046585</v>
      </c>
      <c r="AF42" s="75">
        <f t="shared" ca="1" si="37"/>
        <v>353.10797965115324</v>
      </c>
      <c r="AG42" s="75">
        <f t="shared" ca="1" si="37"/>
        <v>363.40905081572356</v>
      </c>
      <c r="AH42" s="75">
        <f t="shared" ca="1" si="37"/>
        <v>374.16363620113566</v>
      </c>
      <c r="AI42" s="75">
        <f t="shared" ca="1" si="37"/>
        <v>385.16811739129679</v>
      </c>
      <c r="AJ42" s="75">
        <f t="shared" ca="1" si="37"/>
        <v>396.57150560474429</v>
      </c>
      <c r="AK42" s="75">
        <f t="shared" ca="1" si="37"/>
        <v>408.40871867295874</v>
      </c>
      <c r="AL42" s="75">
        <f t="shared" ca="1" si="37"/>
        <v>413.87201334987719</v>
      </c>
      <c r="AM42" s="75">
        <f t="shared" ca="1" si="37"/>
        <v>419.40106704243317</v>
      </c>
      <c r="AN42" s="7"/>
      <c r="AO42" s="333">
        <f ca="1">IFERROR((AK42/AA42)^(1/10)-1,"na")</f>
        <v>2.6407163750015172E-2</v>
      </c>
      <c r="AP42" s="264">
        <f>(AA42/V42)^(1/5)-1</f>
        <v>8.2349495459049571E-2</v>
      </c>
    </row>
    <row r="43" spans="1:42">
      <c r="D43" s="176" t="s">
        <v>128</v>
      </c>
      <c r="G43" s="7"/>
      <c r="H43" s="7"/>
      <c r="I43" s="7"/>
      <c r="J43" s="7"/>
      <c r="K43" s="7"/>
      <c r="L43" s="7"/>
      <c r="M43" s="65"/>
      <c r="N43" s="65"/>
      <c r="O43" s="65"/>
      <c r="P43" s="65"/>
      <c r="Q43" s="65"/>
      <c r="R43" s="65"/>
      <c r="S43" s="65"/>
      <c r="T43" s="65"/>
      <c r="U43" s="75">
        <f t="shared" ref="U43:AM43" si="38">+U27/U$69*1000</f>
        <v>2460.3325415676964</v>
      </c>
      <c r="V43" s="75">
        <f t="shared" si="38"/>
        <v>1886.55526598191</v>
      </c>
      <c r="W43" s="75">
        <f t="shared" si="38"/>
        <v>1830.9258568306595</v>
      </c>
      <c r="X43" s="75">
        <f t="shared" si="38"/>
        <v>1590.48178613396</v>
      </c>
      <c r="Y43" s="75">
        <f t="shared" si="38"/>
        <v>1351.6704212181749</v>
      </c>
      <c r="Z43" s="75">
        <f t="shared" si="38"/>
        <v>1459.0056829382311</v>
      </c>
      <c r="AA43" s="75">
        <f t="shared" si="38"/>
        <v>1590.0020892135135</v>
      </c>
      <c r="AB43" s="75">
        <f t="shared" si="38"/>
        <v>1353.8982622544986</v>
      </c>
      <c r="AC43" s="75">
        <f t="shared" ca="1" si="38"/>
        <v>1253.7831542860415</v>
      </c>
      <c r="AD43" s="75">
        <f t="shared" ca="1" si="38"/>
        <v>1158.8996472952722</v>
      </c>
      <c r="AE43" s="75">
        <f t="shared" ca="1" si="38"/>
        <v>1061.3043492601364</v>
      </c>
      <c r="AF43" s="75">
        <f t="shared" ca="1" si="38"/>
        <v>960.84563342377487</v>
      </c>
      <c r="AG43" s="75">
        <f t="shared" ca="1" si="38"/>
        <v>857.40592266579347</v>
      </c>
      <c r="AH43" s="75">
        <f t="shared" ca="1" si="38"/>
        <v>750.82554013242861</v>
      </c>
      <c r="AI43" s="75">
        <f t="shared" ca="1" si="38"/>
        <v>640.44904057565498</v>
      </c>
      <c r="AJ43" s="75">
        <f t="shared" ca="1" si="38"/>
        <v>526.37781004450721</v>
      </c>
      <c r="AK43" s="75">
        <f t="shared" ca="1" si="38"/>
        <v>408.40871867295874</v>
      </c>
      <c r="AL43" s="75">
        <f t="shared" ca="1" si="38"/>
        <v>413.87201334987719</v>
      </c>
      <c r="AM43" s="75">
        <f t="shared" ca="1" si="38"/>
        <v>419.40106704243317</v>
      </c>
      <c r="AN43" s="7"/>
      <c r="AO43" s="333">
        <f ca="1">IFERROR((AK43/AA43)^(1/10)-1,"na")</f>
        <v>-0.12708947296735051</v>
      </c>
      <c r="AP43" s="264">
        <f>(AA43/V43)^(1/5)-1</f>
        <v>-3.3625119558904126E-2</v>
      </c>
    </row>
    <row r="44" spans="1:42" s="5" customFormat="1">
      <c r="A44" s="116"/>
      <c r="B44" s="158"/>
      <c r="D44" s="2" t="s">
        <v>262</v>
      </c>
      <c r="E44" s="2"/>
      <c r="F44" s="2"/>
      <c r="G44" s="222"/>
      <c r="H44" s="222"/>
      <c r="I44" s="222"/>
      <c r="J44" s="222"/>
      <c r="K44" s="222"/>
      <c r="L44" s="223"/>
      <c r="M44" s="223"/>
      <c r="N44" s="223"/>
      <c r="O44" s="223"/>
      <c r="P44" s="223"/>
      <c r="Q44" s="223"/>
      <c r="R44" s="223"/>
      <c r="S44" s="223"/>
      <c r="T44" s="223"/>
      <c r="U44" s="177">
        <f t="shared" ref="U44:Z44" si="39">SUM(U38:U43)</f>
        <v>6975.7719714964378</v>
      </c>
      <c r="V44" s="177">
        <f t="shared" si="39"/>
        <v>5622.8729112371602</v>
      </c>
      <c r="W44" s="177">
        <f t="shared" si="39"/>
        <v>5792.6549757475614</v>
      </c>
      <c r="X44" s="177">
        <f t="shared" si="39"/>
        <v>5048.3593961854831</v>
      </c>
      <c r="Y44" s="177">
        <f t="shared" si="39"/>
        <v>4518.8294300165762</v>
      </c>
      <c r="Z44" s="177">
        <f t="shared" si="39"/>
        <v>4430.9852491424899</v>
      </c>
      <c r="AA44" s="177">
        <f>SUM(AA38:AA43)</f>
        <v>4613.315254126197</v>
      </c>
      <c r="AB44" s="177">
        <f t="shared" ref="AB44:AM44" si="40">SUM(AB38:AB43)</f>
        <v>4186.2957362116076</v>
      </c>
      <c r="AC44" s="177">
        <f t="shared" ca="1" si="40"/>
        <v>3947.5839890160742</v>
      </c>
      <c r="AD44" s="177">
        <f t="shared" ca="1" si="40"/>
        <v>3821.3297846040291</v>
      </c>
      <c r="AE44" s="177">
        <f t="shared" ca="1" si="40"/>
        <v>3667.101002699887</v>
      </c>
      <c r="AF44" s="177">
        <f t="shared" ca="1" si="40"/>
        <v>3517.0041583518368</v>
      </c>
      <c r="AG44" s="177">
        <f t="shared" ca="1" si="40"/>
        <v>3362.9341129634131</v>
      </c>
      <c r="AH44" s="177">
        <f t="shared" ca="1" si="40"/>
        <v>3204.8403009380527</v>
      </c>
      <c r="AI44" s="177">
        <f t="shared" ca="1" si="40"/>
        <v>3040.4967352866543</v>
      </c>
      <c r="AJ44" s="177">
        <f t="shared" ca="1" si="40"/>
        <v>2870.7939110200696</v>
      </c>
      <c r="AK44" s="177">
        <f t="shared" ca="1" si="40"/>
        <v>2695.4975432415281</v>
      </c>
      <c r="AL44" s="177">
        <f t="shared" ca="1" si="40"/>
        <v>2731.5552881091894</v>
      </c>
      <c r="AM44" s="177">
        <f t="shared" ca="1" si="40"/>
        <v>2768.0470424800587</v>
      </c>
      <c r="AN44" s="73"/>
      <c r="AO44" s="333">
        <f ca="1">IFERROR((AK44/AA44)^(1/10)-1,"na")</f>
        <v>-5.2318111612669749E-2</v>
      </c>
      <c r="AP44" s="264">
        <f>(AA44/V44)^(1/5)-1</f>
        <v>-3.8806172662614213E-2</v>
      </c>
    </row>
    <row r="45" spans="1:42" s="5" customFormat="1">
      <c r="A45" s="116"/>
      <c r="B45" s="158"/>
      <c r="D45" s="181"/>
      <c r="E45" s="181"/>
      <c r="F45" s="181"/>
      <c r="G45" s="266"/>
      <c r="H45" s="266"/>
      <c r="I45" s="266"/>
      <c r="J45" s="266"/>
      <c r="K45" s="266"/>
      <c r="L45" s="183"/>
      <c r="M45" s="183"/>
      <c r="N45" s="183"/>
      <c r="O45" s="183"/>
      <c r="P45" s="183"/>
      <c r="Q45" s="183"/>
      <c r="R45" s="183"/>
      <c r="S45" s="183"/>
      <c r="T45" s="183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3"/>
      <c r="AJ45" s="183"/>
      <c r="AK45" s="183"/>
      <c r="AL45" s="183"/>
      <c r="AM45" s="183"/>
      <c r="AN45" s="73"/>
    </row>
    <row r="46" spans="1:42">
      <c r="D46" s="225" t="s">
        <v>267</v>
      </c>
      <c r="G46" s="7"/>
      <c r="H46" s="7"/>
      <c r="I46" s="7"/>
      <c r="J46" s="7"/>
      <c r="K46" s="7"/>
      <c r="L46" s="7"/>
      <c r="M46" s="65"/>
      <c r="N46" s="65"/>
      <c r="O46" s="65"/>
      <c r="P46" s="65"/>
      <c r="Q46" s="65"/>
      <c r="R46" s="65"/>
      <c r="S46" s="65"/>
      <c r="T46" s="65"/>
      <c r="U46" s="65"/>
      <c r="V46" s="80"/>
      <c r="W46" s="80">
        <v>1067</v>
      </c>
      <c r="X46" s="80">
        <v>1864</v>
      </c>
      <c r="Y46" s="80">
        <v>3879</v>
      </c>
      <c r="Z46" s="80">
        <v>7324</v>
      </c>
      <c r="AA46" s="80">
        <v>10400</v>
      </c>
      <c r="AB46" s="65"/>
      <c r="AC46" s="65"/>
      <c r="AD46" s="65"/>
      <c r="AE46" s="65"/>
      <c r="AF46" s="75"/>
      <c r="AG46" s="65"/>
      <c r="AH46" s="65"/>
      <c r="AI46" s="65"/>
      <c r="AJ46" s="65"/>
      <c r="AK46" s="65"/>
      <c r="AL46" s="65"/>
      <c r="AM46" s="65"/>
      <c r="AN46" s="7"/>
    </row>
    <row r="47" spans="1:42">
      <c r="D47" s="176"/>
      <c r="G47" s="7"/>
      <c r="H47" s="7"/>
      <c r="I47" s="7"/>
      <c r="J47" s="7"/>
      <c r="K47" s="7"/>
      <c r="L47" s="7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249">
        <f>+W22/AVERAGE(V46:W46)*1000</f>
        <v>34.882849109653229</v>
      </c>
      <c r="X47" s="249">
        <f>+X22/AVERAGE(W46:X46)*1000</f>
        <v>52.347321733196864</v>
      </c>
      <c r="Y47" s="249">
        <f>+Y22/AVERAGE(X46:Y46)*1000</f>
        <v>45.869406233675782</v>
      </c>
      <c r="Z47" s="249">
        <f>+Z22/AVERAGE(Y46:Z46)*1000</f>
        <v>42.235472641256806</v>
      </c>
      <c r="AA47" s="249">
        <f>+AA22/AVERAGE(Z46:AA46)*1000</f>
        <v>38.176596705032729</v>
      </c>
      <c r="AB47" s="65"/>
      <c r="AC47" s="65"/>
      <c r="AD47" s="65"/>
      <c r="AE47" s="65"/>
      <c r="AF47" s="65"/>
      <c r="AG47" s="75"/>
      <c r="AH47" s="65"/>
      <c r="AI47" s="65"/>
      <c r="AJ47" s="65"/>
      <c r="AK47" s="65"/>
      <c r="AL47" s="65"/>
      <c r="AM47" s="65"/>
      <c r="AN47" s="7"/>
    </row>
    <row r="48" spans="1:42" s="5" customFormat="1">
      <c r="A48" s="116"/>
      <c r="B48" s="158"/>
      <c r="D48" s="180"/>
      <c r="E48" s="181"/>
      <c r="F48" s="181"/>
      <c r="G48" s="182"/>
      <c r="H48" s="182"/>
      <c r="I48" s="182"/>
      <c r="J48" s="182"/>
      <c r="K48" s="183"/>
      <c r="L48" s="183"/>
      <c r="M48" s="183"/>
      <c r="N48" s="183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73"/>
    </row>
    <row r="49" spans="1:42">
      <c r="C49" s="111"/>
      <c r="D49" s="112" t="s">
        <v>232</v>
      </c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</row>
    <row r="50" spans="1:42" ht="5.15" customHeight="1">
      <c r="G50" s="7"/>
      <c r="H50" s="7"/>
      <c r="I50" s="7"/>
      <c r="J50" s="7"/>
      <c r="K50" s="7"/>
      <c r="L50" s="7"/>
      <c r="M50" s="7"/>
      <c r="N50" s="7"/>
      <c r="O50" s="7"/>
      <c r="P50" s="99"/>
      <c r="Q50" s="74"/>
      <c r="R50" s="74"/>
      <c r="S50" s="74"/>
      <c r="T50" s="74"/>
      <c r="U50" s="74"/>
      <c r="V50" s="74"/>
      <c r="W50" s="74"/>
      <c r="X50" s="74"/>
      <c r="Y50" s="74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7"/>
    </row>
    <row r="51" spans="1:42">
      <c r="G51" s="178"/>
      <c r="H51" s="178"/>
      <c r="I51" s="178"/>
      <c r="J51" s="178"/>
      <c r="K51" s="178"/>
      <c r="L51" s="69"/>
      <c r="M51" s="69"/>
      <c r="N51" s="69"/>
      <c r="O51" s="69"/>
      <c r="P51" s="69"/>
      <c r="Q51" s="69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"/>
      <c r="AO51" s="76"/>
      <c r="AP51" s="76"/>
    </row>
    <row r="52" spans="1:42">
      <c r="D52" s="70" t="s">
        <v>248</v>
      </c>
      <c r="G52" s="178"/>
      <c r="H52" s="178"/>
      <c r="I52" s="178"/>
      <c r="J52" s="178"/>
      <c r="K52" s="178"/>
      <c r="L52" s="69"/>
      <c r="M52" s="69"/>
      <c r="N52" s="69"/>
      <c r="O52" s="69"/>
      <c r="P52" s="69"/>
      <c r="Q52" s="69"/>
      <c r="R52" s="75"/>
      <c r="S52" s="75"/>
      <c r="T52" s="75"/>
      <c r="U52" s="80">
        <v>41.122999999999998</v>
      </c>
      <c r="V52" s="80">
        <v>124.97199999999999</v>
      </c>
      <c r="W52" s="80">
        <v>341.98899999999998</v>
      </c>
      <c r="X52" s="80">
        <v>796.91499999999996</v>
      </c>
      <c r="Y52" s="80">
        <v>1785.0450000000001</v>
      </c>
      <c r="Z52" s="80">
        <v>3420.6010000000001</v>
      </c>
      <c r="AA52" s="80">
        <v>4740.5950000000003</v>
      </c>
      <c r="AB52" s="75">
        <f>+AB85</f>
        <v>8061.6584233197209</v>
      </c>
      <c r="AC52" s="75">
        <f t="shared" ref="AC52:AM52" si="41">+AC85</f>
        <v>11541.674823206258</v>
      </c>
      <c r="AD52" s="75">
        <f t="shared" si="41"/>
        <v>14753.506520101628</v>
      </c>
      <c r="AE52" s="75">
        <f t="shared" si="41"/>
        <v>18104.76552614271</v>
      </c>
      <c r="AF52" s="75">
        <f t="shared" si="41"/>
        <v>21600.116820533636</v>
      </c>
      <c r="AG52" s="75">
        <f t="shared" ca="1" si="41"/>
        <v>24883.731314094308</v>
      </c>
      <c r="AH52" s="75">
        <f t="shared" ca="1" si="41"/>
        <v>28304.872466189267</v>
      </c>
      <c r="AI52" s="75">
        <f t="shared" ca="1" si="41"/>
        <v>31868.082506641811</v>
      </c>
      <c r="AJ52" s="75">
        <f t="shared" ca="1" si="41"/>
        <v>35578.038802567578</v>
      </c>
      <c r="AK52" s="75">
        <f t="shared" si="41"/>
        <v>39439.557648212103</v>
      </c>
      <c r="AL52" s="75">
        <f t="shared" si="41"/>
        <v>42348.471522003056</v>
      </c>
      <c r="AM52" s="75">
        <f t="shared" si="41"/>
        <v>45471.935974697793</v>
      </c>
      <c r="AN52" s="7"/>
      <c r="AO52" s="76"/>
      <c r="AP52" s="76"/>
    </row>
    <row r="53" spans="1:42">
      <c r="D53" s="70" t="s">
        <v>249</v>
      </c>
      <c r="G53" s="178"/>
      <c r="H53" s="178"/>
      <c r="I53" s="178"/>
      <c r="J53" s="178"/>
      <c r="K53" s="178"/>
      <c r="L53" s="69"/>
      <c r="M53" s="69"/>
      <c r="N53" s="69"/>
      <c r="O53" s="69"/>
      <c r="P53" s="69"/>
      <c r="Q53" s="69"/>
      <c r="R53" s="75"/>
      <c r="S53" s="75"/>
      <c r="T53" s="75"/>
      <c r="U53" s="80">
        <v>0.52200000000000002</v>
      </c>
      <c r="V53" s="80">
        <v>3.7429999999999999</v>
      </c>
      <c r="W53" s="80">
        <v>10.163</v>
      </c>
      <c r="X53" s="80">
        <v>28.513999999999999</v>
      </c>
      <c r="Y53" s="80">
        <v>73.584000000000003</v>
      </c>
      <c r="Z53" s="80">
        <v>267.58600000000001</v>
      </c>
      <c r="AA53" s="80">
        <v>445.23599999999999</v>
      </c>
      <c r="AB53" s="75">
        <f>+AB98</f>
        <v>951.331400734618</v>
      </c>
      <c r="AC53" s="75">
        <f t="shared" ref="AC53:AM53" si="42">+AC98</f>
        <v>1271.8090042402725</v>
      </c>
      <c r="AD53" s="75">
        <f t="shared" ca="1" si="42"/>
        <v>1628.7912413732661</v>
      </c>
      <c r="AE53" s="75">
        <f t="shared" ca="1" si="42"/>
        <v>2040.64370380991</v>
      </c>
      <c r="AF53" s="75">
        <f t="shared" ca="1" si="42"/>
        <v>2519.5899683692369</v>
      </c>
      <c r="AG53" s="75">
        <f t="shared" ca="1" si="42"/>
        <v>3014.3916007184635</v>
      </c>
      <c r="AH53" s="75">
        <f t="shared" ca="1" si="42"/>
        <v>3573.7776083202675</v>
      </c>
      <c r="AI53" s="75">
        <f t="shared" ca="1" si="42"/>
        <v>4209.490085408549</v>
      </c>
      <c r="AJ53" s="75">
        <f t="shared" ca="1" si="42"/>
        <v>4923.2650630871358</v>
      </c>
      <c r="AK53" s="75">
        <f t="shared" si="42"/>
        <v>5725.864576002984</v>
      </c>
      <c r="AL53" s="75">
        <f t="shared" si="42"/>
        <v>6227.8668661874817</v>
      </c>
      <c r="AM53" s="75">
        <f t="shared" si="42"/>
        <v>6774.4483670997151</v>
      </c>
      <c r="AN53" s="7"/>
      <c r="AO53" s="76"/>
      <c r="AP53" s="76"/>
    </row>
    <row r="54" spans="1:42">
      <c r="D54" s="70" t="s">
        <v>128</v>
      </c>
      <c r="G54" s="178"/>
      <c r="H54" s="178"/>
      <c r="I54" s="178"/>
      <c r="J54" s="178"/>
      <c r="K54" s="178"/>
      <c r="L54" s="69"/>
      <c r="M54" s="69"/>
      <c r="N54" s="69"/>
      <c r="O54" s="69"/>
      <c r="P54" s="69"/>
      <c r="Q54" s="69"/>
      <c r="R54" s="75"/>
      <c r="S54" s="75"/>
      <c r="T54" s="75"/>
      <c r="U54" s="80">
        <v>3.4000000000000002E-2</v>
      </c>
      <c r="V54" s="80">
        <v>1.677</v>
      </c>
      <c r="W54" s="80">
        <v>12.996</v>
      </c>
      <c r="X54" s="80">
        <v>33.441000000000003</v>
      </c>
      <c r="Y54" s="80">
        <v>96.837999999999994</v>
      </c>
      <c r="Z54" s="80">
        <v>251.709</v>
      </c>
      <c r="AA54" s="80">
        <v>400.73399999999998</v>
      </c>
      <c r="AB54" s="75">
        <f>+AB122</f>
        <v>722.9137344781152</v>
      </c>
      <c r="AC54" s="75">
        <f t="shared" ref="AC54:AM54" si="43">+AC122</f>
        <v>1072.0414120819501</v>
      </c>
      <c r="AD54" s="75">
        <f t="shared" si="43"/>
        <v>1408.0827329756503</v>
      </c>
      <c r="AE54" s="75">
        <f t="shared" si="43"/>
        <v>1743.9879334091047</v>
      </c>
      <c r="AF54" s="75">
        <f t="shared" si="43"/>
        <v>2075.049116560428</v>
      </c>
      <c r="AG54" s="75">
        <f t="shared" ca="1" si="43"/>
        <v>2384.7304968289336</v>
      </c>
      <c r="AH54" s="75">
        <f t="shared" ca="1" si="43"/>
        <v>2708.4138504637867</v>
      </c>
      <c r="AI54" s="75">
        <f t="shared" ca="1" si="43"/>
        <v>3021.9377544930694</v>
      </c>
      <c r="AJ54" s="75">
        <f t="shared" ca="1" si="43"/>
        <v>3342.6566574476078</v>
      </c>
      <c r="AK54" s="75">
        <f t="shared" ca="1" si="43"/>
        <v>3670.5634685548334</v>
      </c>
      <c r="AL54" s="75">
        <f t="shared" ca="1" si="43"/>
        <v>3907.0282241994382</v>
      </c>
      <c r="AM54" s="75">
        <f t="shared" ca="1" si="43"/>
        <v>4155.7878123613546</v>
      </c>
      <c r="AN54" s="7"/>
      <c r="AO54" s="76"/>
      <c r="AP54" s="76"/>
    </row>
    <row r="55" spans="1:42" s="5" customFormat="1">
      <c r="A55" s="116"/>
      <c r="B55" s="158"/>
      <c r="D55" s="2" t="s">
        <v>250</v>
      </c>
      <c r="E55" s="2"/>
      <c r="F55" s="2"/>
      <c r="G55" s="222"/>
      <c r="H55" s="222"/>
      <c r="I55" s="222"/>
      <c r="J55" s="222"/>
      <c r="K55" s="222"/>
      <c r="L55" s="223"/>
      <c r="M55" s="223"/>
      <c r="N55" s="223"/>
      <c r="O55" s="223"/>
      <c r="P55" s="223"/>
      <c r="Q55" s="223"/>
      <c r="R55" s="223"/>
      <c r="S55" s="223"/>
      <c r="T55" s="223"/>
      <c r="U55" s="177">
        <f t="shared" ref="U55" si="44">SUM(U52:U54)</f>
        <v>41.678999999999995</v>
      </c>
      <c r="V55" s="177">
        <f t="shared" ref="V55:Z55" si="45">SUM(V52:V54)</f>
        <v>130.392</v>
      </c>
      <c r="W55" s="177">
        <f t="shared" si="45"/>
        <v>365.14799999999997</v>
      </c>
      <c r="X55" s="177">
        <f t="shared" si="45"/>
        <v>858.87</v>
      </c>
      <c r="Y55" s="177">
        <f t="shared" si="45"/>
        <v>1955.4670000000001</v>
      </c>
      <c r="Z55" s="177">
        <f t="shared" si="45"/>
        <v>3939.8959999999997</v>
      </c>
      <c r="AA55" s="177">
        <f>SUM(AA52:AA54)</f>
        <v>5586.5650000000005</v>
      </c>
      <c r="AB55" s="177">
        <f t="shared" ref="AB55" si="46">SUM(AB52:AB54)</f>
        <v>9735.9035585324546</v>
      </c>
      <c r="AC55" s="177">
        <f t="shared" ref="AC55" si="47">SUM(AC52:AC54)</f>
        <v>13885.525239528481</v>
      </c>
      <c r="AD55" s="177">
        <f t="shared" ref="AD55" ca="1" si="48">SUM(AD52:AD54)</f>
        <v>17790.380494450546</v>
      </c>
      <c r="AE55" s="177">
        <f t="shared" ref="AE55" ca="1" si="49">SUM(AE52:AE54)</f>
        <v>21889.397163361726</v>
      </c>
      <c r="AF55" s="177">
        <f t="shared" ref="AF55" ca="1" si="50">SUM(AF52:AF54)</f>
        <v>26194.755905463302</v>
      </c>
      <c r="AG55" s="177">
        <f t="shared" ref="AG55" ca="1" si="51">SUM(AG52:AG54)</f>
        <v>30282.853411641707</v>
      </c>
      <c r="AH55" s="177">
        <f t="shared" ref="AH55" ca="1" si="52">SUM(AH52:AH54)</f>
        <v>34587.063924973321</v>
      </c>
      <c r="AI55" s="177">
        <f t="shared" ref="AI55" ca="1" si="53">SUM(AI52:AI54)</f>
        <v>39099.510346543429</v>
      </c>
      <c r="AJ55" s="177">
        <f t="shared" ref="AJ55" ca="1" si="54">SUM(AJ52:AJ54)</f>
        <v>43843.960523102323</v>
      </c>
      <c r="AK55" s="177">
        <f t="shared" ref="AK55" ca="1" si="55">SUM(AK52:AK54)</f>
        <v>48835.985692769922</v>
      </c>
      <c r="AL55" s="177">
        <f t="shared" ref="AL55" ca="1" si="56">SUM(AL52:AL54)</f>
        <v>52483.366612389975</v>
      </c>
      <c r="AM55" s="177">
        <f t="shared" ref="AM55" ca="1" si="57">SUM(AM52:AM54)</f>
        <v>56402.172154158863</v>
      </c>
      <c r="AN55" s="73"/>
    </row>
    <row r="56" spans="1:42">
      <c r="D56" s="85"/>
      <c r="E56" s="63"/>
      <c r="F56" s="63"/>
      <c r="G56" s="199"/>
      <c r="H56" s="199"/>
      <c r="I56" s="199"/>
      <c r="J56" s="199"/>
      <c r="K56" s="199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7"/>
    </row>
    <row r="57" spans="1:42">
      <c r="D57" s="70" t="s">
        <v>248</v>
      </c>
      <c r="G57" s="178"/>
      <c r="H57" s="178"/>
      <c r="I57" s="178"/>
      <c r="J57" s="178"/>
      <c r="K57" s="178"/>
      <c r="L57" s="69"/>
      <c r="M57" s="69"/>
      <c r="N57" s="69"/>
      <c r="O57" s="69"/>
      <c r="P57" s="69"/>
      <c r="Q57" s="69"/>
      <c r="R57" s="75"/>
      <c r="S57" s="75"/>
      <c r="T57" s="75"/>
      <c r="U57" s="80">
        <v>-0.44900000000000001</v>
      </c>
      <c r="V57" s="80">
        <v>-0.21199999999999999</v>
      </c>
      <c r="W57" s="80">
        <v>5.944</v>
      </c>
      <c r="X57" s="80">
        <v>32.805999999999997</v>
      </c>
      <c r="Y57" s="80">
        <v>94.319000000000003</v>
      </c>
      <c r="Z57" s="80">
        <v>237.85499999999999</v>
      </c>
      <c r="AA57" s="80">
        <v>359.34100000000001</v>
      </c>
      <c r="AB57" s="75">
        <f>+AB87</f>
        <v>574.00000000000011</v>
      </c>
      <c r="AC57" s="75">
        <f t="shared" ref="AC57:AM57" si="58">+AC87</f>
        <v>898.59699999999998</v>
      </c>
      <c r="AD57" s="75">
        <f t="shared" si="58"/>
        <v>1191.2026481250002</v>
      </c>
      <c r="AE57" s="75">
        <f t="shared" si="58"/>
        <v>1515.9244900038752</v>
      </c>
      <c r="AF57" s="75">
        <f t="shared" si="58"/>
        <v>1875.5775752572947</v>
      </c>
      <c r="AG57" s="75">
        <f t="shared" ca="1" si="58"/>
        <v>2240.7257351945295</v>
      </c>
      <c r="AH57" s="75">
        <f t="shared" ca="1" si="58"/>
        <v>2643.1917396643339</v>
      </c>
      <c r="AI57" s="75">
        <f t="shared" ca="1" si="58"/>
        <v>3056.7625665474743</v>
      </c>
      <c r="AJ57" s="75">
        <f t="shared" ca="1" si="58"/>
        <v>3488.4547643757646</v>
      </c>
      <c r="AK57" s="75">
        <f t="shared" si="58"/>
        <v>3953.0148378755612</v>
      </c>
      <c r="AL57" s="75">
        <f t="shared" si="58"/>
        <v>4317.9374026340438</v>
      </c>
      <c r="AM57" s="75">
        <f t="shared" si="58"/>
        <v>4716.5477939582061</v>
      </c>
      <c r="AN57" s="7"/>
      <c r="AO57" s="76"/>
      <c r="AP57" s="76"/>
    </row>
    <row r="58" spans="1:42">
      <c r="D58" s="70" t="s">
        <v>249</v>
      </c>
      <c r="G58" s="178"/>
      <c r="H58" s="178"/>
      <c r="I58" s="178"/>
      <c r="J58" s="178"/>
      <c r="K58" s="178"/>
      <c r="L58" s="69"/>
      <c r="M58" s="69"/>
      <c r="N58" s="69"/>
      <c r="O58" s="69"/>
      <c r="P58" s="69"/>
      <c r="Q58" s="69"/>
      <c r="R58" s="75"/>
      <c r="S58" s="75"/>
      <c r="T58" s="75"/>
      <c r="U58" s="80">
        <v>-8.9999999999999993E-3</v>
      </c>
      <c r="V58" s="80">
        <v>-0.11899999999999999</v>
      </c>
      <c r="W58" s="80">
        <v>0.25700000000000001</v>
      </c>
      <c r="X58" s="80">
        <v>1.845</v>
      </c>
      <c r="Y58" s="80">
        <v>5.5519999999999996</v>
      </c>
      <c r="Z58" s="80">
        <v>16.850000000000001</v>
      </c>
      <c r="AA58" s="80">
        <v>33.69</v>
      </c>
      <c r="AB58" s="75">
        <f>+AB100</f>
        <v>76.106512058769439</v>
      </c>
      <c r="AC58" s="75">
        <f t="shared" ref="AC58:AM58" si="59">+AC100</f>
        <v>120.82185540282589</v>
      </c>
      <c r="AD58" s="75">
        <f t="shared" ca="1" si="59"/>
        <v>171.02308034419292</v>
      </c>
      <c r="AE58" s="75">
        <f t="shared" ca="1" si="59"/>
        <v>227.38601271024714</v>
      </c>
      <c r="AF58" s="75">
        <f t="shared" ca="1" si="59"/>
        <v>296.95167484351725</v>
      </c>
      <c r="AG58" s="75">
        <f t="shared" ca="1" si="59"/>
        <v>374.64581323215197</v>
      </c>
      <c r="AH58" s="75">
        <f t="shared" ca="1" si="59"/>
        <v>467.14378737329224</v>
      </c>
      <c r="AI58" s="75">
        <f t="shared" ca="1" si="59"/>
        <v>577.30149742745823</v>
      </c>
      <c r="AJ58" s="75">
        <f t="shared" ca="1" si="59"/>
        <v>706.84019834322453</v>
      </c>
      <c r="AK58" s="75">
        <f t="shared" si="59"/>
        <v>858.87968640044778</v>
      </c>
      <c r="AL58" s="75">
        <f t="shared" si="59"/>
        <v>934.18002992812239</v>
      </c>
      <c r="AM58" s="75">
        <f t="shared" si="59"/>
        <v>1016.1672550649573</v>
      </c>
      <c r="AN58" s="7"/>
      <c r="AO58" s="76"/>
      <c r="AP58" s="76"/>
    </row>
    <row r="59" spans="1:42">
      <c r="D59" s="70" t="s">
        <v>128</v>
      </c>
      <c r="G59" s="178"/>
      <c r="H59" s="178"/>
      <c r="I59" s="178"/>
      <c r="J59" s="178"/>
      <c r="K59" s="178"/>
      <c r="L59" s="69"/>
      <c r="M59" s="69"/>
      <c r="N59" s="69"/>
      <c r="O59" s="69"/>
      <c r="P59" s="69"/>
      <c r="Q59" s="69"/>
      <c r="R59" s="75"/>
      <c r="S59" s="75"/>
      <c r="T59" s="75"/>
      <c r="U59" s="80">
        <v>3.4000000000000002E-2</v>
      </c>
      <c r="V59" s="80">
        <v>1.677</v>
      </c>
      <c r="W59" s="80">
        <v>12.996</v>
      </c>
      <c r="X59" s="80">
        <v>33.44</v>
      </c>
      <c r="Y59" s="80">
        <v>96.837999999999994</v>
      </c>
      <c r="Z59" s="80">
        <v>251.709</v>
      </c>
      <c r="AA59" s="80">
        <v>400.73399999999998</v>
      </c>
      <c r="AB59" s="75">
        <f>+AB124</f>
        <v>722.9137344781152</v>
      </c>
      <c r="AC59" s="75">
        <f t="shared" ref="AC59:AM59" si="60">+AC124</f>
        <v>1072.0414120819501</v>
      </c>
      <c r="AD59" s="75">
        <f t="shared" si="60"/>
        <v>1408.0827329756503</v>
      </c>
      <c r="AE59" s="75">
        <f t="shared" si="60"/>
        <v>1743.9879334091047</v>
      </c>
      <c r="AF59" s="75">
        <f t="shared" si="60"/>
        <v>2075.049116560428</v>
      </c>
      <c r="AG59" s="75">
        <f t="shared" ca="1" si="60"/>
        <v>2384.7304968289336</v>
      </c>
      <c r="AH59" s="75">
        <f t="shared" ca="1" si="60"/>
        <v>2708.4138504637867</v>
      </c>
      <c r="AI59" s="75">
        <f t="shared" ca="1" si="60"/>
        <v>3021.9377544930694</v>
      </c>
      <c r="AJ59" s="75">
        <f t="shared" ca="1" si="60"/>
        <v>3342.6566574476078</v>
      </c>
      <c r="AK59" s="75">
        <f t="shared" ca="1" si="60"/>
        <v>3670.5634685548334</v>
      </c>
      <c r="AL59" s="75">
        <f t="shared" ca="1" si="60"/>
        <v>3907.0282241994382</v>
      </c>
      <c r="AM59" s="75">
        <f t="shared" ca="1" si="60"/>
        <v>4155.7878123613546</v>
      </c>
      <c r="AN59" s="7"/>
      <c r="AO59" s="76"/>
      <c r="AP59" s="76"/>
    </row>
    <row r="60" spans="1:42">
      <c r="D60" s="2" t="s">
        <v>251</v>
      </c>
      <c r="E60" s="219"/>
      <c r="F60" s="219"/>
      <c r="G60" s="220"/>
      <c r="H60" s="220"/>
      <c r="I60" s="220"/>
      <c r="J60" s="220"/>
      <c r="K60" s="220"/>
      <c r="L60" s="221"/>
      <c r="M60" s="221"/>
      <c r="N60" s="221"/>
      <c r="O60" s="221"/>
      <c r="P60" s="221"/>
      <c r="Q60" s="221"/>
      <c r="R60" s="221"/>
      <c r="S60" s="221"/>
      <c r="T60" s="221"/>
      <c r="U60" s="177">
        <f t="shared" ref="U60" si="61">SUM(U57:U59)</f>
        <v>-0.42400000000000004</v>
      </c>
      <c r="V60" s="177">
        <f t="shared" ref="V60" si="62">SUM(V57:V59)</f>
        <v>1.3460000000000001</v>
      </c>
      <c r="W60" s="177">
        <f t="shared" ref="W60" si="63">SUM(W57:W59)</f>
        <v>19.196999999999999</v>
      </c>
      <c r="X60" s="177">
        <f t="shared" ref="X60" si="64">SUM(X57:X59)</f>
        <v>68.090999999999994</v>
      </c>
      <c r="Y60" s="177">
        <f t="shared" ref="Y60" si="65">SUM(Y57:Y59)</f>
        <v>196.709</v>
      </c>
      <c r="Z60" s="177">
        <f t="shared" ref="Z60" si="66">SUM(Z57:Z59)</f>
        <v>506.41399999999999</v>
      </c>
      <c r="AA60" s="177">
        <f>SUM(AA57:AA59)</f>
        <v>793.76499999999999</v>
      </c>
      <c r="AB60" s="177">
        <f t="shared" ref="AB60:AM60" si="67">SUM(AB57:AB59)</f>
        <v>1373.0202465368848</v>
      </c>
      <c r="AC60" s="177">
        <f t="shared" si="67"/>
        <v>2091.4602674847761</v>
      </c>
      <c r="AD60" s="177">
        <f t="shared" ca="1" si="67"/>
        <v>2770.3084614448435</v>
      </c>
      <c r="AE60" s="177">
        <f t="shared" ca="1" si="67"/>
        <v>3487.298436123227</v>
      </c>
      <c r="AF60" s="177">
        <f t="shared" ca="1" si="67"/>
        <v>4247.5783666612406</v>
      </c>
      <c r="AG60" s="177">
        <f t="shared" ca="1" si="67"/>
        <v>5000.1020452556149</v>
      </c>
      <c r="AH60" s="177">
        <f t="shared" ca="1" si="67"/>
        <v>5818.7493775014127</v>
      </c>
      <c r="AI60" s="177">
        <f t="shared" ca="1" si="67"/>
        <v>6656.0018184680021</v>
      </c>
      <c r="AJ60" s="177">
        <f t="shared" ca="1" si="67"/>
        <v>7537.9516201665974</v>
      </c>
      <c r="AK60" s="177">
        <f t="shared" ca="1" si="67"/>
        <v>8482.4579928308431</v>
      </c>
      <c r="AL60" s="177">
        <f t="shared" ca="1" si="67"/>
        <v>9159.1456567616042</v>
      </c>
      <c r="AM60" s="177">
        <f t="shared" ca="1" si="67"/>
        <v>9888.502861384517</v>
      </c>
      <c r="AN60" s="7"/>
    </row>
    <row r="61" spans="1:42">
      <c r="D61" s="85"/>
      <c r="E61" s="63"/>
      <c r="F61" s="63"/>
      <c r="G61" s="199"/>
      <c r="H61" s="199"/>
      <c r="I61" s="199"/>
      <c r="J61" s="199"/>
      <c r="K61" s="199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7"/>
    </row>
    <row r="62" spans="1:42">
      <c r="D62" s="70" t="s">
        <v>248</v>
      </c>
      <c r="G62" s="178"/>
      <c r="H62" s="178"/>
      <c r="I62" s="178"/>
      <c r="J62" s="178"/>
      <c r="K62" s="178"/>
      <c r="L62" s="69"/>
      <c r="M62" s="69"/>
      <c r="N62" s="69"/>
      <c r="O62" s="69"/>
      <c r="P62" s="69"/>
      <c r="Q62" s="69"/>
      <c r="R62" s="75"/>
      <c r="S62" s="75"/>
      <c r="T62" s="75"/>
      <c r="U62" s="41">
        <f t="shared" ref="U62" si="68">+U57/U52</f>
        <v>-1.0918464119835616E-2</v>
      </c>
      <c r="V62" s="41">
        <f t="shared" ref="V62:Z64" si="69">+V57/V52</f>
        <v>-1.6963799891175624E-3</v>
      </c>
      <c r="W62" s="41">
        <f t="shared" si="69"/>
        <v>1.7380675986654541E-2</v>
      </c>
      <c r="X62" s="41">
        <f t="shared" si="69"/>
        <v>4.1166247341309928E-2</v>
      </c>
      <c r="Y62" s="41">
        <f>+Y57/Y52</f>
        <v>5.283844384875451E-2</v>
      </c>
      <c r="Z62" s="41">
        <f t="shared" si="69"/>
        <v>6.9536025979060404E-2</v>
      </c>
      <c r="AA62" s="41">
        <f>+AA57/AA52</f>
        <v>7.5800822470597037E-2</v>
      </c>
      <c r="AB62" s="41">
        <f t="shared" ref="AB62:AM62" si="70">+AB57/AB52</f>
        <v>7.1201230548246411E-2</v>
      </c>
      <c r="AC62" s="41">
        <f t="shared" si="70"/>
        <v>7.7856724761750928E-2</v>
      </c>
      <c r="AD62" s="41">
        <f t="shared" si="70"/>
        <v>8.0740307160334299E-2</v>
      </c>
      <c r="AE62" s="41">
        <f t="shared" si="70"/>
        <v>8.3730688907013351E-2</v>
      </c>
      <c r="AF62" s="41">
        <f t="shared" si="70"/>
        <v>8.6831825533199042E-2</v>
      </c>
      <c r="AG62" s="41">
        <f t="shared" ca="1" si="70"/>
        <v>9.0047819071465696E-2</v>
      </c>
      <c r="AH62" s="41">
        <f t="shared" ca="1" si="70"/>
        <v>9.3382923481519983E-2</v>
      </c>
      <c r="AI62" s="41">
        <f t="shared" ca="1" si="70"/>
        <v>9.5919249798302006E-2</v>
      </c>
      <c r="AJ62" s="41">
        <f t="shared" ca="1" si="70"/>
        <v>9.8050788682708709E-2</v>
      </c>
      <c r="AK62" s="41">
        <f t="shared" si="70"/>
        <v>0.10022969509788002</v>
      </c>
      <c r="AL62" s="41">
        <f t="shared" si="70"/>
        <v>0.10196206019833719</v>
      </c>
      <c r="AM62" s="41">
        <f t="shared" si="70"/>
        <v>0.1037243674116418</v>
      </c>
      <c r="AN62" s="7"/>
      <c r="AO62" s="76"/>
      <c r="AP62" s="76"/>
    </row>
    <row r="63" spans="1:42">
      <c r="D63" s="70" t="s">
        <v>249</v>
      </c>
      <c r="G63" s="178"/>
      <c r="H63" s="178"/>
      <c r="I63" s="178"/>
      <c r="J63" s="178"/>
      <c r="K63" s="178"/>
      <c r="L63" s="69"/>
      <c r="M63" s="69"/>
      <c r="N63" s="69"/>
      <c r="O63" s="69"/>
      <c r="P63" s="69"/>
      <c r="Q63" s="69"/>
      <c r="R63" s="75"/>
      <c r="S63" s="75"/>
      <c r="T63" s="75"/>
      <c r="U63" s="41">
        <f t="shared" ref="U63" si="71">+U58/U53</f>
        <v>-1.7241379310344827E-2</v>
      </c>
      <c r="V63" s="41">
        <f t="shared" si="69"/>
        <v>-3.1792679668714935E-2</v>
      </c>
      <c r="W63" s="41">
        <f t="shared" si="69"/>
        <v>2.528780871789826E-2</v>
      </c>
      <c r="X63" s="41">
        <f t="shared" si="69"/>
        <v>6.470505716490145E-2</v>
      </c>
      <c r="Y63" s="41">
        <f>+Y58/Y53</f>
        <v>7.5451185040226132E-2</v>
      </c>
      <c r="Z63" s="41">
        <f t="shared" si="69"/>
        <v>6.2970409513203235E-2</v>
      </c>
      <c r="AA63" s="41">
        <f>+AA58/AA53</f>
        <v>7.5667735762606797E-2</v>
      </c>
      <c r="AB63" s="41">
        <f t="shared" ref="AB63:AM63" si="72">+AB58/AB53</f>
        <v>0.08</v>
      </c>
      <c r="AC63" s="41">
        <f t="shared" si="72"/>
        <v>9.5000000000000001E-2</v>
      </c>
      <c r="AD63" s="41">
        <f t="shared" ca="1" si="72"/>
        <v>0.10499999999999998</v>
      </c>
      <c r="AE63" s="41">
        <f t="shared" ca="1" si="72"/>
        <v>0.11142857142857145</v>
      </c>
      <c r="AF63" s="41">
        <f t="shared" ca="1" si="72"/>
        <v>0.11785714285714288</v>
      </c>
      <c r="AG63" s="41">
        <f t="shared" ca="1" si="72"/>
        <v>0.12428571428571432</v>
      </c>
      <c r="AH63" s="41">
        <f t="shared" ca="1" si="72"/>
        <v>0.13071428571428576</v>
      </c>
      <c r="AI63" s="41">
        <f t="shared" ca="1" si="72"/>
        <v>0.13714285714285715</v>
      </c>
      <c r="AJ63" s="41">
        <f t="shared" ca="1" si="72"/>
        <v>0.14357142857142857</v>
      </c>
      <c r="AK63" s="41">
        <f t="shared" si="72"/>
        <v>0.15000000000000002</v>
      </c>
      <c r="AL63" s="41">
        <f t="shared" si="72"/>
        <v>0.15000000000000002</v>
      </c>
      <c r="AM63" s="41">
        <f t="shared" si="72"/>
        <v>0.15</v>
      </c>
      <c r="AN63" s="7"/>
      <c r="AO63" s="76"/>
      <c r="AP63" s="76"/>
    </row>
    <row r="64" spans="1:42">
      <c r="D64" s="70" t="s">
        <v>128</v>
      </c>
      <c r="G64" s="178"/>
      <c r="H64" s="178"/>
      <c r="I64" s="178"/>
      <c r="J64" s="178"/>
      <c r="K64" s="178"/>
      <c r="L64" s="69"/>
      <c r="M64" s="69"/>
      <c r="N64" s="69"/>
      <c r="O64" s="69"/>
      <c r="P64" s="69"/>
      <c r="Q64" s="69"/>
      <c r="R64" s="75"/>
      <c r="S64" s="75"/>
      <c r="T64" s="75"/>
      <c r="U64" s="41">
        <f t="shared" ref="U64" si="73">+U59/U54</f>
        <v>1</v>
      </c>
      <c r="V64" s="41">
        <f t="shared" si="69"/>
        <v>1</v>
      </c>
      <c r="W64" s="41">
        <f t="shared" si="69"/>
        <v>1</v>
      </c>
      <c r="X64" s="41">
        <f t="shared" si="69"/>
        <v>0.9999700965880205</v>
      </c>
      <c r="Y64" s="41">
        <f>+Y59/Y54</f>
        <v>1</v>
      </c>
      <c r="Z64" s="41">
        <f t="shared" si="69"/>
        <v>1</v>
      </c>
      <c r="AA64" s="41">
        <f>+AA59/AA54</f>
        <v>1</v>
      </c>
      <c r="AB64" s="41">
        <f t="shared" ref="AB64:AM64" si="74">+AB59/AB54</f>
        <v>1</v>
      </c>
      <c r="AC64" s="41">
        <f t="shared" si="74"/>
        <v>1</v>
      </c>
      <c r="AD64" s="41">
        <f t="shared" si="74"/>
        <v>1</v>
      </c>
      <c r="AE64" s="41">
        <f t="shared" si="74"/>
        <v>1</v>
      </c>
      <c r="AF64" s="41">
        <f t="shared" si="74"/>
        <v>1</v>
      </c>
      <c r="AG64" s="41">
        <f t="shared" ca="1" si="74"/>
        <v>1</v>
      </c>
      <c r="AH64" s="41">
        <f t="shared" ca="1" si="74"/>
        <v>1</v>
      </c>
      <c r="AI64" s="41">
        <f t="shared" ca="1" si="74"/>
        <v>1</v>
      </c>
      <c r="AJ64" s="41">
        <f t="shared" ca="1" si="74"/>
        <v>1</v>
      </c>
      <c r="AK64" s="41">
        <f t="shared" ca="1" si="74"/>
        <v>1</v>
      </c>
      <c r="AL64" s="41">
        <f t="shared" ca="1" si="74"/>
        <v>1</v>
      </c>
      <c r="AM64" s="41">
        <f t="shared" ca="1" si="74"/>
        <v>1</v>
      </c>
      <c r="AN64" s="7"/>
      <c r="AO64" s="76"/>
      <c r="AP64" s="76"/>
    </row>
    <row r="65" spans="2:42">
      <c r="D65" s="2" t="s">
        <v>251</v>
      </c>
      <c r="E65" s="219"/>
      <c r="F65" s="219"/>
      <c r="G65" s="220"/>
      <c r="H65" s="220"/>
      <c r="I65" s="220"/>
      <c r="J65" s="220"/>
      <c r="K65" s="220"/>
      <c r="L65" s="221"/>
      <c r="M65" s="221"/>
      <c r="N65" s="221"/>
      <c r="O65" s="221"/>
      <c r="P65" s="221"/>
      <c r="Q65" s="221"/>
      <c r="R65" s="221"/>
      <c r="S65" s="221"/>
      <c r="T65" s="221"/>
      <c r="U65" s="224">
        <f t="shared" ref="U65" si="75">+U60/U55</f>
        <v>-1.0172988795316588E-2</v>
      </c>
      <c r="V65" s="224">
        <f t="shared" ref="V65:Z65" si="76">+V60/V55</f>
        <v>1.0322719185226089E-2</v>
      </c>
      <c r="W65" s="224">
        <f t="shared" si="76"/>
        <v>5.2573203194321211E-2</v>
      </c>
      <c r="X65" s="224">
        <f t="shared" si="76"/>
        <v>7.9279751301128215E-2</v>
      </c>
      <c r="Y65" s="224">
        <f>+Y60/Y55</f>
        <v>0.10059438487072397</v>
      </c>
      <c r="Z65" s="224">
        <f t="shared" si="76"/>
        <v>0.1285348648796821</v>
      </c>
      <c r="AA65" s="224">
        <f>+AA60/AA55</f>
        <v>0.14208462624170665</v>
      </c>
      <c r="AB65" s="224">
        <f t="shared" ref="AB65:AM65" si="77">+AB60/AB55</f>
        <v>0.141026483908993</v>
      </c>
      <c r="AC65" s="224">
        <f t="shared" si="77"/>
        <v>0.15062161721696579</v>
      </c>
      <c r="AD65" s="224">
        <f t="shared" ca="1" si="77"/>
        <v>0.15571946099236053</v>
      </c>
      <c r="AE65" s="224">
        <f t="shared" ca="1" si="77"/>
        <v>0.159314503277424</v>
      </c>
      <c r="AF65" s="224">
        <f t="shared" ca="1" si="77"/>
        <v>0.16215376779958257</v>
      </c>
      <c r="AG65" s="224">
        <f t="shared" ca="1" si="77"/>
        <v>0.16511330611049402</v>
      </c>
      <c r="AH65" s="224">
        <f t="shared" ca="1" si="77"/>
        <v>0.16823484612985695</v>
      </c>
      <c r="AI65" s="224">
        <f t="shared" ca="1" si="77"/>
        <v>0.17023235737417419</v>
      </c>
      <c r="AJ65" s="224">
        <f t="shared" ca="1" si="77"/>
        <v>0.17192679516702622</v>
      </c>
      <c r="AK65" s="224">
        <f t="shared" ca="1" si="77"/>
        <v>0.17369277741611461</v>
      </c>
      <c r="AL65" s="224">
        <f t="shared" ca="1" si="77"/>
        <v>0.17451520830219311</v>
      </c>
      <c r="AM65" s="224">
        <f t="shared" ca="1" si="77"/>
        <v>0.1753213127032977</v>
      </c>
      <c r="AN65" s="7"/>
    </row>
    <row r="66" spans="2:42">
      <c r="D66" s="85"/>
      <c r="E66" s="63"/>
      <c r="F66" s="63"/>
      <c r="G66" s="199"/>
      <c r="H66" s="199"/>
      <c r="I66" s="199"/>
      <c r="J66" s="199"/>
      <c r="K66" s="199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7"/>
    </row>
    <row r="67" spans="2:42">
      <c r="D67" s="85"/>
      <c r="E67" s="63"/>
      <c r="F67" s="63"/>
      <c r="G67" s="199"/>
      <c r="H67" s="199"/>
      <c r="I67" s="199"/>
      <c r="J67" s="199"/>
      <c r="K67" s="199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7"/>
    </row>
    <row r="68" spans="2:42">
      <c r="B68"/>
      <c r="D68" s="202" t="s">
        <v>248</v>
      </c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8"/>
      <c r="S68" s="198"/>
      <c r="T68" s="198"/>
      <c r="U68" s="198"/>
      <c r="V68" s="251"/>
      <c r="W68" s="251"/>
      <c r="X68" s="251"/>
      <c r="Y68" s="251"/>
      <c r="Z68" s="251"/>
      <c r="AA68" s="251"/>
      <c r="AB68" s="203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</row>
    <row r="69" spans="2:42">
      <c r="B69"/>
      <c r="D69" t="s">
        <v>252</v>
      </c>
      <c r="S69" s="100"/>
      <c r="T69" s="100"/>
      <c r="U69" s="80">
        <v>2.105</v>
      </c>
      <c r="V69" s="80">
        <v>6.5229999999999997</v>
      </c>
      <c r="W69" s="80">
        <v>18.760999999999999</v>
      </c>
      <c r="X69" s="80">
        <v>44.252000000000002</v>
      </c>
      <c r="Y69" s="80">
        <v>94.108000000000004</v>
      </c>
      <c r="Z69" s="80">
        <v>177.54900000000001</v>
      </c>
      <c r="AA69" s="80">
        <v>244.11099999999999</v>
      </c>
      <c r="AB69" s="69">
        <f>+AB80*AB82*1000</f>
        <v>410.00000000000006</v>
      </c>
      <c r="AC69" s="69">
        <f t="shared" ref="AC69:AM69" si="78">+AC80*AC82*1000</f>
        <v>579.74</v>
      </c>
      <c r="AD69" s="69">
        <f t="shared" si="78"/>
        <v>731.9217500000002</v>
      </c>
      <c r="AE69" s="69">
        <f t="shared" si="78"/>
        <v>887.0891610000001</v>
      </c>
      <c r="AF69" s="69">
        <f t="shared" si="78"/>
        <v>1045.2867280450002</v>
      </c>
      <c r="AG69" s="69">
        <f t="shared" ca="1" si="78"/>
        <v>1189.3229726931602</v>
      </c>
      <c r="AH69" s="69">
        <f t="shared" ca="1" si="78"/>
        <v>1336.1354135614788</v>
      </c>
      <c r="AI69" s="69">
        <f t="shared" ca="1" si="78"/>
        <v>1485.7651709498946</v>
      </c>
      <c r="AJ69" s="69">
        <f t="shared" ca="1" si="78"/>
        <v>1638.2539099447224</v>
      </c>
      <c r="AK69" s="69">
        <f t="shared" si="78"/>
        <v>1793.6438472023519</v>
      </c>
      <c r="AL69" s="69">
        <f t="shared" si="78"/>
        <v>1902.1592999580946</v>
      </c>
      <c r="AM69" s="69">
        <f t="shared" si="78"/>
        <v>2017.2399376055594</v>
      </c>
      <c r="AO69" s="332">
        <f>IFERROR((AK69/AA69)^(1/10)-1,"na")</f>
        <v>0.22071670071582905</v>
      </c>
      <c r="AP69" s="264">
        <f>(AA69/V69)^(1/5)-1</f>
        <v>1.0636117605420812</v>
      </c>
    </row>
    <row r="70" spans="2:42">
      <c r="B70"/>
      <c r="D70" s="85" t="s">
        <v>319</v>
      </c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>
        <f t="shared" ref="V70" si="79">+V69/U69-1</f>
        <v>2.098812351543943</v>
      </c>
      <c r="W70" s="90">
        <f t="shared" ref="W70" si="80">+W69/V69-1</f>
        <v>1.8761306147478156</v>
      </c>
      <c r="X70" s="90">
        <f t="shared" ref="X70" si="81">+X69/W69-1</f>
        <v>1.358722882575556</v>
      </c>
      <c r="Y70" s="90">
        <f t="shared" ref="Y70" si="82">+Y69/X69-1</f>
        <v>1.1266383440296481</v>
      </c>
      <c r="Z70" s="90">
        <f t="shared" ref="Z70" si="83">+Z69/Y69-1</f>
        <v>0.88665150677944493</v>
      </c>
      <c r="AA70" s="90">
        <f t="shared" ref="AA70" si="84">+AA69/Z69-1</f>
        <v>0.37489369131901595</v>
      </c>
      <c r="AB70" s="90">
        <f t="shared" ref="AB70" si="85">+AB69/AA69-1</f>
        <v>0.67956380499035296</v>
      </c>
      <c r="AC70" s="90">
        <f t="shared" ref="AC70" si="86">+AC69/AB69-1</f>
        <v>0.41399999999999992</v>
      </c>
      <c r="AD70" s="90">
        <f t="shared" ref="AD70" si="87">+AD69/AC69-1</f>
        <v>0.2625000000000004</v>
      </c>
      <c r="AE70" s="90">
        <f t="shared" ref="AE70" si="88">+AE69/AD69-1</f>
        <v>0.21199999999999974</v>
      </c>
      <c r="AF70" s="90">
        <f t="shared" ref="AF70" si="89">+AF69/AE69-1</f>
        <v>0.17833333333333345</v>
      </c>
      <c r="AG70" s="90">
        <f t="shared" ref="AG70" ca="1" si="90">+AG69/AF69-1</f>
        <v>0.13779591836734695</v>
      </c>
      <c r="AH70" s="90">
        <f t="shared" ref="AH70" ca="1" si="91">+AH69/AG69-1</f>
        <v>0.12344202898550716</v>
      </c>
      <c r="AI70" s="90">
        <f t="shared" ref="AI70" ca="1" si="92">+AI69/AH69-1</f>
        <v>0.11198697068403907</v>
      </c>
      <c r="AJ70" s="90">
        <f t="shared" ref="AJ70" ca="1" si="93">+AJ69/AI69-1</f>
        <v>0.10263313609467439</v>
      </c>
      <c r="AK70" s="90">
        <f t="shared" ref="AK70" ca="1" si="94">+AK69/AJ69-1</f>
        <v>9.4850948509485056E-2</v>
      </c>
      <c r="AL70" s="90">
        <f t="shared" ref="AL70" si="95">+AL69/AK69-1</f>
        <v>6.050000000000022E-2</v>
      </c>
      <c r="AM70" s="90">
        <f t="shared" ref="AM70" si="96">+AM69/AL69-1</f>
        <v>6.0499999999999998E-2</v>
      </c>
      <c r="AO70" s="20"/>
      <c r="AP70" s="24"/>
    </row>
    <row r="71" spans="2:42">
      <c r="B71"/>
      <c r="D71" t="s">
        <v>253</v>
      </c>
      <c r="P71" s="74"/>
      <c r="Q71" s="74"/>
      <c r="R71" s="74"/>
      <c r="S71" s="90"/>
      <c r="T71" s="90"/>
      <c r="U71" s="258">
        <f t="shared" ref="U71:Z71" si="97">+U52/U69*1000</f>
        <v>19535.866983372918</v>
      </c>
      <c r="V71" s="258">
        <f t="shared" si="97"/>
        <v>19158.669323930706</v>
      </c>
      <c r="W71" s="258">
        <f t="shared" si="97"/>
        <v>18228.71915143116</v>
      </c>
      <c r="X71" s="258">
        <f t="shared" si="97"/>
        <v>18008.564584651536</v>
      </c>
      <c r="Y71" s="258">
        <f t="shared" si="97"/>
        <v>18968.047349853361</v>
      </c>
      <c r="Z71" s="258">
        <f t="shared" si="97"/>
        <v>19265.673138119615</v>
      </c>
      <c r="AA71" s="258">
        <f>+AA52/AA69*1000</f>
        <v>19419.833600288395</v>
      </c>
      <c r="AB71" s="259">
        <f>+AA71*(1+AB72)</f>
        <v>19662.581520291998</v>
      </c>
      <c r="AC71" s="259">
        <f t="shared" ref="AC71" si="98">+AB71*(1+AC72)</f>
        <v>19908.363789295647</v>
      </c>
      <c r="AD71" s="259">
        <f t="shared" ref="AD71" si="99">+AC71*(1+AD72)</f>
        <v>20157.218336661841</v>
      </c>
      <c r="AE71" s="259">
        <f t="shared" ref="AE71" si="100">+AD71*(1+AE72)</f>
        <v>20409.183565870113</v>
      </c>
      <c r="AF71" s="259">
        <f t="shared" ref="AF71" si="101">+AE71*(1+AF72)</f>
        <v>20664.298360443488</v>
      </c>
      <c r="AG71" s="259">
        <f t="shared" ref="AG71" si="102">+AF71*(1+AG72)</f>
        <v>20922.602089949032</v>
      </c>
      <c r="AH71" s="259">
        <f t="shared" ref="AH71" si="103">+AG71*(1+AH72)</f>
        <v>21184.134616073396</v>
      </c>
      <c r="AI71" s="259">
        <f t="shared" ref="AI71" si="104">+AH71*(1+AI72)</f>
        <v>21448.936298774312</v>
      </c>
      <c r="AJ71" s="259">
        <f t="shared" ref="AJ71" si="105">+AI71*(1+AJ72)</f>
        <v>21717.048002508989</v>
      </c>
      <c r="AK71" s="259">
        <f t="shared" ref="AK71" si="106">+AJ71*(1+AK72)</f>
        <v>21988.511102540349</v>
      </c>
      <c r="AL71" s="259">
        <f t="shared" ref="AL71" si="107">+AK71*(1+AL72)</f>
        <v>22263.367491322104</v>
      </c>
      <c r="AM71" s="259">
        <f t="shared" ref="AM71" si="108">+AL71*(1+AM72)</f>
        <v>22541.659584963629</v>
      </c>
      <c r="AO71" s="332">
        <f>IFERROR((AK71/AA71)^(1/10)-1,"na")</f>
        <v>1.2499999999999956E-2</v>
      </c>
      <c r="AP71" s="264">
        <f>(AA71/V71)^(1/5)-1</f>
        <v>2.7115847052032738E-3</v>
      </c>
    </row>
    <row r="72" spans="2:42">
      <c r="B72"/>
      <c r="D72" s="85" t="s">
        <v>319</v>
      </c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>
        <f t="shared" ref="V72" si="109">+V71/U71-1</f>
        <v>-1.9307955964444679E-2</v>
      </c>
      <c r="W72" s="90">
        <f t="shared" ref="W72" si="110">+W71/V71-1</f>
        <v>-4.8539392625664424E-2</v>
      </c>
      <c r="X72" s="90">
        <f t="shared" ref="X72" si="111">+X71/W71-1</f>
        <v>-1.2077347012191986E-2</v>
      </c>
      <c r="Y72" s="90">
        <f t="shared" ref="Y72" si="112">+Y71/X71-1</f>
        <v>5.3279247254363504E-2</v>
      </c>
      <c r="Z72" s="90">
        <f t="shared" ref="Z72" si="113">+Z71/Y71-1</f>
        <v>1.5690902852399047E-2</v>
      </c>
      <c r="AA72" s="90">
        <f t="shared" ref="AA72" si="114">+AA71/Z71-1</f>
        <v>8.0018207027374721E-3</v>
      </c>
      <c r="AB72" s="255">
        <v>1.2500000000000001E-2</v>
      </c>
      <c r="AC72" s="255">
        <v>1.2500000000000001E-2</v>
      </c>
      <c r="AD72" s="255">
        <v>1.2500000000000001E-2</v>
      </c>
      <c r="AE72" s="255">
        <v>1.2500000000000001E-2</v>
      </c>
      <c r="AF72" s="255">
        <v>1.2500000000000001E-2</v>
      </c>
      <c r="AG72" s="255">
        <v>1.2500000000000001E-2</v>
      </c>
      <c r="AH72" s="255">
        <v>1.2500000000000001E-2</v>
      </c>
      <c r="AI72" s="255">
        <v>1.2500000000000001E-2</v>
      </c>
      <c r="AJ72" s="255">
        <v>1.2500000000000001E-2</v>
      </c>
      <c r="AK72" s="255">
        <v>1.2500000000000001E-2</v>
      </c>
      <c r="AL72" s="255">
        <v>1.2500000000000001E-2</v>
      </c>
      <c r="AM72" s="255">
        <v>1.2500000000000001E-2</v>
      </c>
      <c r="AO72" s="24"/>
      <c r="AP72" s="24"/>
    </row>
    <row r="73" spans="2:42">
      <c r="B73"/>
      <c r="D73" t="s">
        <v>254</v>
      </c>
      <c r="P73" s="74"/>
      <c r="Q73" s="74"/>
      <c r="R73" s="74"/>
      <c r="S73" s="90"/>
      <c r="T73" s="90"/>
      <c r="U73" s="258">
        <f t="shared" ref="U73:AA73" si="115">+U57/U69*1000</f>
        <v>-213.30166270783849</v>
      </c>
      <c r="V73" s="258">
        <f t="shared" si="115"/>
        <v>-32.50038325923655</v>
      </c>
      <c r="W73" s="258">
        <f t="shared" si="115"/>
        <v>316.82746122274938</v>
      </c>
      <c r="X73" s="258">
        <f t="shared" si="115"/>
        <v>741.34502395371953</v>
      </c>
      <c r="Y73" s="258">
        <f t="shared" si="115"/>
        <v>1002.2421048157435</v>
      </c>
      <c r="Z73" s="258">
        <f t="shared" si="115"/>
        <v>1339.6583478363718</v>
      </c>
      <c r="AA73" s="258">
        <f t="shared" si="115"/>
        <v>1472.0393591439961</v>
      </c>
      <c r="AB73" s="341">
        <v>1400</v>
      </c>
      <c r="AC73" s="341">
        <v>1550</v>
      </c>
      <c r="AD73" s="341">
        <f>+AC73*1.05</f>
        <v>1627.5</v>
      </c>
      <c r="AE73" s="341">
        <f>+AD73*1.05</f>
        <v>1708.875</v>
      </c>
      <c r="AF73" s="341">
        <f>+AE73*1.05</f>
        <v>1794.3187500000001</v>
      </c>
      <c r="AG73" s="341">
        <f>+AF73*1.05</f>
        <v>1884.0346875000002</v>
      </c>
      <c r="AH73" s="341">
        <f>+AG73*1.05</f>
        <v>1978.2364218750004</v>
      </c>
      <c r="AI73" s="341">
        <f>+AH73*1.04</f>
        <v>2057.3658787500003</v>
      </c>
      <c r="AJ73" s="341">
        <f t="shared" ref="AJ73:AK73" si="116">+AI73*1.035</f>
        <v>2129.3736845062504</v>
      </c>
      <c r="AK73" s="341">
        <f t="shared" si="116"/>
        <v>2203.901763463969</v>
      </c>
      <c r="AL73" s="341">
        <f>+AK73*1.03</f>
        <v>2270.0188163678881</v>
      </c>
      <c r="AM73" s="341">
        <f>+AL73*1.03</f>
        <v>2338.1193808589246</v>
      </c>
      <c r="AO73" s="332">
        <f>IFERROR((AK73/AA73)^(1/10)-1,"na")</f>
        <v>4.1183509447290323E-2</v>
      </c>
      <c r="AP73" s="264">
        <f>(AA73/V73)^(1/5)-1</f>
        <v>-3.1439082128564744</v>
      </c>
    </row>
    <row r="74" spans="2:42">
      <c r="B74"/>
      <c r="D74" t="s">
        <v>315</v>
      </c>
      <c r="P74" s="74"/>
      <c r="Q74" s="74"/>
      <c r="R74" s="74"/>
      <c r="S74" s="90"/>
      <c r="T74" s="90"/>
      <c r="U74" s="74">
        <f t="shared" ref="U74:AA74" si="117">+U73/U71</f>
        <v>-1.0918464119835618E-2</v>
      </c>
      <c r="V74" s="74">
        <f t="shared" si="117"/>
        <v>-1.6963799891175624E-3</v>
      </c>
      <c r="W74" s="74">
        <f t="shared" si="117"/>
        <v>1.7380675986654544E-2</v>
      </c>
      <c r="X74" s="74">
        <f t="shared" si="117"/>
        <v>4.1166247341309935E-2</v>
      </c>
      <c r="Y74" s="74">
        <f t="shared" si="117"/>
        <v>5.2838443848754503E-2</v>
      </c>
      <c r="Z74" s="74">
        <f t="shared" si="117"/>
        <v>6.9536025979060404E-2</v>
      </c>
      <c r="AA74" s="74">
        <f t="shared" si="117"/>
        <v>7.5800822470597037E-2</v>
      </c>
      <c r="AB74" s="74">
        <f t="shared" ref="AB74:AM74" si="118">+AB73/AB71</f>
        <v>7.1201230548246411E-2</v>
      </c>
      <c r="AC74" s="74">
        <f t="shared" si="118"/>
        <v>7.7856724761750928E-2</v>
      </c>
      <c r="AD74" s="74">
        <f t="shared" si="118"/>
        <v>8.0740307160334299E-2</v>
      </c>
      <c r="AE74" s="74">
        <f t="shared" si="118"/>
        <v>8.3730688907013365E-2</v>
      </c>
      <c r="AF74" s="74">
        <f t="shared" si="118"/>
        <v>8.6831825533199042E-2</v>
      </c>
      <c r="AG74" s="74">
        <f t="shared" si="118"/>
        <v>9.0047819071465682E-2</v>
      </c>
      <c r="AH74" s="74">
        <f t="shared" si="118"/>
        <v>9.3382923481519969E-2</v>
      </c>
      <c r="AI74" s="74">
        <f t="shared" si="118"/>
        <v>9.5919249798302006E-2</v>
      </c>
      <c r="AJ74" s="74">
        <f t="shared" si="118"/>
        <v>9.8050788682708723E-2</v>
      </c>
      <c r="AK74" s="74">
        <f t="shared" si="118"/>
        <v>0.10022969509788003</v>
      </c>
      <c r="AL74" s="74">
        <f t="shared" si="118"/>
        <v>0.10196206019833721</v>
      </c>
      <c r="AM74" s="74">
        <f t="shared" si="118"/>
        <v>0.1037243674116418</v>
      </c>
      <c r="AO74" s="24"/>
      <c r="AP74" s="24"/>
    </row>
    <row r="75" spans="2:42">
      <c r="B75"/>
      <c r="P75" s="74"/>
      <c r="Q75" s="74"/>
      <c r="R75" s="74"/>
      <c r="S75" s="90"/>
      <c r="T75" s="90"/>
      <c r="U75" s="90"/>
      <c r="V75" s="90"/>
      <c r="W75" s="90"/>
      <c r="X75" s="90"/>
      <c r="Y75" s="90"/>
      <c r="Z75" s="90"/>
      <c r="AA75" s="90"/>
      <c r="AB75" s="80"/>
      <c r="AC75" s="80"/>
      <c r="AD75" s="80"/>
      <c r="AE75" s="90"/>
      <c r="AF75" s="90"/>
      <c r="AG75" s="90"/>
      <c r="AH75" s="90"/>
      <c r="AI75" s="90"/>
      <c r="AJ75" s="90"/>
      <c r="AK75" s="90"/>
      <c r="AL75" s="90"/>
      <c r="AM75" s="90"/>
      <c r="AO75" s="24"/>
      <c r="AP75" s="24"/>
    </row>
    <row r="76" spans="2:42">
      <c r="B76"/>
      <c r="D76" t="s">
        <v>312</v>
      </c>
      <c r="P76" s="74"/>
      <c r="Q76" s="74"/>
      <c r="R76" s="74"/>
      <c r="S76" s="90"/>
      <c r="T76" s="80"/>
      <c r="U76" s="80">
        <f>(350-SUM(Y76:AA76))*0.0125</f>
        <v>0.15000000000000002</v>
      </c>
      <c r="V76" s="80">
        <f>(350-SUM(Y76:AA76))*0.095</f>
        <v>1.1400000000000001</v>
      </c>
      <c r="W76" s="80">
        <f>(350-SUM(Y76:AA76))*0.24</f>
        <v>2.88</v>
      </c>
      <c r="X76" s="80">
        <f>(350-SUM(Y76:AA76))*0.67</f>
        <v>8.0400000000000009</v>
      </c>
      <c r="Y76" s="80">
        <v>31</v>
      </c>
      <c r="Z76" s="80">
        <v>104</v>
      </c>
      <c r="AA76" s="80">
        <v>203</v>
      </c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O76" s="24"/>
      <c r="AP76" s="24"/>
    </row>
    <row r="77" spans="2:42">
      <c r="B77"/>
      <c r="D77" t="s">
        <v>317</v>
      </c>
      <c r="P77" s="74"/>
      <c r="Q77" s="74"/>
      <c r="R77" s="74"/>
      <c r="S77" s="90"/>
      <c r="T77" s="90"/>
      <c r="U77" s="75">
        <f t="shared" ref="U77:AA77" si="119">+U76-U91</f>
        <v>1.3000000000000012E-2</v>
      </c>
      <c r="V77" s="75">
        <f t="shared" si="119"/>
        <v>7.0000000000000062E-2</v>
      </c>
      <c r="W77" s="75">
        <f t="shared" si="119"/>
        <v>0.22900000000000009</v>
      </c>
      <c r="X77" s="75">
        <f t="shared" si="119"/>
        <v>1.5310000000000006</v>
      </c>
      <c r="Y77" s="75">
        <f t="shared" si="119"/>
        <v>15.875</v>
      </c>
      <c r="Z77" s="75">
        <f t="shared" si="119"/>
        <v>64.10499999999999</v>
      </c>
      <c r="AA77" s="75">
        <f t="shared" si="119"/>
        <v>147.79599999999999</v>
      </c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O77" s="24"/>
      <c r="AP77" s="24"/>
    </row>
    <row r="78" spans="2:42">
      <c r="B78"/>
      <c r="D78" t="s">
        <v>318</v>
      </c>
      <c r="P78" s="74"/>
      <c r="Q78" s="74"/>
      <c r="R78" s="74"/>
      <c r="S78" s="90"/>
      <c r="T78" s="90"/>
      <c r="U78" s="90">
        <f t="shared" ref="U78:AA78" si="120">+U77/U69</f>
        <v>6.1757719714964424E-3</v>
      </c>
      <c r="V78" s="90">
        <f t="shared" si="120"/>
        <v>1.0731258623332832E-2</v>
      </c>
      <c r="W78" s="90">
        <f t="shared" si="120"/>
        <v>1.2206172378871068E-2</v>
      </c>
      <c r="X78" s="90">
        <f t="shared" si="120"/>
        <v>3.4597306336436782E-2</v>
      </c>
      <c r="Y78" s="90">
        <f t="shared" si="120"/>
        <v>0.16868916563947803</v>
      </c>
      <c r="Z78" s="90">
        <f t="shared" si="120"/>
        <v>0.3610552579851195</v>
      </c>
      <c r="AA78" s="90">
        <f t="shared" si="120"/>
        <v>0.60544588322525406</v>
      </c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O78" s="24"/>
      <c r="AP78" s="24"/>
    </row>
    <row r="79" spans="2:42">
      <c r="B79"/>
      <c r="P79" s="74"/>
      <c r="Q79" s="74"/>
      <c r="R79" s="74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O79" s="24"/>
      <c r="AP79" s="24"/>
    </row>
    <row r="80" spans="2:42">
      <c r="B80"/>
      <c r="D80" t="s">
        <v>320</v>
      </c>
      <c r="G80" s="104">
        <v>41.620429000000001</v>
      </c>
      <c r="H80" s="104">
        <v>42.623517999999997</v>
      </c>
      <c r="I80" s="104">
        <v>43.025084999999997</v>
      </c>
      <c r="J80" s="104">
        <v>43.571652</v>
      </c>
      <c r="K80" s="104">
        <v>42.545059999999999</v>
      </c>
      <c r="L80" s="104">
        <v>44.138263000000009</v>
      </c>
      <c r="M80" s="104">
        <v>42.565544000000003</v>
      </c>
      <c r="N80" s="104">
        <v>41.418561000000004</v>
      </c>
      <c r="O80" s="104">
        <v>36.530404000000004</v>
      </c>
      <c r="P80" s="104">
        <v>35.491762000000001</v>
      </c>
      <c r="Q80" s="104">
        <v>36.911180000000002</v>
      </c>
      <c r="R80" s="104">
        <v>36.920833999999999</v>
      </c>
      <c r="S80" s="104">
        <v>37.582715999999998</v>
      </c>
      <c r="T80" s="104">
        <v>35.775754999999997</v>
      </c>
      <c r="U80" s="104">
        <v>36.241800000000005</v>
      </c>
      <c r="V80" s="104">
        <v>37.254854000000002</v>
      </c>
      <c r="W80" s="104">
        <v>38.602466</v>
      </c>
      <c r="X80" s="104">
        <v>39.203694000000006</v>
      </c>
      <c r="Y80" s="104">
        <v>40.232959000000001</v>
      </c>
      <c r="Z80" s="104">
        <v>40.806578999999999</v>
      </c>
      <c r="AA80" s="254">
        <v>37.5</v>
      </c>
      <c r="AB80" s="256">
        <v>41</v>
      </c>
      <c r="AC80" s="253">
        <f t="shared" ref="AC80" si="121">(AB80*(1+AC81))</f>
        <v>41.410000000000004</v>
      </c>
      <c r="AD80" s="253">
        <f t="shared" ref="AD80" si="122">(AC80*(1+AD81))</f>
        <v>41.824100000000001</v>
      </c>
      <c r="AE80" s="253">
        <f t="shared" ref="AE80" si="123">(AD80*(1+AE81))</f>
        <v>42.242341000000003</v>
      </c>
      <c r="AF80" s="253">
        <f t="shared" ref="AF80" si="124">(AE80*(1+AF81))</f>
        <v>42.664764410000004</v>
      </c>
      <c r="AG80" s="253">
        <f t="shared" ref="AG80" si="125">(AF80*(1+AG81))</f>
        <v>43.091412054100005</v>
      </c>
      <c r="AH80" s="253">
        <f t="shared" ref="AH80" si="126">(AG80*(1+AH81))</f>
        <v>43.522326174641002</v>
      </c>
      <c r="AI80" s="253">
        <f t="shared" ref="AI80" si="127">(AH80*(1+AI81))</f>
        <v>43.95754943638741</v>
      </c>
      <c r="AJ80" s="253">
        <f t="shared" ref="AJ80" si="128">(AI80*(1+AJ81))</f>
        <v>44.397124930751282</v>
      </c>
      <c r="AK80" s="253">
        <f t="shared" ref="AK80" si="129">(AJ80*(1+AK81))</f>
        <v>44.841096180058798</v>
      </c>
      <c r="AL80" s="253">
        <f t="shared" ref="AL80" si="130">(AK80*(1+AL81))</f>
        <v>45.289507141859389</v>
      </c>
      <c r="AM80" s="253">
        <f t="shared" ref="AM80" si="131">(AL80*(1+AM81))</f>
        <v>45.742402213277984</v>
      </c>
      <c r="AO80" s="24"/>
      <c r="AP80" s="24"/>
    </row>
    <row r="81" spans="2:42">
      <c r="B81"/>
      <c r="D81" s="85" t="s">
        <v>319</v>
      </c>
      <c r="H81" s="90">
        <f t="shared" ref="H81:R81" si="132">+H80/G80-1</f>
        <v>2.4100880843875849E-2</v>
      </c>
      <c r="I81" s="90">
        <f t="shared" si="132"/>
        <v>9.4212542474789718E-3</v>
      </c>
      <c r="J81" s="90">
        <f t="shared" si="132"/>
        <v>1.2703449627118779E-2</v>
      </c>
      <c r="K81" s="90">
        <f t="shared" si="132"/>
        <v>-2.3561007051098315E-2</v>
      </c>
      <c r="L81" s="90">
        <f t="shared" si="132"/>
        <v>3.7447426328697464E-2</v>
      </c>
      <c r="M81" s="90">
        <f t="shared" si="132"/>
        <v>-3.5631646854793697E-2</v>
      </c>
      <c r="N81" s="90">
        <f t="shared" si="132"/>
        <v>-2.6946278426513204E-2</v>
      </c>
      <c r="O81" s="90">
        <f t="shared" si="132"/>
        <v>-0.11801851348722614</v>
      </c>
      <c r="P81" s="90">
        <f t="shared" si="132"/>
        <v>-2.8432261521115443E-2</v>
      </c>
      <c r="Q81" s="90">
        <f t="shared" si="132"/>
        <v>3.9992886236529968E-2</v>
      </c>
      <c r="R81" s="90">
        <f t="shared" si="132"/>
        <v>2.6154677254952574E-4</v>
      </c>
      <c r="S81" s="90">
        <f>+S80/R80-1</f>
        <v>1.792705982752163E-2</v>
      </c>
      <c r="T81" s="90">
        <f t="shared" ref="T81:AB81" si="133">+T80/S80-1</f>
        <v>-4.8079574664055658E-2</v>
      </c>
      <c r="U81" s="90">
        <f t="shared" si="133"/>
        <v>1.3026838986347267E-2</v>
      </c>
      <c r="V81" s="90">
        <f t="shared" si="133"/>
        <v>2.7952640321396771E-2</v>
      </c>
      <c r="W81" s="90">
        <f t="shared" si="133"/>
        <v>3.6172789725601895E-2</v>
      </c>
      <c r="X81" s="90">
        <f t="shared" si="133"/>
        <v>1.5574859906618554E-2</v>
      </c>
      <c r="Y81" s="90">
        <f t="shared" si="133"/>
        <v>2.6254286139464122E-2</v>
      </c>
      <c r="Z81" s="90">
        <f t="shared" si="133"/>
        <v>1.4257464880969906E-2</v>
      </c>
      <c r="AA81" s="90">
        <f t="shared" si="133"/>
        <v>-8.1030536767122796E-2</v>
      </c>
      <c r="AB81" s="90">
        <f t="shared" si="133"/>
        <v>9.3333333333333268E-2</v>
      </c>
      <c r="AC81" s="255">
        <v>0.01</v>
      </c>
      <c r="AD81" s="255">
        <v>0.01</v>
      </c>
      <c r="AE81" s="255">
        <v>0.01</v>
      </c>
      <c r="AF81" s="255">
        <v>0.01</v>
      </c>
      <c r="AG81" s="255">
        <v>0.01</v>
      </c>
      <c r="AH81" s="255">
        <v>0.01</v>
      </c>
      <c r="AI81" s="255">
        <v>0.01</v>
      </c>
      <c r="AJ81" s="255">
        <v>0.01</v>
      </c>
      <c r="AK81" s="255">
        <v>0.01</v>
      </c>
      <c r="AL81" s="255">
        <v>0.01</v>
      </c>
      <c r="AM81" s="255">
        <v>0.01</v>
      </c>
      <c r="AO81" s="24"/>
      <c r="AP81" s="24"/>
    </row>
    <row r="82" spans="2:42">
      <c r="B82"/>
      <c r="D82" t="s">
        <v>321</v>
      </c>
      <c r="P82" s="74"/>
      <c r="Q82" s="90"/>
      <c r="R82" s="90"/>
      <c r="S82" s="90"/>
      <c r="T82" s="90"/>
      <c r="U82" s="102">
        <f t="shared" ref="U82:AA82" si="134">(U69/1000)/U80</f>
        <v>5.8082104089752711E-5</v>
      </c>
      <c r="V82" s="102">
        <f t="shared" si="134"/>
        <v>1.7509127803856108E-4</v>
      </c>
      <c r="W82" s="102">
        <f t="shared" si="134"/>
        <v>4.8600522049549894E-4</v>
      </c>
      <c r="X82" s="102">
        <f t="shared" si="134"/>
        <v>1.1287711816136508E-3</v>
      </c>
      <c r="Y82" s="102">
        <f t="shared" si="134"/>
        <v>2.3390772724422282E-3</v>
      </c>
      <c r="Z82" s="102">
        <f t="shared" si="134"/>
        <v>4.3509895794009105E-3</v>
      </c>
      <c r="AA82" s="102">
        <f t="shared" si="134"/>
        <v>6.5096266666666664E-3</v>
      </c>
      <c r="AB82" s="257">
        <v>0.01</v>
      </c>
      <c r="AC82" s="257">
        <v>1.4E-2</v>
      </c>
      <c r="AD82" s="257">
        <v>1.7500000000000002E-2</v>
      </c>
      <c r="AE82" s="257">
        <v>2.1000000000000001E-2</v>
      </c>
      <c r="AF82" s="257">
        <v>2.4500000000000001E-2</v>
      </c>
      <c r="AG82" s="257">
        <f t="shared" ref="AG82:AJ82" ca="1" si="135">AVERAGE(AF82,AH82)</f>
        <v>2.7600000000000003E-2</v>
      </c>
      <c r="AH82" s="257">
        <f t="shared" ca="1" si="135"/>
        <v>3.0700000000000005E-2</v>
      </c>
      <c r="AI82" s="257">
        <f t="shared" ca="1" si="135"/>
        <v>3.3800000000000004E-2</v>
      </c>
      <c r="AJ82" s="257">
        <f t="shared" ca="1" si="135"/>
        <v>3.6900000000000002E-2</v>
      </c>
      <c r="AK82" s="342">
        <v>0.04</v>
      </c>
      <c r="AL82" s="257">
        <f>+AK82*1.05</f>
        <v>4.2000000000000003E-2</v>
      </c>
      <c r="AM82" s="257">
        <f>+AL82*1.05</f>
        <v>4.4100000000000007E-2</v>
      </c>
      <c r="AO82" s="24"/>
      <c r="AP82" s="24"/>
    </row>
    <row r="83" spans="2:42">
      <c r="B83"/>
      <c r="D83" t="s">
        <v>322</v>
      </c>
      <c r="P83" s="74"/>
      <c r="Q83" s="74"/>
      <c r="R83" s="74"/>
      <c r="S83" s="90"/>
      <c r="T83" s="90"/>
      <c r="U83" s="90"/>
      <c r="V83" s="102">
        <f t="shared" ref="V83:AA83" si="136">+V82-U82</f>
        <v>1.1700917394880838E-4</v>
      </c>
      <c r="W83" s="102">
        <f t="shared" si="136"/>
        <v>3.1091394245693786E-4</v>
      </c>
      <c r="X83" s="102">
        <f t="shared" si="136"/>
        <v>6.4276596111815187E-4</v>
      </c>
      <c r="Y83" s="102">
        <f t="shared" si="136"/>
        <v>1.2103060908285775E-3</v>
      </c>
      <c r="Z83" s="102">
        <f t="shared" si="136"/>
        <v>2.0119123069586822E-3</v>
      </c>
      <c r="AA83" s="102">
        <f t="shared" si="136"/>
        <v>2.158637087265756E-3</v>
      </c>
      <c r="AB83" s="102">
        <f t="shared" ref="AB83:AM83" si="137">+AB82-AA82</f>
        <v>3.4903733333333338E-3</v>
      </c>
      <c r="AC83" s="102">
        <f t="shared" si="137"/>
        <v>4.0000000000000001E-3</v>
      </c>
      <c r="AD83" s="102">
        <f t="shared" si="137"/>
        <v>3.5000000000000014E-3</v>
      </c>
      <c r="AE83" s="102">
        <f t="shared" si="137"/>
        <v>3.4999999999999996E-3</v>
      </c>
      <c r="AF83" s="102">
        <f t="shared" si="137"/>
        <v>3.4999999999999996E-3</v>
      </c>
      <c r="AG83" s="102">
        <f t="shared" ca="1" si="137"/>
        <v>3.1000000000000021E-3</v>
      </c>
      <c r="AH83" s="102">
        <f t="shared" ca="1" si="137"/>
        <v>3.1000000000000021E-3</v>
      </c>
      <c r="AI83" s="102">
        <f t="shared" ca="1" si="137"/>
        <v>3.0999999999999986E-3</v>
      </c>
      <c r="AJ83" s="102">
        <f t="shared" ca="1" si="137"/>
        <v>3.0999999999999986E-3</v>
      </c>
      <c r="AK83" s="102">
        <f t="shared" ca="1" si="137"/>
        <v>3.0999999999999986E-3</v>
      </c>
      <c r="AL83" s="102">
        <f t="shared" si="137"/>
        <v>2.0000000000000018E-3</v>
      </c>
      <c r="AM83" s="102">
        <f t="shared" si="137"/>
        <v>2.1000000000000046E-3</v>
      </c>
      <c r="AO83" s="24"/>
      <c r="AP83" s="24"/>
    </row>
    <row r="84" spans="2:42">
      <c r="B84"/>
      <c r="P84" s="74"/>
      <c r="Q84" s="74"/>
      <c r="R84" s="74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O84" s="24"/>
      <c r="AP84" s="24"/>
    </row>
    <row r="85" spans="2:42">
      <c r="B85"/>
      <c r="D85" t="s">
        <v>210</v>
      </c>
      <c r="P85" s="74"/>
      <c r="Q85" s="74"/>
      <c r="R85" s="74"/>
      <c r="S85" s="90"/>
      <c r="T85" s="90"/>
      <c r="U85" s="75">
        <f t="shared" ref="U85:Z85" si="138">+U52</f>
        <v>41.122999999999998</v>
      </c>
      <c r="V85" s="75">
        <f t="shared" si="138"/>
        <v>124.97199999999999</v>
      </c>
      <c r="W85" s="75">
        <f t="shared" si="138"/>
        <v>341.98899999999998</v>
      </c>
      <c r="X85" s="75">
        <f t="shared" si="138"/>
        <v>796.91499999999996</v>
      </c>
      <c r="Y85" s="75">
        <f t="shared" si="138"/>
        <v>1785.0450000000001</v>
      </c>
      <c r="Z85" s="75">
        <f t="shared" si="138"/>
        <v>3420.6010000000001</v>
      </c>
      <c r="AA85" s="75">
        <f>+AA52</f>
        <v>4740.5950000000003</v>
      </c>
      <c r="AB85" s="69">
        <f>(AB69*AB71)/1000</f>
        <v>8061.6584233197209</v>
      </c>
      <c r="AC85" s="69">
        <f t="shared" ref="AC85:AM85" si="139">(AC69*AC71)/1000</f>
        <v>11541.674823206258</v>
      </c>
      <c r="AD85" s="69">
        <f t="shared" si="139"/>
        <v>14753.506520101628</v>
      </c>
      <c r="AE85" s="69">
        <f t="shared" si="139"/>
        <v>18104.76552614271</v>
      </c>
      <c r="AF85" s="69">
        <f t="shared" si="139"/>
        <v>21600.116820533636</v>
      </c>
      <c r="AG85" s="69">
        <f t="shared" ca="1" si="139"/>
        <v>24883.731314094308</v>
      </c>
      <c r="AH85" s="69">
        <f t="shared" ca="1" si="139"/>
        <v>28304.872466189267</v>
      </c>
      <c r="AI85" s="69">
        <f t="shared" ca="1" si="139"/>
        <v>31868.082506641811</v>
      </c>
      <c r="AJ85" s="69">
        <f t="shared" ca="1" si="139"/>
        <v>35578.038802567578</v>
      </c>
      <c r="AK85" s="69">
        <f t="shared" si="139"/>
        <v>39439.557648212103</v>
      </c>
      <c r="AL85" s="69">
        <f t="shared" si="139"/>
        <v>42348.471522003056</v>
      </c>
      <c r="AM85" s="69">
        <f t="shared" si="139"/>
        <v>45471.935974697793</v>
      </c>
      <c r="AO85" s="332">
        <f>IFERROR((AK85/AA85)^(1/10)-1,"na")</f>
        <v>0.23597565947477683</v>
      </c>
      <c r="AP85" s="264">
        <f>(AA85/V85)^(1/5)-1</f>
        <v>1.0692074186294445</v>
      </c>
    </row>
    <row r="86" spans="2:42">
      <c r="B86"/>
      <c r="D86" s="70" t="s">
        <v>263</v>
      </c>
      <c r="P86" s="74"/>
      <c r="Q86" s="74"/>
      <c r="R86" s="74"/>
      <c r="S86" s="90"/>
      <c r="T86" s="90"/>
      <c r="U86" s="75">
        <f t="shared" ref="U86:Z86" si="140">+U87-U85</f>
        <v>-41.571999999999996</v>
      </c>
      <c r="V86" s="75">
        <f t="shared" si="140"/>
        <v>-125.184</v>
      </c>
      <c r="W86" s="75">
        <f t="shared" si="140"/>
        <v>-336.04499999999996</v>
      </c>
      <c r="X86" s="75">
        <f t="shared" si="140"/>
        <v>-764.10899999999992</v>
      </c>
      <c r="Y86" s="75">
        <f t="shared" si="140"/>
        <v>-1690.7260000000001</v>
      </c>
      <c r="Z86" s="75">
        <f t="shared" si="140"/>
        <v>-3182.7460000000001</v>
      </c>
      <c r="AA86" s="75">
        <f>+AA87-AA85</f>
        <v>-4381.2539999999999</v>
      </c>
      <c r="AB86" s="75">
        <f t="shared" ref="AB86" si="141">+AB87-AB85</f>
        <v>-7487.6584233197209</v>
      </c>
      <c r="AC86" s="75">
        <f t="shared" ref="AC86" si="142">+AC87-AC85</f>
        <v>-10643.077823206258</v>
      </c>
      <c r="AD86" s="75">
        <f t="shared" ref="AD86" si="143">+AD87-AD85</f>
        <v>-13562.303871976628</v>
      </c>
      <c r="AE86" s="75">
        <f t="shared" ref="AE86" si="144">+AE87-AE85</f>
        <v>-16588.841036138834</v>
      </c>
      <c r="AF86" s="75">
        <f t="shared" ref="AF86" si="145">+AF87-AF85</f>
        <v>-19724.539245276341</v>
      </c>
      <c r="AG86" s="75">
        <f t="shared" ref="AG86" ca="1" si="146">+AG87-AG85</f>
        <v>-22643.005578899778</v>
      </c>
      <c r="AH86" s="75">
        <f t="shared" ref="AH86" ca="1" si="147">+AH87-AH85</f>
        <v>-25661.680726524934</v>
      </c>
      <c r="AI86" s="75">
        <f t="shared" ref="AI86" ca="1" si="148">+AI87-AI85</f>
        <v>-28811.319940094338</v>
      </c>
      <c r="AJ86" s="75">
        <f t="shared" ref="AJ86" ca="1" si="149">+AJ87-AJ85</f>
        <v>-32089.584038191813</v>
      </c>
      <c r="AK86" s="75">
        <f t="shared" ref="AK86" si="150">+AK87-AK85</f>
        <v>-35486.542810336541</v>
      </c>
      <c r="AL86" s="75">
        <f t="shared" ref="AL86" si="151">+AL87-AL85</f>
        <v>-38030.534119369011</v>
      </c>
      <c r="AM86" s="75">
        <f t="shared" ref="AM86" si="152">+AM87-AM85</f>
        <v>-40755.388180739588</v>
      </c>
      <c r="AO86" s="24"/>
      <c r="AP86" s="24"/>
    </row>
    <row r="87" spans="2:42">
      <c r="B87"/>
      <c r="D87" s="2" t="s">
        <v>264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60"/>
      <c r="Q87" s="260"/>
      <c r="R87" s="260"/>
      <c r="S87" s="261"/>
      <c r="T87" s="261"/>
      <c r="U87" s="262">
        <f t="shared" ref="U87:Z87" si="153">+U57</f>
        <v>-0.44900000000000001</v>
      </c>
      <c r="V87" s="262">
        <f t="shared" si="153"/>
        <v>-0.21199999999999999</v>
      </c>
      <c r="W87" s="262">
        <f t="shared" si="153"/>
        <v>5.944</v>
      </c>
      <c r="X87" s="262">
        <f t="shared" si="153"/>
        <v>32.805999999999997</v>
      </c>
      <c r="Y87" s="262">
        <f t="shared" si="153"/>
        <v>94.319000000000003</v>
      </c>
      <c r="Z87" s="262">
        <f t="shared" si="153"/>
        <v>237.85499999999999</v>
      </c>
      <c r="AA87" s="262">
        <f>+AA57</f>
        <v>359.34100000000001</v>
      </c>
      <c r="AB87" s="263">
        <f>+AB69*AB73/1000</f>
        <v>574.00000000000011</v>
      </c>
      <c r="AC87" s="263">
        <f t="shared" ref="AC87:AM87" si="154">+AC69*AC73/1000</f>
        <v>898.59699999999998</v>
      </c>
      <c r="AD87" s="263">
        <f t="shared" si="154"/>
        <v>1191.2026481250002</v>
      </c>
      <c r="AE87" s="263">
        <f t="shared" si="154"/>
        <v>1515.9244900038752</v>
      </c>
      <c r="AF87" s="263">
        <f t="shared" si="154"/>
        <v>1875.5775752572947</v>
      </c>
      <c r="AG87" s="263">
        <f t="shared" ca="1" si="154"/>
        <v>2240.7257351945295</v>
      </c>
      <c r="AH87" s="263">
        <f t="shared" ca="1" si="154"/>
        <v>2643.1917396643339</v>
      </c>
      <c r="AI87" s="263">
        <f t="shared" ca="1" si="154"/>
        <v>3056.7625665474743</v>
      </c>
      <c r="AJ87" s="263">
        <f t="shared" ca="1" si="154"/>
        <v>3488.4547643757646</v>
      </c>
      <c r="AK87" s="263">
        <f t="shared" si="154"/>
        <v>3953.0148378755612</v>
      </c>
      <c r="AL87" s="263">
        <f t="shared" si="154"/>
        <v>4317.9374026340438</v>
      </c>
      <c r="AM87" s="263">
        <f t="shared" si="154"/>
        <v>4716.5477939582061</v>
      </c>
      <c r="AO87" s="332">
        <f>IFERROR((AK87/AA87)^(1/10)-1,"na")</f>
        <v>0.27099009849222466</v>
      </c>
      <c r="AP87" s="264">
        <f>(AA87/V87)^(1/5)-1</f>
        <v>-5.4241942015733757</v>
      </c>
    </row>
    <row r="88" spans="2:42">
      <c r="B88"/>
      <c r="P88" s="74"/>
      <c r="Q88" s="74"/>
      <c r="R88" s="74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</row>
    <row r="89" spans="2:42">
      <c r="B89"/>
      <c r="P89" s="74"/>
      <c r="Q89" s="74"/>
      <c r="R89" s="74"/>
      <c r="S89" s="90"/>
      <c r="T89" s="90"/>
      <c r="U89" s="90"/>
      <c r="V89" s="90"/>
      <c r="W89" s="90"/>
      <c r="X89" s="90"/>
      <c r="Y89" s="90"/>
      <c r="Z89" s="208"/>
      <c r="AA89" s="208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</row>
    <row r="90" spans="2:42">
      <c r="B90"/>
      <c r="D90" s="202" t="s">
        <v>249</v>
      </c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8"/>
      <c r="S90" s="198"/>
      <c r="T90" s="198"/>
      <c r="U90" s="198"/>
      <c r="V90" s="198"/>
      <c r="W90" s="198"/>
      <c r="X90" s="198"/>
      <c r="Y90" s="198"/>
      <c r="Z90" s="203"/>
      <c r="AA90" s="203"/>
      <c r="AB90" s="203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</row>
    <row r="91" spans="2:42">
      <c r="B91"/>
      <c r="D91" t="s">
        <v>252</v>
      </c>
      <c r="S91" s="100"/>
      <c r="T91" s="100"/>
      <c r="U91" s="80">
        <v>0.13700000000000001</v>
      </c>
      <c r="V91" s="80">
        <v>1.07</v>
      </c>
      <c r="W91" s="80">
        <v>2.6509999999999998</v>
      </c>
      <c r="X91" s="80">
        <v>6.5090000000000003</v>
      </c>
      <c r="Y91" s="80">
        <v>15.125</v>
      </c>
      <c r="Z91" s="80">
        <v>39.895000000000003</v>
      </c>
      <c r="AA91" s="80">
        <v>55.204000000000001</v>
      </c>
      <c r="AB91" s="69">
        <f>AB69*(AB96/(1-AB96))</f>
        <v>115.64102564102565</v>
      </c>
      <c r="AC91" s="69">
        <f t="shared" ref="AC91:AM91" si="155">AC69*(AC96/(1-AC96))</f>
        <v>193.24666666666667</v>
      </c>
      <c r="AD91" s="69">
        <f t="shared" ca="1" si="155"/>
        <v>260.51452118644085</v>
      </c>
      <c r="AE91" s="69">
        <f t="shared" ca="1" si="155"/>
        <v>336.4820955517244</v>
      </c>
      <c r="AF91" s="69">
        <f t="shared" ca="1" si="155"/>
        <v>421.78236394798296</v>
      </c>
      <c r="AG91" s="69">
        <f t="shared" ca="1" si="155"/>
        <v>509.70984543992637</v>
      </c>
      <c r="AH91" s="69">
        <f t="shared" ca="1" si="155"/>
        <v>607.3342788915819</v>
      </c>
      <c r="AI91" s="69">
        <f t="shared" ca="1" si="155"/>
        <v>715.36841564254246</v>
      </c>
      <c r="AJ91" s="69">
        <f t="shared" ca="1" si="155"/>
        <v>834.58218053787778</v>
      </c>
      <c r="AK91" s="69">
        <f t="shared" si="155"/>
        <v>965.808225416651</v>
      </c>
      <c r="AL91" s="69">
        <f t="shared" si="155"/>
        <v>1040.0824633181535</v>
      </c>
      <c r="AM91" s="69">
        <f t="shared" si="155"/>
        <v>1120.1624678217336</v>
      </c>
      <c r="AO91" s="332">
        <f>IFERROR((AK91/AA91)^(1/10)-1,"na")</f>
        <v>0.3313493643353147</v>
      </c>
      <c r="AP91" s="264">
        <f>(AA91/V91)^(1/5)-1</f>
        <v>1.2004796364942343</v>
      </c>
    </row>
    <row r="92" spans="2:42">
      <c r="B92"/>
      <c r="D92" t="s">
        <v>253</v>
      </c>
      <c r="P92" s="74"/>
      <c r="Q92" s="74"/>
      <c r="R92" s="74"/>
      <c r="S92" s="90"/>
      <c r="T92" s="90"/>
      <c r="U92" s="258">
        <f t="shared" ref="U92:AA92" si="156">+U53/U91*1000</f>
        <v>3810.2189781021898</v>
      </c>
      <c r="V92" s="258">
        <f t="shared" si="156"/>
        <v>3498.130841121495</v>
      </c>
      <c r="W92" s="258">
        <f t="shared" si="156"/>
        <v>3833.6476801207095</v>
      </c>
      <c r="X92" s="258">
        <f t="shared" si="156"/>
        <v>4380.7036411123063</v>
      </c>
      <c r="Y92" s="258">
        <f t="shared" si="156"/>
        <v>4865.0578512396696</v>
      </c>
      <c r="Z92" s="258">
        <f t="shared" si="156"/>
        <v>6707.2565484396537</v>
      </c>
      <c r="AA92" s="258">
        <f t="shared" si="156"/>
        <v>8065.2851242663564</v>
      </c>
      <c r="AB92" s="259">
        <f>+AA92*(1+AB93)</f>
        <v>8226.5908267516843</v>
      </c>
      <c r="AC92" s="259">
        <f t="shared" ref="AC92:AM92" si="157">+AB92*(1+AC93)</f>
        <v>6581.2726614013482</v>
      </c>
      <c r="AD92" s="259">
        <f t="shared" si="157"/>
        <v>6252.20902833128</v>
      </c>
      <c r="AE92" s="259">
        <f t="shared" si="157"/>
        <v>6064.6427574813415</v>
      </c>
      <c r="AF92" s="259">
        <f t="shared" si="157"/>
        <v>5973.673116119121</v>
      </c>
      <c r="AG92" s="259">
        <f t="shared" si="157"/>
        <v>5913.9363849579295</v>
      </c>
      <c r="AH92" s="259">
        <f t="shared" si="157"/>
        <v>5884.3667030331399</v>
      </c>
      <c r="AI92" s="259">
        <f t="shared" si="157"/>
        <v>5884.3667030331399</v>
      </c>
      <c r="AJ92" s="259">
        <f t="shared" si="157"/>
        <v>5899.0776197907226</v>
      </c>
      <c r="AK92" s="259">
        <f t="shared" si="157"/>
        <v>5928.5730078896759</v>
      </c>
      <c r="AL92" s="259">
        <f t="shared" si="157"/>
        <v>5987.8587379685723</v>
      </c>
      <c r="AM92" s="259">
        <f t="shared" si="157"/>
        <v>6047.7373253482583</v>
      </c>
    </row>
    <row r="93" spans="2:42">
      <c r="B93"/>
      <c r="D93" s="85" t="s">
        <v>319</v>
      </c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>
        <f t="shared" ref="V93" si="158">+V92/U92-1</f>
        <v>-8.1908189207577031E-2</v>
      </c>
      <c r="W93" s="90">
        <f t="shared" ref="W93" si="159">+W92/V92-1</f>
        <v>9.5913175989623234E-2</v>
      </c>
      <c r="X93" s="90">
        <f t="shared" ref="X93" si="160">+X92/W92-1</f>
        <v>0.14269854891161304</v>
      </c>
      <c r="Y93" s="90">
        <f t="shared" ref="Y93" si="161">+Y92/X92-1</f>
        <v>0.11056539081570493</v>
      </c>
      <c r="Z93" s="90">
        <f t="shared" ref="Z93" si="162">+Z92/Y92-1</f>
        <v>0.37865915545702533</v>
      </c>
      <c r="AA93" s="90">
        <f t="shared" ref="AA93" si="163">+AA92/Z92-1</f>
        <v>0.20247154198129325</v>
      </c>
      <c r="AB93" s="255">
        <v>0.02</v>
      </c>
      <c r="AC93" s="255">
        <v>-0.2</v>
      </c>
      <c r="AD93" s="255">
        <v>-0.05</v>
      </c>
      <c r="AE93" s="255">
        <v>-0.03</v>
      </c>
      <c r="AF93" s="255">
        <v>-1.4999999999999999E-2</v>
      </c>
      <c r="AG93" s="255">
        <v>-0.01</v>
      </c>
      <c r="AH93" s="255">
        <v>-5.0000000000000001E-3</v>
      </c>
      <c r="AI93" s="255">
        <v>0</v>
      </c>
      <c r="AJ93" s="255">
        <v>2.5000000000000001E-3</v>
      </c>
      <c r="AK93" s="255">
        <v>5.0000000000000001E-3</v>
      </c>
      <c r="AL93" s="255">
        <v>0.01</v>
      </c>
      <c r="AM93" s="255">
        <v>0.01</v>
      </c>
    </row>
    <row r="94" spans="2:42">
      <c r="B94"/>
      <c r="D94" t="s">
        <v>254</v>
      </c>
      <c r="P94" s="74"/>
      <c r="Q94" s="74"/>
      <c r="R94" s="74"/>
      <c r="S94" s="90"/>
      <c r="T94" s="90"/>
      <c r="U94" s="258">
        <f t="shared" ref="U94:AA94" si="164">+U58/U91*1000</f>
        <v>-65.693430656934297</v>
      </c>
      <c r="V94" s="258">
        <f t="shared" si="164"/>
        <v>-111.21495327102802</v>
      </c>
      <c r="W94" s="258">
        <f t="shared" si="164"/>
        <v>96.944549226706911</v>
      </c>
      <c r="X94" s="258">
        <f t="shared" si="164"/>
        <v>283.45367952066368</v>
      </c>
      <c r="Y94" s="258">
        <f t="shared" si="164"/>
        <v>367.0743801652892</v>
      </c>
      <c r="Z94" s="258">
        <f t="shared" si="164"/>
        <v>422.35869156535904</v>
      </c>
      <c r="AA94" s="258">
        <f t="shared" si="164"/>
        <v>610.28186363306997</v>
      </c>
      <c r="AB94" s="259">
        <f>+AB92*AB95</f>
        <v>658.12726614013479</v>
      </c>
      <c r="AC94" s="259">
        <f t="shared" ref="AC94:AM94" si="165">+AC92*AC95</f>
        <v>625.22090283312809</v>
      </c>
      <c r="AD94" s="259">
        <f t="shared" si="165"/>
        <v>656.48194797478436</v>
      </c>
      <c r="AE94" s="259">
        <f t="shared" ca="1" si="165"/>
        <v>675.7744786907781</v>
      </c>
      <c r="AF94" s="259">
        <f t="shared" ca="1" si="165"/>
        <v>704.04004582832511</v>
      </c>
      <c r="AG94" s="259">
        <f t="shared" ca="1" si="165"/>
        <v>735.01780784477148</v>
      </c>
      <c r="AH94" s="259">
        <f t="shared" ca="1" si="165"/>
        <v>769.17079046790354</v>
      </c>
      <c r="AI94" s="259">
        <f t="shared" ca="1" si="165"/>
        <v>806.99886213025934</v>
      </c>
      <c r="AJ94" s="259">
        <f t="shared" ca="1" si="165"/>
        <v>846.93900112709662</v>
      </c>
      <c r="AK94" s="259">
        <f t="shared" si="165"/>
        <v>889.2859511834514</v>
      </c>
      <c r="AL94" s="259">
        <f t="shared" si="165"/>
        <v>898.17881069528585</v>
      </c>
      <c r="AM94" s="259">
        <f t="shared" si="165"/>
        <v>907.16059880223872</v>
      </c>
    </row>
    <row r="95" spans="2:42">
      <c r="B95"/>
      <c r="D95" t="s">
        <v>316</v>
      </c>
      <c r="P95" s="74"/>
      <c r="Q95" s="74"/>
      <c r="R95" s="74"/>
      <c r="S95" s="90"/>
      <c r="T95" s="90"/>
      <c r="U95" s="90">
        <f>+U94/U92</f>
        <v>-1.7241379310344824E-2</v>
      </c>
      <c r="V95" s="90">
        <f t="shared" ref="V95" si="166">+V94/V92</f>
        <v>-3.1792679668714935E-2</v>
      </c>
      <c r="W95" s="90">
        <f t="shared" ref="W95" si="167">+W94/W92</f>
        <v>2.5287808717898257E-2</v>
      </c>
      <c r="X95" s="90">
        <f t="shared" ref="X95" si="168">+X94/X92</f>
        <v>6.470505716490145E-2</v>
      </c>
      <c r="Y95" s="90">
        <f t="shared" ref="Y95" si="169">+Y94/Y92</f>
        <v>7.5451185040226118E-2</v>
      </c>
      <c r="Z95" s="90">
        <f t="shared" ref="Z95" si="170">+Z94/Z92</f>
        <v>6.2970409513203235E-2</v>
      </c>
      <c r="AA95" s="90">
        <f>+AA94/AA92</f>
        <v>7.5667735762606797E-2</v>
      </c>
      <c r="AB95" s="230">
        <v>0.08</v>
      </c>
      <c r="AC95" s="230">
        <v>9.5000000000000001E-2</v>
      </c>
      <c r="AD95" s="230">
        <v>0.105</v>
      </c>
      <c r="AE95" s="230">
        <f t="shared" ref="AE95" ca="1" si="171">AVERAGE(AF95,AD95)</f>
        <v>0.11142857142857143</v>
      </c>
      <c r="AF95" s="230">
        <f t="shared" ref="AF95" ca="1" si="172">AVERAGE(AG95,AE95)</f>
        <v>0.11785714285714288</v>
      </c>
      <c r="AG95" s="230">
        <f t="shared" ref="AG95" ca="1" si="173">AVERAGE(AH95,AF95)</f>
        <v>0.12428571428571432</v>
      </c>
      <c r="AH95" s="230">
        <f t="shared" ref="AH95" ca="1" si="174">AVERAGE(AI95,AG95)</f>
        <v>0.13071428571428576</v>
      </c>
      <c r="AI95" s="230">
        <f t="shared" ref="AI95" ca="1" si="175">AVERAGE(AJ95,AH95)</f>
        <v>0.13714285714285718</v>
      </c>
      <c r="AJ95" s="230">
        <f ca="1">AVERAGE(AK95,AI95)</f>
        <v>0.14357142857142857</v>
      </c>
      <c r="AK95" s="230">
        <v>0.15</v>
      </c>
      <c r="AL95" s="230">
        <f>+AK95</f>
        <v>0.15</v>
      </c>
      <c r="AM95" s="230">
        <f>+AL95</f>
        <v>0.15</v>
      </c>
    </row>
    <row r="96" spans="2:42">
      <c r="B96"/>
      <c r="D96" t="s">
        <v>266</v>
      </c>
      <c r="P96" s="74"/>
      <c r="Q96" s="74"/>
      <c r="R96" s="74"/>
      <c r="S96" s="90"/>
      <c r="T96" s="90"/>
      <c r="U96" s="90">
        <f t="shared" ref="U96:AA96" si="176">+U91/SUM(U91,U69)</f>
        <v>6.1106155218554864E-2</v>
      </c>
      <c r="V96" s="90">
        <f t="shared" si="176"/>
        <v>0.14091926774660873</v>
      </c>
      <c r="W96" s="90">
        <f t="shared" si="176"/>
        <v>0.12380907902110966</v>
      </c>
      <c r="X96" s="90">
        <f t="shared" si="176"/>
        <v>0.12822836429542364</v>
      </c>
      <c r="Y96" s="90">
        <f t="shared" si="176"/>
        <v>0.13846548204297235</v>
      </c>
      <c r="Z96" s="90">
        <f t="shared" si="176"/>
        <v>0.18347252625963467</v>
      </c>
      <c r="AA96" s="90">
        <f t="shared" si="176"/>
        <v>0.18443445868065417</v>
      </c>
      <c r="AB96" s="230">
        <v>0.22</v>
      </c>
      <c r="AC96" s="230">
        <v>0.25</v>
      </c>
      <c r="AD96" s="230">
        <f t="shared" ref="AD96:AI96" ca="1" si="177">AVERAGE(AE96,AC96)</f>
        <v>0.26250000000000007</v>
      </c>
      <c r="AE96" s="230">
        <f t="shared" ca="1" si="177"/>
        <v>0.27500000000000013</v>
      </c>
      <c r="AF96" s="230">
        <f t="shared" ca="1" si="177"/>
        <v>0.2875000000000002</v>
      </c>
      <c r="AG96" s="230">
        <f t="shared" ca="1" si="177"/>
        <v>0.30000000000000021</v>
      </c>
      <c r="AH96" s="230">
        <f t="shared" ca="1" si="177"/>
        <v>0.31250000000000022</v>
      </c>
      <c r="AI96" s="230">
        <f t="shared" ca="1" si="177"/>
        <v>0.32500000000000018</v>
      </c>
      <c r="AJ96" s="230">
        <f ca="1">AVERAGE(AK96,AI96)</f>
        <v>0.33750000000000008</v>
      </c>
      <c r="AK96" s="230">
        <v>0.35</v>
      </c>
      <c r="AL96" s="230">
        <f>+AK96*1.01</f>
        <v>0.35349999999999998</v>
      </c>
      <c r="AM96" s="230">
        <f>+AL96*1.01</f>
        <v>0.35703499999999999</v>
      </c>
    </row>
    <row r="97" spans="2:40">
      <c r="B97"/>
      <c r="P97" s="74"/>
      <c r="Q97" s="74"/>
      <c r="R97" s="74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</row>
    <row r="98" spans="2:40">
      <c r="B98"/>
      <c r="D98" t="s">
        <v>210</v>
      </c>
      <c r="P98" s="74"/>
      <c r="Q98" s="74"/>
      <c r="R98" s="74"/>
      <c r="S98" s="90"/>
      <c r="T98" s="90"/>
      <c r="U98" s="75">
        <f t="shared" ref="U98:Z98" si="178">+U53</f>
        <v>0.52200000000000002</v>
      </c>
      <c r="V98" s="75">
        <f t="shared" si="178"/>
        <v>3.7429999999999999</v>
      </c>
      <c r="W98" s="75">
        <f t="shared" si="178"/>
        <v>10.163</v>
      </c>
      <c r="X98" s="75">
        <f t="shared" si="178"/>
        <v>28.513999999999999</v>
      </c>
      <c r="Y98" s="75">
        <f t="shared" si="178"/>
        <v>73.584000000000003</v>
      </c>
      <c r="Z98" s="75">
        <f t="shared" si="178"/>
        <v>267.58600000000001</v>
      </c>
      <c r="AA98" s="75">
        <f>+AA53</f>
        <v>445.23599999999999</v>
      </c>
      <c r="AB98" s="69">
        <f>(AB91*AB92)/1000</f>
        <v>951.331400734618</v>
      </c>
      <c r="AC98" s="69">
        <f t="shared" ref="AC98:AM98" si="179">(AC91*AC92)/1000</f>
        <v>1271.8090042402725</v>
      </c>
      <c r="AD98" s="69">
        <f t="shared" ca="1" si="179"/>
        <v>1628.7912413732661</v>
      </c>
      <c r="AE98" s="69">
        <f t="shared" ca="1" si="179"/>
        <v>2040.64370380991</v>
      </c>
      <c r="AF98" s="69">
        <f t="shared" ca="1" si="179"/>
        <v>2519.5899683692369</v>
      </c>
      <c r="AG98" s="69">
        <f t="shared" ca="1" si="179"/>
        <v>3014.3916007184635</v>
      </c>
      <c r="AH98" s="69">
        <f t="shared" ca="1" si="179"/>
        <v>3573.7776083202675</v>
      </c>
      <c r="AI98" s="69">
        <f t="shared" ca="1" si="179"/>
        <v>4209.490085408549</v>
      </c>
      <c r="AJ98" s="69">
        <f t="shared" ca="1" si="179"/>
        <v>4923.2650630871358</v>
      </c>
      <c r="AK98" s="69">
        <f t="shared" si="179"/>
        <v>5725.864576002984</v>
      </c>
      <c r="AL98" s="69">
        <f t="shared" si="179"/>
        <v>6227.8668661874817</v>
      </c>
      <c r="AM98" s="69">
        <f t="shared" si="179"/>
        <v>6774.4483670997151</v>
      </c>
    </row>
    <row r="99" spans="2:40">
      <c r="B99"/>
      <c r="D99" s="70" t="s">
        <v>263</v>
      </c>
      <c r="P99" s="74"/>
      <c r="Q99" s="74"/>
      <c r="R99" s="74"/>
      <c r="S99" s="90"/>
      <c r="T99" s="90"/>
      <c r="U99" s="75">
        <f t="shared" ref="U99:Z99" si="180">+U100-U98</f>
        <v>-0.53100000000000003</v>
      </c>
      <c r="V99" s="75">
        <f t="shared" si="180"/>
        <v>-3.8620000000000001</v>
      </c>
      <c r="W99" s="75">
        <f t="shared" si="180"/>
        <v>-9.9060000000000006</v>
      </c>
      <c r="X99" s="75">
        <f t="shared" si="180"/>
        <v>-26.669</v>
      </c>
      <c r="Y99" s="75">
        <f t="shared" si="180"/>
        <v>-68.032000000000011</v>
      </c>
      <c r="Z99" s="75">
        <f t="shared" si="180"/>
        <v>-250.73600000000002</v>
      </c>
      <c r="AA99" s="75">
        <f>+AA100-AA98</f>
        <v>-411.54599999999999</v>
      </c>
      <c r="AB99" s="75">
        <f t="shared" ref="AB99" si="181">+AB100-AB98</f>
        <v>-875.22488867584855</v>
      </c>
      <c r="AC99" s="75">
        <f t="shared" ref="AC99" si="182">+AC100-AC98</f>
        <v>-1150.9871488374467</v>
      </c>
      <c r="AD99" s="75">
        <f t="shared" ref="AD99" ca="1" si="183">+AD100-AD98</f>
        <v>-1457.7681610290731</v>
      </c>
      <c r="AE99" s="75">
        <f t="shared" ref="AE99" ca="1" si="184">+AE100-AE98</f>
        <v>-1813.2576910996629</v>
      </c>
      <c r="AF99" s="75">
        <f t="shared" ref="AF99" ca="1" si="185">+AF100-AF98</f>
        <v>-2222.6382935257197</v>
      </c>
      <c r="AG99" s="75">
        <f t="shared" ref="AG99" ca="1" si="186">+AG100-AG98</f>
        <v>-2639.7457874863117</v>
      </c>
      <c r="AH99" s="75">
        <f t="shared" ref="AH99" ca="1" si="187">+AH100-AH98</f>
        <v>-3106.6338209469754</v>
      </c>
      <c r="AI99" s="75">
        <f t="shared" ref="AI99" ca="1" si="188">+AI100-AI98</f>
        <v>-3632.1885879810907</v>
      </c>
      <c r="AJ99" s="75">
        <f t="shared" ref="AJ99" ca="1" si="189">+AJ100-AJ98</f>
        <v>-4216.4248647439108</v>
      </c>
      <c r="AK99" s="75">
        <f t="shared" ref="AK99" si="190">+AK100-AK98</f>
        <v>-4866.984889602536</v>
      </c>
      <c r="AL99" s="75">
        <f t="shared" ref="AL99" si="191">+AL100-AL98</f>
        <v>-5293.6868362593596</v>
      </c>
      <c r="AM99" s="75">
        <f t="shared" ref="AM99" si="192">+AM100-AM98</f>
        <v>-5758.2811120347578</v>
      </c>
    </row>
    <row r="100" spans="2:40">
      <c r="B100"/>
      <c r="D100" s="2" t="s">
        <v>264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60"/>
      <c r="Q100" s="260"/>
      <c r="R100" s="260"/>
      <c r="S100" s="261"/>
      <c r="T100" s="261"/>
      <c r="U100" s="262">
        <f t="shared" ref="U100:Z100" si="193">+U58</f>
        <v>-8.9999999999999993E-3</v>
      </c>
      <c r="V100" s="262">
        <f t="shared" si="193"/>
        <v>-0.11899999999999999</v>
      </c>
      <c r="W100" s="262">
        <f t="shared" si="193"/>
        <v>0.25700000000000001</v>
      </c>
      <c r="X100" s="262">
        <f t="shared" si="193"/>
        <v>1.845</v>
      </c>
      <c r="Y100" s="262">
        <f t="shared" si="193"/>
        <v>5.5519999999999996</v>
      </c>
      <c r="Z100" s="262">
        <f t="shared" si="193"/>
        <v>16.850000000000001</v>
      </c>
      <c r="AA100" s="262">
        <f>+AA58</f>
        <v>33.69</v>
      </c>
      <c r="AB100" s="263">
        <f>+AB91*AB94/1000</f>
        <v>76.106512058769439</v>
      </c>
      <c r="AC100" s="263">
        <f t="shared" ref="AC100:AM100" si="194">+AC91*AC94/1000</f>
        <v>120.82185540282589</v>
      </c>
      <c r="AD100" s="263">
        <f t="shared" ca="1" si="194"/>
        <v>171.02308034419292</v>
      </c>
      <c r="AE100" s="263">
        <f t="shared" ca="1" si="194"/>
        <v>227.38601271024714</v>
      </c>
      <c r="AF100" s="263">
        <f t="shared" ca="1" si="194"/>
        <v>296.95167484351725</v>
      </c>
      <c r="AG100" s="263">
        <f t="shared" ca="1" si="194"/>
        <v>374.64581323215197</v>
      </c>
      <c r="AH100" s="263">
        <f t="shared" ca="1" si="194"/>
        <v>467.14378737329224</v>
      </c>
      <c r="AI100" s="263">
        <f t="shared" ca="1" si="194"/>
        <v>577.30149742745823</v>
      </c>
      <c r="AJ100" s="263">
        <f t="shared" ca="1" si="194"/>
        <v>706.84019834322453</v>
      </c>
      <c r="AK100" s="263">
        <f t="shared" si="194"/>
        <v>858.87968640044778</v>
      </c>
      <c r="AL100" s="263">
        <f t="shared" si="194"/>
        <v>934.18002992812239</v>
      </c>
      <c r="AM100" s="263">
        <f t="shared" si="194"/>
        <v>1016.1672550649573</v>
      </c>
    </row>
    <row r="101" spans="2:40">
      <c r="B101"/>
      <c r="P101" s="74"/>
      <c r="Q101" s="74"/>
      <c r="R101" s="74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</row>
    <row r="102" spans="2:40">
      <c r="B102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</row>
    <row r="103" spans="2:40">
      <c r="B103"/>
      <c r="D103" s="202" t="s">
        <v>128</v>
      </c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8"/>
      <c r="S103" s="198"/>
      <c r="T103" s="198"/>
      <c r="U103" s="198"/>
      <c r="V103" s="198"/>
      <c r="W103" s="198"/>
      <c r="X103" s="198"/>
      <c r="Y103" s="198"/>
      <c r="Z103" s="203"/>
      <c r="AA103" s="203"/>
      <c r="AB103" s="203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</row>
    <row r="104" spans="2:40">
      <c r="B104"/>
      <c r="D104" t="s">
        <v>255</v>
      </c>
      <c r="S104" s="100"/>
      <c r="T104" s="100"/>
      <c r="U104" s="93">
        <f t="shared" ref="U104:AM104" si="195">+U122/U69*1000</f>
        <v>16.152019002375297</v>
      </c>
      <c r="V104" s="93">
        <f t="shared" si="195"/>
        <v>257.09029587613065</v>
      </c>
      <c r="W104" s="93">
        <f t="shared" si="195"/>
        <v>692.71360801663025</v>
      </c>
      <c r="X104" s="93">
        <f t="shared" si="195"/>
        <v>755.69465786857097</v>
      </c>
      <c r="Y104" s="93">
        <f t="shared" si="195"/>
        <v>1029.0092234454032</v>
      </c>
      <c r="Z104" s="93">
        <f t="shared" si="195"/>
        <v>1417.6875116165115</v>
      </c>
      <c r="AA104" s="93">
        <f t="shared" si="195"/>
        <v>1641.6056629975708</v>
      </c>
      <c r="AB104" s="93">
        <f t="shared" si="195"/>
        <v>1763.204230434427</v>
      </c>
      <c r="AC104" s="93">
        <f t="shared" si="195"/>
        <v>1849.1762032668955</v>
      </c>
      <c r="AD104" s="93">
        <f t="shared" si="195"/>
        <v>1923.8159447723065</v>
      </c>
      <c r="AE104" s="93">
        <f t="shared" si="195"/>
        <v>1965.9669062387568</v>
      </c>
      <c r="AF104" s="93">
        <f t="shared" si="195"/>
        <v>1985.1482477361903</v>
      </c>
      <c r="AG104" s="93">
        <f t="shared" ca="1" si="195"/>
        <v>2005.1159790757551</v>
      </c>
      <c r="AH104" s="93">
        <f t="shared" ca="1" si="195"/>
        <v>2027.0504194215534</v>
      </c>
      <c r="AI104" s="93">
        <f t="shared" ca="1" si="195"/>
        <v>2033.9269041830166</v>
      </c>
      <c r="AJ104" s="93">
        <f t="shared" ca="1" si="195"/>
        <v>2040.3776466862791</v>
      </c>
      <c r="AK104" s="93">
        <f t="shared" ca="1" si="195"/>
        <v>2046.4282662804098</v>
      </c>
      <c r="AL104" s="93">
        <f t="shared" ca="1" si="195"/>
        <v>2053.9963315824875</v>
      </c>
      <c r="AM104" s="93">
        <f t="shared" ca="1" si="195"/>
        <v>2060.1356015656856</v>
      </c>
    </row>
    <row r="105" spans="2:40">
      <c r="B105"/>
      <c r="D105" t="s">
        <v>256</v>
      </c>
      <c r="P105" s="74"/>
      <c r="Q105" s="74"/>
      <c r="R105" s="74"/>
      <c r="S105" s="90"/>
      <c r="T105" s="90"/>
      <c r="U105" s="93">
        <f t="shared" ref="U105:AM105" si="196">U124/U69*1000</f>
        <v>16.152019002375297</v>
      </c>
      <c r="V105" s="93">
        <f t="shared" si="196"/>
        <v>257.09029587613065</v>
      </c>
      <c r="W105" s="93">
        <f t="shared" si="196"/>
        <v>692.71360801663025</v>
      </c>
      <c r="X105" s="93">
        <f t="shared" si="196"/>
        <v>755.67206001988598</v>
      </c>
      <c r="Y105" s="93">
        <f t="shared" si="196"/>
        <v>1029.0092234454032</v>
      </c>
      <c r="Z105" s="93">
        <f t="shared" si="196"/>
        <v>1417.6875116165115</v>
      </c>
      <c r="AA105" s="93">
        <f t="shared" si="196"/>
        <v>1641.6056629975708</v>
      </c>
      <c r="AB105" s="93">
        <f t="shared" si="196"/>
        <v>1763.204230434427</v>
      </c>
      <c r="AC105" s="93">
        <f t="shared" si="196"/>
        <v>1849.1762032668955</v>
      </c>
      <c r="AD105" s="93">
        <f t="shared" si="196"/>
        <v>1923.8159447723065</v>
      </c>
      <c r="AE105" s="93">
        <f t="shared" si="196"/>
        <v>1965.9669062387568</v>
      </c>
      <c r="AF105" s="93">
        <f t="shared" si="196"/>
        <v>1985.1482477361903</v>
      </c>
      <c r="AG105" s="93">
        <f t="shared" ca="1" si="196"/>
        <v>2005.1159790757551</v>
      </c>
      <c r="AH105" s="93">
        <f t="shared" ca="1" si="196"/>
        <v>2027.0504194215534</v>
      </c>
      <c r="AI105" s="93">
        <f t="shared" ca="1" si="196"/>
        <v>2033.9269041830166</v>
      </c>
      <c r="AJ105" s="93">
        <f t="shared" ca="1" si="196"/>
        <v>2040.3776466862791</v>
      </c>
      <c r="AK105" s="93">
        <f t="shared" ca="1" si="196"/>
        <v>2046.4282662804098</v>
      </c>
      <c r="AL105" s="93">
        <f t="shared" ca="1" si="196"/>
        <v>2053.9963315824875</v>
      </c>
      <c r="AM105" s="93">
        <f t="shared" ca="1" si="196"/>
        <v>2060.1356015656856</v>
      </c>
    </row>
    <row r="106" spans="2:40">
      <c r="B106"/>
      <c r="P106" s="74"/>
      <c r="Q106" s="74"/>
      <c r="R106" s="74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</row>
    <row r="107" spans="2:40">
      <c r="B107"/>
      <c r="D107" t="s">
        <v>330</v>
      </c>
      <c r="P107" s="74"/>
      <c r="Q107" s="74"/>
      <c r="R107" s="74"/>
      <c r="S107" s="90"/>
      <c r="T107" s="90"/>
      <c r="U107" s="90"/>
      <c r="V107" s="93">
        <f t="shared" ref="V107:AA107" si="197">+V158</f>
        <v>0.13779</v>
      </c>
      <c r="W107" s="93">
        <f t="shared" si="197"/>
        <v>1.1835899999999999</v>
      </c>
      <c r="X107" s="93">
        <f t="shared" si="197"/>
        <v>3.1650750000000003</v>
      </c>
      <c r="Y107" s="93">
        <f t="shared" si="197"/>
        <v>6.7843800000000005</v>
      </c>
      <c r="Z107" s="93">
        <f t="shared" si="197"/>
        <v>17.647604999999999</v>
      </c>
      <c r="AA107" s="93">
        <f t="shared" si="197"/>
        <v>25.285949999999996</v>
      </c>
      <c r="AB107" s="93">
        <f t="shared" ref="AB107:AM107" si="198">+AB158</f>
        <v>31.729103416095068</v>
      </c>
      <c r="AC107" s="93">
        <f t="shared" si="198"/>
        <v>48.336783281526245</v>
      </c>
      <c r="AD107" s="93">
        <f t="shared" si="198"/>
        <v>67.232403709781536</v>
      </c>
      <c r="AE107" s="93">
        <f t="shared" si="198"/>
        <v>83.907172639442763</v>
      </c>
      <c r="AF107" s="93">
        <f t="shared" si="198"/>
        <v>96.414844193627673</v>
      </c>
      <c r="AG107" s="93">
        <f t="shared" ca="1" si="198"/>
        <v>107.54348637121124</v>
      </c>
      <c r="AH107" s="93">
        <f t="shared" ca="1" si="198"/>
        <v>120.68471677910853</v>
      </c>
      <c r="AI107" s="93">
        <f t="shared" ca="1" si="198"/>
        <v>134.33057795712006</v>
      </c>
      <c r="AJ107" s="93">
        <f t="shared" ca="1" si="198"/>
        <v>147.52028781615141</v>
      </c>
      <c r="AK107" s="93">
        <f t="shared" ca="1" si="198"/>
        <v>160.09325332800546</v>
      </c>
      <c r="AL107" s="93">
        <f t="shared" ca="1" si="198"/>
        <v>171.10873028027206</v>
      </c>
      <c r="AM107" s="93">
        <f t="shared" ca="1" si="198"/>
        <v>179.93430436153423</v>
      </c>
    </row>
    <row r="108" spans="2:40">
      <c r="B108"/>
      <c r="D108" t="s">
        <v>296</v>
      </c>
      <c r="P108" s="74"/>
      <c r="Q108" s="74"/>
      <c r="R108" s="74"/>
      <c r="S108" s="90"/>
      <c r="T108" s="90"/>
      <c r="U108" s="178"/>
      <c r="V108" s="306">
        <f t="shared" ref="V108:AA108" si="199">+V148</f>
        <v>0</v>
      </c>
      <c r="W108" s="306">
        <f t="shared" si="199"/>
        <v>7.4459999999999997</v>
      </c>
      <c r="X108" s="306">
        <f t="shared" si="199"/>
        <v>21.696999999999999</v>
      </c>
      <c r="Y108" s="306">
        <f t="shared" si="199"/>
        <v>51.728999999999999</v>
      </c>
      <c r="Z108" s="306">
        <f t="shared" si="199"/>
        <v>137.30099999999999</v>
      </c>
      <c r="AA108" s="306">
        <f t="shared" si="199"/>
        <v>217.643</v>
      </c>
      <c r="AB108" s="306">
        <f t="shared" ref="AB108:AM108" si="200">+AB148</f>
        <v>407.58792532159868</v>
      </c>
      <c r="AC108" s="306">
        <f t="shared" si="200"/>
        <v>606.65865720678983</v>
      </c>
      <c r="AD108" s="306">
        <f t="shared" si="200"/>
        <v>798.53417395479653</v>
      </c>
      <c r="AE108" s="306">
        <f t="shared" si="200"/>
        <v>989.64783692790206</v>
      </c>
      <c r="AF108" s="306">
        <f t="shared" si="200"/>
        <v>1180.7408758206579</v>
      </c>
      <c r="AG108" s="306">
        <f t="shared" ca="1" si="200"/>
        <v>1360.268762076438</v>
      </c>
      <c r="AH108" s="306">
        <f t="shared" ca="1" si="200"/>
        <v>1547.3235913356177</v>
      </c>
      <c r="AI108" s="306">
        <f t="shared" ca="1" si="200"/>
        <v>1724.9051821797348</v>
      </c>
      <c r="AJ108" s="306">
        <f t="shared" ca="1" si="200"/>
        <v>1906.6924545190286</v>
      </c>
      <c r="AK108" s="306">
        <f t="shared" si="200"/>
        <v>2092.7629024519015</v>
      </c>
      <c r="AL108" s="306">
        <f t="shared" si="200"/>
        <v>2224.9234956953678</v>
      </c>
      <c r="AM108" s="306">
        <f t="shared" si="200"/>
        <v>2365.4301956028999</v>
      </c>
    </row>
    <row r="109" spans="2:40">
      <c r="B109"/>
      <c r="D109" t="s">
        <v>297</v>
      </c>
      <c r="P109" s="74"/>
      <c r="Q109" s="74"/>
      <c r="R109" s="74"/>
      <c r="S109" s="90"/>
      <c r="T109" s="90"/>
      <c r="U109" s="90"/>
      <c r="V109" s="93">
        <f t="shared" ref="V109:AA109" si="201">+V111-SUM(V107:V108)-V110</f>
        <v>1.077447</v>
      </c>
      <c r="W109" s="93">
        <f t="shared" si="201"/>
        <v>3.0564870000000002</v>
      </c>
      <c r="X109" s="93">
        <f t="shared" si="201"/>
        <v>6.0052475000000012</v>
      </c>
      <c r="Y109" s="93">
        <f t="shared" si="201"/>
        <v>26.827233999999997</v>
      </c>
      <c r="Z109" s="93">
        <f t="shared" si="201"/>
        <v>67.732276500000012</v>
      </c>
      <c r="AA109" s="93">
        <f t="shared" si="201"/>
        <v>110.46353500000001</v>
      </c>
      <c r="AB109" s="267">
        <f t="shared" ref="AB109:AM109" si="202">+AB$69*AB115/1000</f>
        <v>198.517694018295</v>
      </c>
      <c r="AC109" s="267">
        <f t="shared" si="202"/>
        <v>291.93218011554387</v>
      </c>
      <c r="AD109" s="267">
        <f t="shared" si="202"/>
        <v>379.62130871775048</v>
      </c>
      <c r="AE109" s="267">
        <f t="shared" si="202"/>
        <v>469.30304668923185</v>
      </c>
      <c r="AF109" s="267">
        <f t="shared" si="202"/>
        <v>558.5253775822996</v>
      </c>
      <c r="AG109" s="267">
        <f t="shared" ca="1" si="202"/>
        <v>641.84277386689905</v>
      </c>
      <c r="AH109" s="267">
        <f t="shared" ca="1" si="202"/>
        <v>728.28387964434239</v>
      </c>
      <c r="AI109" s="267">
        <f t="shared" ca="1" si="202"/>
        <v>813.89139604935008</v>
      </c>
      <c r="AJ109" s="267">
        <f t="shared" ca="1" si="202"/>
        <v>901.91074057869923</v>
      </c>
      <c r="AK109" s="267">
        <f t="shared" si="202"/>
        <v>992.39511894244833</v>
      </c>
      <c r="AL109" s="267">
        <f t="shared" si="202"/>
        <v>1057.697198756659</v>
      </c>
      <c r="AM109" s="267">
        <f t="shared" si="202"/>
        <v>1127.2963186778441</v>
      </c>
    </row>
    <row r="110" spans="2:40">
      <c r="B110"/>
      <c r="D110" t="s">
        <v>298</v>
      </c>
      <c r="S110" s="100"/>
      <c r="T110" s="100"/>
      <c r="U110" s="100"/>
      <c r="V110" s="93">
        <f t="shared" ref="V110:AA110" si="203">(V111-SUM(V107:V108))*V112</f>
        <v>0.46176299999999998</v>
      </c>
      <c r="W110" s="93">
        <f t="shared" si="203"/>
        <v>1.3099229999999999</v>
      </c>
      <c r="X110" s="93">
        <f t="shared" si="203"/>
        <v>2.5736775000000005</v>
      </c>
      <c r="Y110" s="93">
        <f t="shared" si="203"/>
        <v>11.497385999999999</v>
      </c>
      <c r="Z110" s="93">
        <f t="shared" si="203"/>
        <v>29.028118500000005</v>
      </c>
      <c r="AA110" s="93">
        <f t="shared" si="203"/>
        <v>47.341514999999994</v>
      </c>
      <c r="AB110" s="267">
        <f t="shared" ref="AB110:AM110" si="204">+AB$69*AB117/1000</f>
        <v>85.079011722126424</v>
      </c>
      <c r="AC110" s="267">
        <f t="shared" si="204"/>
        <v>125.11379147809022</v>
      </c>
      <c r="AD110" s="267">
        <f t="shared" si="204"/>
        <v>162.69484659332161</v>
      </c>
      <c r="AE110" s="267">
        <f t="shared" si="204"/>
        <v>201.12987715252791</v>
      </c>
      <c r="AF110" s="267">
        <f t="shared" si="204"/>
        <v>239.36801896384267</v>
      </c>
      <c r="AG110" s="267">
        <f t="shared" ca="1" si="204"/>
        <v>275.07547451438529</v>
      </c>
      <c r="AH110" s="267">
        <f t="shared" ca="1" si="204"/>
        <v>312.12166270471812</v>
      </c>
      <c r="AI110" s="267">
        <f t="shared" ca="1" si="204"/>
        <v>348.81059830686434</v>
      </c>
      <c r="AJ110" s="267">
        <f t="shared" ca="1" si="204"/>
        <v>386.5331745337283</v>
      </c>
      <c r="AK110" s="267">
        <f t="shared" si="204"/>
        <v>425.31219383247793</v>
      </c>
      <c r="AL110" s="267">
        <f t="shared" si="204"/>
        <v>453.29879946713959</v>
      </c>
      <c r="AM110" s="267">
        <f t="shared" si="204"/>
        <v>483.12699371907598</v>
      </c>
    </row>
    <row r="111" spans="2:40">
      <c r="D111" s="2" t="s">
        <v>300</v>
      </c>
      <c r="E111" s="219"/>
      <c r="F111" s="219"/>
      <c r="G111" s="220"/>
      <c r="H111" s="220"/>
      <c r="I111" s="220"/>
      <c r="J111" s="220"/>
      <c r="K111" s="220"/>
      <c r="L111" s="221"/>
      <c r="M111" s="221"/>
      <c r="N111" s="221"/>
      <c r="O111" s="221"/>
      <c r="P111" s="221"/>
      <c r="Q111" s="221"/>
      <c r="R111" s="221"/>
      <c r="S111" s="221"/>
      <c r="T111" s="221"/>
      <c r="U111" s="177"/>
      <c r="V111" s="177">
        <f t="shared" ref="V111:AA111" si="205">+V54</f>
        <v>1.677</v>
      </c>
      <c r="W111" s="177">
        <f t="shared" si="205"/>
        <v>12.996</v>
      </c>
      <c r="X111" s="177">
        <f t="shared" si="205"/>
        <v>33.441000000000003</v>
      </c>
      <c r="Y111" s="177">
        <f t="shared" si="205"/>
        <v>96.837999999999994</v>
      </c>
      <c r="Z111" s="177">
        <f t="shared" si="205"/>
        <v>251.709</v>
      </c>
      <c r="AA111" s="177">
        <f t="shared" si="205"/>
        <v>400.73399999999998</v>
      </c>
      <c r="AB111" s="101">
        <f>SUM(AB107:AB110)</f>
        <v>722.9137344781152</v>
      </c>
      <c r="AC111" s="101">
        <f t="shared" ref="AC111:AM111" si="206">SUM(AC107:AC110)</f>
        <v>1072.0414120819501</v>
      </c>
      <c r="AD111" s="101">
        <f t="shared" si="206"/>
        <v>1408.0827329756503</v>
      </c>
      <c r="AE111" s="101">
        <f t="shared" si="206"/>
        <v>1743.9879334091047</v>
      </c>
      <c r="AF111" s="101">
        <f t="shared" si="206"/>
        <v>2075.049116560428</v>
      </c>
      <c r="AG111" s="101">
        <f t="shared" ca="1" si="206"/>
        <v>2384.7304968289336</v>
      </c>
      <c r="AH111" s="101">
        <f t="shared" ca="1" si="206"/>
        <v>2708.4138504637867</v>
      </c>
      <c r="AI111" s="101">
        <f t="shared" ca="1" si="206"/>
        <v>3021.9377544930694</v>
      </c>
      <c r="AJ111" s="101">
        <f t="shared" ca="1" si="206"/>
        <v>3342.6566574476078</v>
      </c>
      <c r="AK111" s="101">
        <f t="shared" ca="1" si="206"/>
        <v>3670.5634685548334</v>
      </c>
      <c r="AL111" s="101">
        <f t="shared" ca="1" si="206"/>
        <v>3907.0282241994382</v>
      </c>
      <c r="AM111" s="101">
        <f t="shared" ca="1" si="206"/>
        <v>4155.7878123613546</v>
      </c>
      <c r="AN111" s="7"/>
    </row>
    <row r="112" spans="2:40">
      <c r="B112"/>
      <c r="D112" t="s">
        <v>299</v>
      </c>
      <c r="P112" s="74"/>
      <c r="Q112" s="74"/>
      <c r="R112" s="74"/>
      <c r="S112" s="90"/>
      <c r="T112" s="90"/>
      <c r="U112" s="90"/>
      <c r="V112" s="230">
        <v>0.3</v>
      </c>
      <c r="W112" s="230">
        <v>0.3</v>
      </c>
      <c r="X112" s="230">
        <v>0.3</v>
      </c>
      <c r="Y112" s="230">
        <v>0.3</v>
      </c>
      <c r="Z112" s="230">
        <v>0.3</v>
      </c>
      <c r="AA112" s="230">
        <v>0.3</v>
      </c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</row>
    <row r="113" spans="2:41">
      <c r="B113"/>
      <c r="D113" t="s">
        <v>326</v>
      </c>
      <c r="P113" s="74"/>
      <c r="Q113" s="74"/>
      <c r="R113" s="74"/>
      <c r="S113" s="90"/>
      <c r="T113" s="90"/>
      <c r="U113" s="90"/>
      <c r="V113" s="268">
        <f t="shared" ref="V113:AM113" si="207">SUM(V109:V110)/V85</f>
        <v>1.2316438882309638E-2</v>
      </c>
      <c r="W113" s="268">
        <f t="shared" si="207"/>
        <v>1.2767691358493987E-2</v>
      </c>
      <c r="X113" s="268">
        <f t="shared" si="207"/>
        <v>1.0765169434632304E-2</v>
      </c>
      <c r="Y113" s="268">
        <f t="shared" si="207"/>
        <v>2.1469834093818359E-2</v>
      </c>
      <c r="Z113" s="268">
        <f t="shared" si="207"/>
        <v>2.8287542159988847E-2</v>
      </c>
      <c r="AA113" s="268">
        <f t="shared" si="207"/>
        <v>3.3288026081114287E-2</v>
      </c>
      <c r="AB113" s="268">
        <f t="shared" si="207"/>
        <v>3.5178457191893622E-2</v>
      </c>
      <c r="AC113" s="268">
        <f t="shared" si="207"/>
        <v>3.6133921461303085E-2</v>
      </c>
      <c r="AD113" s="268">
        <f t="shared" si="207"/>
        <v>3.6758458375449062E-2</v>
      </c>
      <c r="AE113" s="268">
        <f t="shared" si="207"/>
        <v>3.7030743252304245E-2</v>
      </c>
      <c r="AF113" s="268">
        <f t="shared" si="207"/>
        <v>3.6939309318347942E-2</v>
      </c>
      <c r="AG113" s="268">
        <f t="shared" ca="1" si="207"/>
        <v>3.6848101147191531E-2</v>
      </c>
      <c r="AH113" s="268">
        <f t="shared" ca="1" si="207"/>
        <v>3.6757118181395994E-2</v>
      </c>
      <c r="AI113" s="268">
        <f t="shared" ca="1" si="207"/>
        <v>3.6484843231904179E-2</v>
      </c>
      <c r="AJ113" s="268">
        <f t="shared" ca="1" si="207"/>
        <v>3.6214585133890059E-2</v>
      </c>
      <c r="AK113" s="268">
        <f t="shared" si="207"/>
        <v>3.5946328947713102E-2</v>
      </c>
      <c r="AL113" s="268">
        <f t="shared" si="207"/>
        <v>3.5680059844396705E-2</v>
      </c>
      <c r="AM113" s="268">
        <f t="shared" si="207"/>
        <v>3.5415763104808574E-2</v>
      </c>
    </row>
    <row r="114" spans="2:41">
      <c r="B114"/>
      <c r="G114" s="7"/>
      <c r="H114" s="7"/>
      <c r="I114" s="7"/>
      <c r="J114" s="7"/>
      <c r="K114" s="7"/>
      <c r="L114" s="7"/>
      <c r="M114" s="7"/>
      <c r="N114" s="7"/>
      <c r="O114" s="7"/>
      <c r="P114" s="99"/>
      <c r="Q114" s="7"/>
      <c r="R114" s="7"/>
      <c r="S114" s="7"/>
      <c r="T114" s="214"/>
      <c r="U114" s="21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/>
      <c r="AF114" s="214"/>
      <c r="AG114" s="214"/>
      <c r="AH114" s="214"/>
      <c r="AI114" s="214"/>
      <c r="AJ114" s="214"/>
      <c r="AK114" s="214"/>
      <c r="AL114" s="214"/>
      <c r="AM114" s="214"/>
    </row>
    <row r="115" spans="2:41">
      <c r="B115"/>
      <c r="D115" t="s">
        <v>301</v>
      </c>
      <c r="G115" s="7"/>
      <c r="H115" s="7"/>
      <c r="I115" s="7"/>
      <c r="J115" s="7"/>
      <c r="K115" s="7"/>
      <c r="L115" s="7"/>
      <c r="M115" s="7"/>
      <c r="N115" s="7"/>
      <c r="O115" s="7"/>
      <c r="P115" s="99"/>
      <c r="Q115" s="7"/>
      <c r="R115" s="7"/>
      <c r="S115" s="7"/>
      <c r="T115" s="214"/>
      <c r="U115" s="93"/>
      <c r="V115" s="93">
        <f t="shared" ref="V115:AA115" si="208">V109/(V69/1000)</f>
        <v>165.17660585620115</v>
      </c>
      <c r="W115" s="93">
        <f t="shared" si="208"/>
        <v>162.91706199029903</v>
      </c>
      <c r="X115" s="93">
        <f t="shared" si="208"/>
        <v>135.70567431980479</v>
      </c>
      <c r="Y115" s="93">
        <f t="shared" si="208"/>
        <v>285.0685807795299</v>
      </c>
      <c r="Z115" s="93">
        <f t="shared" si="208"/>
        <v>381.48497879458631</v>
      </c>
      <c r="AA115" s="93">
        <f t="shared" si="208"/>
        <v>452.5135491641098</v>
      </c>
      <c r="AB115" s="267">
        <f>+AA115*(1+AB116)</f>
        <v>484.18949760559752</v>
      </c>
      <c r="AC115" s="267">
        <f t="shared" ref="AC115" si="209">+AB115*(1+AC116)</f>
        <v>503.55707750982145</v>
      </c>
      <c r="AD115" s="267">
        <f t="shared" ref="AD115" si="210">+AC115*(1+AD116)</f>
        <v>518.66378983511606</v>
      </c>
      <c r="AE115" s="267">
        <f t="shared" ref="AE115" si="211">+AD115*(1+AE116)</f>
        <v>529.03706563181845</v>
      </c>
      <c r="AF115" s="267">
        <f t="shared" ref="AF115" si="212">+AE115*(1+AF116)</f>
        <v>534.3274362881366</v>
      </c>
      <c r="AG115" s="267">
        <f t="shared" ref="AG115" si="213">+AF115*(1+AG116)</f>
        <v>539.670710651018</v>
      </c>
      <c r="AH115" s="267">
        <f t="shared" ref="AH115" si="214">+AG115*(1+AH116)</f>
        <v>545.06741775752823</v>
      </c>
      <c r="AI115" s="267">
        <f t="shared" ref="AI115" si="215">+AH115*(1+AI116)</f>
        <v>547.7927548463158</v>
      </c>
      <c r="AJ115" s="267">
        <f t="shared" ref="AJ115" si="216">+AI115*(1+AJ116)</f>
        <v>550.53171862054728</v>
      </c>
      <c r="AK115" s="267">
        <f t="shared" ref="AK115" si="217">+AJ115*(1+AK116)</f>
        <v>553.28437721364992</v>
      </c>
      <c r="AL115" s="267">
        <f t="shared" ref="AL115" si="218">+AK115*(1+AL116)</f>
        <v>556.05079909971812</v>
      </c>
      <c r="AM115" s="267">
        <f t="shared" ref="AM115" si="219">+AL115*(1+AM116)</f>
        <v>558.8310530952167</v>
      </c>
    </row>
    <row r="116" spans="2:41">
      <c r="B116"/>
      <c r="D116" s="70" t="s">
        <v>325</v>
      </c>
      <c r="G116" s="7"/>
      <c r="H116" s="7"/>
      <c r="I116" s="7"/>
      <c r="J116" s="7"/>
      <c r="K116" s="7"/>
      <c r="L116" s="7"/>
      <c r="M116" s="7"/>
      <c r="N116" s="7"/>
      <c r="O116" s="7"/>
      <c r="P116" s="99"/>
      <c r="Q116" s="7"/>
      <c r="R116" s="7"/>
      <c r="S116" s="7"/>
      <c r="T116" s="214"/>
      <c r="U116" s="93"/>
      <c r="V116" s="93"/>
      <c r="W116" s="74">
        <f t="shared" ref="W116:Y116" si="220">+W115/V115-1</f>
        <v>-1.3679563484124468E-2</v>
      </c>
      <c r="X116" s="74">
        <f t="shared" si="220"/>
        <v>-0.16702601518872562</v>
      </c>
      <c r="Y116" s="74">
        <f t="shared" si="220"/>
        <v>1.1006386225806271</v>
      </c>
      <c r="Z116" s="74">
        <f>+Z115/Y115-1</f>
        <v>0.33822176316801533</v>
      </c>
      <c r="AA116" s="74">
        <f>+AA115/Z115-1</f>
        <v>0.18618969112220118</v>
      </c>
      <c r="AB116" s="83">
        <v>7.0000000000000007E-2</v>
      </c>
      <c r="AC116" s="83">
        <v>0.04</v>
      </c>
      <c r="AD116" s="83">
        <v>0.03</v>
      </c>
      <c r="AE116" s="83">
        <v>0.02</v>
      </c>
      <c r="AF116" s="83">
        <v>0.01</v>
      </c>
      <c r="AG116" s="83">
        <v>0.01</v>
      </c>
      <c r="AH116" s="83">
        <v>0.01</v>
      </c>
      <c r="AI116" s="83">
        <v>5.0000000000000001E-3</v>
      </c>
      <c r="AJ116" s="83">
        <v>5.0000000000000001E-3</v>
      </c>
      <c r="AK116" s="83">
        <v>5.0000000000000001E-3</v>
      </c>
      <c r="AL116" s="83">
        <v>5.0000000000000001E-3</v>
      </c>
      <c r="AM116" s="83">
        <v>5.0000000000000001E-3</v>
      </c>
    </row>
    <row r="117" spans="2:41">
      <c r="B117"/>
      <c r="D117" t="s">
        <v>302</v>
      </c>
      <c r="G117" s="7"/>
      <c r="H117" s="7"/>
      <c r="I117" s="7"/>
      <c r="J117" s="7"/>
      <c r="K117" s="7"/>
      <c r="L117" s="7"/>
      <c r="M117" s="7"/>
      <c r="N117" s="7"/>
      <c r="O117" s="7"/>
      <c r="P117" s="99"/>
      <c r="Q117" s="7"/>
      <c r="R117" s="7"/>
      <c r="S117" s="7"/>
      <c r="T117" s="214"/>
      <c r="U117" s="93"/>
      <c r="V117" s="93">
        <f t="shared" ref="V117:AA117" si="221">V110/(V69/1000)</f>
        <v>70.789973938371915</v>
      </c>
      <c r="W117" s="93">
        <f t="shared" si="221"/>
        <v>69.821597995842438</v>
      </c>
      <c r="X117" s="93">
        <f t="shared" si="221"/>
        <v>58.159574708487767</v>
      </c>
      <c r="Y117" s="93">
        <f t="shared" si="221"/>
        <v>122.1722489055128</v>
      </c>
      <c r="Z117" s="93">
        <f t="shared" si="221"/>
        <v>163.49356234053698</v>
      </c>
      <c r="AA117" s="93">
        <f t="shared" si="221"/>
        <v>193.93437821318989</v>
      </c>
      <c r="AB117" s="267">
        <f>+AA117*(1+AB118)</f>
        <v>207.5097846881132</v>
      </c>
      <c r="AC117" s="267">
        <f t="shared" ref="AC117" si="222">+AB117*(1+AC118)</f>
        <v>215.81017607563774</v>
      </c>
      <c r="AD117" s="267">
        <f t="shared" ref="AD117" si="223">+AC117*(1+AD118)</f>
        <v>222.28448135790688</v>
      </c>
      <c r="AE117" s="267">
        <f t="shared" ref="AE117" si="224">+AD117*(1+AE118)</f>
        <v>226.73017098506503</v>
      </c>
      <c r="AF117" s="267">
        <f t="shared" ref="AF117" si="225">+AE117*(1+AF118)</f>
        <v>228.99747269491567</v>
      </c>
      <c r="AG117" s="267">
        <f t="shared" ref="AG117" si="226">+AF117*(1+AG118)</f>
        <v>231.28744742186484</v>
      </c>
      <c r="AH117" s="267">
        <f t="shared" ref="AH117" si="227">+AG117*(1+AH118)</f>
        <v>233.6003218960835</v>
      </c>
      <c r="AI117" s="267">
        <f t="shared" ref="AI117" si="228">+AH117*(1+AI118)</f>
        <v>234.7683235055639</v>
      </c>
      <c r="AJ117" s="267">
        <f t="shared" ref="AJ117" si="229">+AI117*(1+AJ118)</f>
        <v>235.94216512309168</v>
      </c>
      <c r="AK117" s="267">
        <f t="shared" ref="AK117" si="230">+AJ117*(1+AK118)</f>
        <v>237.12187594870713</v>
      </c>
      <c r="AL117" s="267">
        <f t="shared" ref="AL117" si="231">+AK117*(1+AL118)</f>
        <v>238.30748532845064</v>
      </c>
      <c r="AM117" s="267">
        <f t="shared" ref="AM117" si="232">+AL117*(1+AM118)</f>
        <v>239.49902275509288</v>
      </c>
    </row>
    <row r="118" spans="2:41">
      <c r="B118"/>
      <c r="D118" s="70" t="s">
        <v>325</v>
      </c>
      <c r="G118" s="7"/>
      <c r="H118" s="7"/>
      <c r="I118" s="7"/>
      <c r="J118" s="7"/>
      <c r="K118" s="7"/>
      <c r="L118" s="7"/>
      <c r="M118" s="7"/>
      <c r="N118" s="7"/>
      <c r="O118" s="7"/>
      <c r="P118" s="99"/>
      <c r="Q118" s="7"/>
      <c r="R118" s="7"/>
      <c r="S118" s="7"/>
      <c r="T118" s="214"/>
      <c r="U118" s="93"/>
      <c r="V118" s="93"/>
      <c r="W118" s="74">
        <f t="shared" ref="W118:Y118" si="233">+W117/V117-1</f>
        <v>-1.3679563484124468E-2</v>
      </c>
      <c r="X118" s="74">
        <f t="shared" si="233"/>
        <v>-0.16702601518872562</v>
      </c>
      <c r="Y118" s="74">
        <f t="shared" si="233"/>
        <v>1.1006386225806266</v>
      </c>
      <c r="Z118" s="74">
        <f>+Z117/Y117-1</f>
        <v>0.33822176316801533</v>
      </c>
      <c r="AA118" s="74">
        <f>+AA117/Z117-1</f>
        <v>0.18618969112220096</v>
      </c>
      <c r="AB118" s="83">
        <v>7.0000000000000007E-2</v>
      </c>
      <c r="AC118" s="83">
        <v>0.04</v>
      </c>
      <c r="AD118" s="83">
        <v>0.03</v>
      </c>
      <c r="AE118" s="83">
        <v>0.02</v>
      </c>
      <c r="AF118" s="83">
        <v>0.01</v>
      </c>
      <c r="AG118" s="83">
        <v>0.01</v>
      </c>
      <c r="AH118" s="83">
        <v>0.01</v>
      </c>
      <c r="AI118" s="83">
        <v>5.0000000000000001E-3</v>
      </c>
      <c r="AJ118" s="83">
        <v>5.0000000000000001E-3</v>
      </c>
      <c r="AK118" s="83">
        <v>5.0000000000000001E-3</v>
      </c>
      <c r="AL118" s="83">
        <v>5.0000000000000001E-3</v>
      </c>
      <c r="AM118" s="83">
        <v>5.0000000000000001E-3</v>
      </c>
    </row>
    <row r="119" spans="2:41">
      <c r="B119"/>
      <c r="D119" t="s">
        <v>422</v>
      </c>
      <c r="G119" s="7"/>
      <c r="H119" s="7"/>
      <c r="I119" s="7"/>
      <c r="J119" s="7"/>
      <c r="K119" s="7"/>
      <c r="L119" s="7"/>
      <c r="M119" s="7"/>
      <c r="N119" s="7"/>
      <c r="O119" s="7"/>
      <c r="P119" s="99"/>
      <c r="Q119" s="7"/>
      <c r="R119" s="7"/>
      <c r="S119" s="7"/>
      <c r="T119" s="214"/>
      <c r="U119" s="93"/>
      <c r="V119" s="93">
        <f t="shared" ref="V119:AA119" si="234">+V117+V115</f>
        <v>235.96657979457308</v>
      </c>
      <c r="W119" s="93">
        <f t="shared" si="234"/>
        <v>232.73865998614147</v>
      </c>
      <c r="X119" s="93">
        <f t="shared" si="234"/>
        <v>193.86524902829257</v>
      </c>
      <c r="Y119" s="93">
        <f t="shared" si="234"/>
        <v>407.24082968504268</v>
      </c>
      <c r="Z119" s="93">
        <f t="shared" si="234"/>
        <v>544.97854113512335</v>
      </c>
      <c r="AA119" s="93">
        <f t="shared" si="234"/>
        <v>646.44792737729972</v>
      </c>
      <c r="AB119" s="93">
        <f t="shared" ref="AB119:AM119" si="235">+AB117+AB115</f>
        <v>691.69928229371067</v>
      </c>
      <c r="AC119" s="93">
        <f t="shared" si="235"/>
        <v>719.36725358545914</v>
      </c>
      <c r="AD119" s="93">
        <f t="shared" si="235"/>
        <v>740.94827119302295</v>
      </c>
      <c r="AE119" s="93">
        <f t="shared" si="235"/>
        <v>755.76723661688345</v>
      </c>
      <c r="AF119" s="93">
        <f t="shared" si="235"/>
        <v>763.3249089830523</v>
      </c>
      <c r="AG119" s="93">
        <f t="shared" si="235"/>
        <v>770.95815807288284</v>
      </c>
      <c r="AH119" s="93">
        <f t="shared" si="235"/>
        <v>778.66773965361176</v>
      </c>
      <c r="AI119" s="93">
        <f t="shared" si="235"/>
        <v>782.5610783518797</v>
      </c>
      <c r="AJ119" s="93">
        <f t="shared" si="235"/>
        <v>786.47388374363891</v>
      </c>
      <c r="AK119" s="93">
        <f t="shared" si="235"/>
        <v>790.40625316235707</v>
      </c>
      <c r="AL119" s="93">
        <f t="shared" si="235"/>
        <v>794.35828442816876</v>
      </c>
      <c r="AM119" s="93">
        <f t="shared" si="235"/>
        <v>798.33007585030964</v>
      </c>
    </row>
    <row r="120" spans="2:41">
      <c r="D120" t="s">
        <v>423</v>
      </c>
      <c r="R120" s="14"/>
      <c r="S120" s="14"/>
      <c r="T120" s="14"/>
      <c r="U120" s="14"/>
      <c r="V120" s="334">
        <v>431.98007536261804</v>
      </c>
      <c r="W120" s="334">
        <v>455.09121189821451</v>
      </c>
      <c r="X120" s="334">
        <v>466.24311168767815</v>
      </c>
      <c r="Y120" s="334">
        <v>510.70750012350442</v>
      </c>
      <c r="Z120" s="334">
        <v>525.31706379707907</v>
      </c>
      <c r="AA120" s="334">
        <v>549.03692432919865</v>
      </c>
      <c r="AB120" s="334">
        <v>557.23945107936095</v>
      </c>
      <c r="AC120" s="334">
        <v>565.61545657839758</v>
      </c>
      <c r="AD120" s="334">
        <v>574.11736391009163</v>
      </c>
      <c r="AE120" s="334">
        <v>582.74706553636508</v>
      </c>
      <c r="AF120" s="334">
        <v>591.50648236520851</v>
      </c>
      <c r="AG120" s="334">
        <v>600.3975641782605</v>
      </c>
      <c r="AH120" s="334">
        <v>609.422290064815</v>
      </c>
      <c r="AI120" s="334">
        <v>618.58266886235162</v>
      </c>
      <c r="AJ120" s="334">
        <v>627.88073960368877</v>
      </c>
      <c r="AK120" s="334">
        <v>637.31857197085651</v>
      </c>
      <c r="AL120" s="334">
        <v>646.89826675579354</v>
      </c>
      <c r="AM120" s="93"/>
    </row>
    <row r="121" spans="2:41"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2:41">
      <c r="B122"/>
      <c r="D122" t="s">
        <v>210</v>
      </c>
      <c r="P122" s="74"/>
      <c r="Q122" s="74"/>
      <c r="R122" s="74"/>
      <c r="S122" s="90"/>
      <c r="T122" s="90"/>
      <c r="U122" s="75">
        <f t="shared" ref="U122" si="236">+U54</f>
        <v>3.4000000000000002E-2</v>
      </c>
      <c r="V122" s="75">
        <f t="shared" ref="V122:AA122" si="237">+V54</f>
        <v>1.677</v>
      </c>
      <c r="W122" s="75">
        <f t="shared" si="237"/>
        <v>12.996</v>
      </c>
      <c r="X122" s="75">
        <f t="shared" si="237"/>
        <v>33.441000000000003</v>
      </c>
      <c r="Y122" s="75">
        <f t="shared" si="237"/>
        <v>96.837999999999994</v>
      </c>
      <c r="Z122" s="75">
        <f t="shared" si="237"/>
        <v>251.709</v>
      </c>
      <c r="AA122" s="75">
        <f t="shared" si="237"/>
        <v>400.73399999999998</v>
      </c>
      <c r="AB122" s="69">
        <f t="shared" ref="AB122:AM122" si="238">+AB111</f>
        <v>722.9137344781152</v>
      </c>
      <c r="AC122" s="69">
        <f t="shared" si="238"/>
        <v>1072.0414120819501</v>
      </c>
      <c r="AD122" s="69">
        <f t="shared" si="238"/>
        <v>1408.0827329756503</v>
      </c>
      <c r="AE122" s="69">
        <f t="shared" si="238"/>
        <v>1743.9879334091047</v>
      </c>
      <c r="AF122" s="69">
        <f t="shared" si="238"/>
        <v>2075.049116560428</v>
      </c>
      <c r="AG122" s="69">
        <f t="shared" ca="1" si="238"/>
        <v>2384.7304968289336</v>
      </c>
      <c r="AH122" s="69">
        <f t="shared" ca="1" si="238"/>
        <v>2708.4138504637867</v>
      </c>
      <c r="AI122" s="69">
        <f t="shared" ca="1" si="238"/>
        <v>3021.9377544930694</v>
      </c>
      <c r="AJ122" s="69">
        <f t="shared" ca="1" si="238"/>
        <v>3342.6566574476078</v>
      </c>
      <c r="AK122" s="69">
        <f t="shared" ca="1" si="238"/>
        <v>3670.5634685548334</v>
      </c>
      <c r="AL122" s="69">
        <f t="shared" ca="1" si="238"/>
        <v>3907.0282241994382</v>
      </c>
      <c r="AM122" s="69">
        <f t="shared" ca="1" si="238"/>
        <v>4155.7878123613546</v>
      </c>
    </row>
    <row r="123" spans="2:41">
      <c r="B123"/>
      <c r="D123" s="70" t="s">
        <v>263</v>
      </c>
      <c r="P123" s="74"/>
      <c r="Q123" s="74"/>
      <c r="R123" s="74"/>
      <c r="S123" s="90"/>
      <c r="T123" s="90"/>
      <c r="U123" s="75">
        <f t="shared" ref="U123" si="239">+U124-U122</f>
        <v>0</v>
      </c>
      <c r="V123" s="75">
        <f t="shared" ref="V123:Z123" si="240">+V124-V122</f>
        <v>0</v>
      </c>
      <c r="W123" s="75">
        <f t="shared" si="240"/>
        <v>0</v>
      </c>
      <c r="X123" s="75">
        <f t="shared" si="240"/>
        <v>-1.0000000000047748E-3</v>
      </c>
      <c r="Y123" s="75">
        <f t="shared" si="240"/>
        <v>0</v>
      </c>
      <c r="Z123" s="75">
        <f t="shared" si="240"/>
        <v>0</v>
      </c>
      <c r="AA123" s="75">
        <f>+AA124-AA122</f>
        <v>0</v>
      </c>
      <c r="AB123" s="75">
        <f t="shared" ref="AB123" si="241">+AB124-AB122</f>
        <v>0</v>
      </c>
      <c r="AC123" s="75">
        <f t="shared" ref="AC123" si="242">+AC124-AC122</f>
        <v>0</v>
      </c>
      <c r="AD123" s="75">
        <f t="shared" ref="AD123" si="243">+AD124-AD122</f>
        <v>0</v>
      </c>
      <c r="AE123" s="75">
        <f t="shared" ref="AE123" si="244">+AE124-AE122</f>
        <v>0</v>
      </c>
      <c r="AF123" s="75">
        <f t="shared" ref="AF123" si="245">+AF124-AF122</f>
        <v>0</v>
      </c>
      <c r="AG123" s="75">
        <f t="shared" ref="AG123" ca="1" si="246">+AG124-AG122</f>
        <v>0</v>
      </c>
      <c r="AH123" s="75">
        <f t="shared" ref="AH123" ca="1" si="247">+AH124-AH122</f>
        <v>0</v>
      </c>
      <c r="AI123" s="75">
        <f t="shared" ref="AI123" ca="1" si="248">+AI124-AI122</f>
        <v>0</v>
      </c>
      <c r="AJ123" s="75">
        <f t="shared" ref="AJ123" ca="1" si="249">+AJ124-AJ122</f>
        <v>0</v>
      </c>
      <c r="AK123" s="75">
        <f t="shared" ref="AK123" ca="1" si="250">+AK124-AK122</f>
        <v>0</v>
      </c>
      <c r="AL123" s="75">
        <f t="shared" ref="AL123" ca="1" si="251">+AL124-AL122</f>
        <v>0</v>
      </c>
      <c r="AM123" s="75">
        <f t="shared" ref="AM123" ca="1" si="252">+AM124-AM122</f>
        <v>0</v>
      </c>
    </row>
    <row r="124" spans="2:41">
      <c r="B124"/>
      <c r="D124" s="2" t="s">
        <v>264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60"/>
      <c r="Q124" s="260"/>
      <c r="R124" s="260"/>
      <c r="S124" s="261"/>
      <c r="T124" s="261"/>
      <c r="U124" s="262">
        <f t="shared" ref="U124" si="253">+U59</f>
        <v>3.4000000000000002E-2</v>
      </c>
      <c r="V124" s="262">
        <f t="shared" ref="V124:AA124" si="254">+V59</f>
        <v>1.677</v>
      </c>
      <c r="W124" s="262">
        <f t="shared" si="254"/>
        <v>12.996</v>
      </c>
      <c r="X124" s="262">
        <f t="shared" si="254"/>
        <v>33.44</v>
      </c>
      <c r="Y124" s="262">
        <f t="shared" si="254"/>
        <v>96.837999999999994</v>
      </c>
      <c r="Z124" s="262">
        <f t="shared" si="254"/>
        <v>251.709</v>
      </c>
      <c r="AA124" s="262">
        <f t="shared" si="254"/>
        <v>400.73399999999998</v>
      </c>
      <c r="AB124" s="263">
        <f>+AB122</f>
        <v>722.9137344781152</v>
      </c>
      <c r="AC124" s="263">
        <f t="shared" ref="AC124:AM124" si="255">+AC122</f>
        <v>1072.0414120819501</v>
      </c>
      <c r="AD124" s="263">
        <f t="shared" si="255"/>
        <v>1408.0827329756503</v>
      </c>
      <c r="AE124" s="263">
        <f t="shared" si="255"/>
        <v>1743.9879334091047</v>
      </c>
      <c r="AF124" s="263">
        <f t="shared" si="255"/>
        <v>2075.049116560428</v>
      </c>
      <c r="AG124" s="263">
        <f t="shared" ca="1" si="255"/>
        <v>2384.7304968289336</v>
      </c>
      <c r="AH124" s="263">
        <f t="shared" ca="1" si="255"/>
        <v>2708.4138504637867</v>
      </c>
      <c r="AI124" s="263">
        <f t="shared" ca="1" si="255"/>
        <v>3021.9377544930694</v>
      </c>
      <c r="AJ124" s="263">
        <f t="shared" ca="1" si="255"/>
        <v>3342.6566574476078</v>
      </c>
      <c r="AK124" s="263">
        <f t="shared" ca="1" si="255"/>
        <v>3670.5634685548334</v>
      </c>
      <c r="AL124" s="263">
        <f t="shared" ca="1" si="255"/>
        <v>3907.0282241994382</v>
      </c>
      <c r="AM124" s="263">
        <f t="shared" ca="1" si="255"/>
        <v>4155.7878123613546</v>
      </c>
    </row>
    <row r="125" spans="2:41">
      <c r="R125" s="14"/>
      <c r="S125" s="14"/>
      <c r="T125" s="14"/>
      <c r="U125" s="14"/>
      <c r="V125" s="14"/>
      <c r="W125" s="14"/>
      <c r="X125" s="14"/>
      <c r="Y125" s="14"/>
      <c r="Z125" s="14"/>
      <c r="AO125" s="332"/>
    </row>
    <row r="127" spans="2:41" ht="15" thickBot="1">
      <c r="D127" s="278" t="s">
        <v>350</v>
      </c>
      <c r="E127" s="276"/>
      <c r="F127" s="276"/>
      <c r="G127" s="276"/>
      <c r="H127" s="276"/>
      <c r="I127" s="276"/>
      <c r="J127" s="276"/>
      <c r="K127" s="276"/>
      <c r="L127" s="276"/>
      <c r="M127" s="276"/>
      <c r="N127" s="276"/>
      <c r="O127" s="276"/>
      <c r="P127" s="276"/>
      <c r="Q127" s="276"/>
      <c r="R127" s="277"/>
      <c r="S127" s="277"/>
      <c r="T127" s="277"/>
      <c r="U127" s="277"/>
      <c r="V127" s="277"/>
      <c r="W127" s="277"/>
      <c r="X127" s="277"/>
      <c r="Y127" s="277"/>
      <c r="Z127" s="277"/>
      <c r="AA127" s="277"/>
      <c r="AB127" s="276"/>
      <c r="AC127" s="276"/>
      <c r="AD127" s="276"/>
      <c r="AE127" s="276"/>
      <c r="AF127" s="276"/>
      <c r="AG127" s="276"/>
      <c r="AH127" s="276"/>
      <c r="AI127" s="276"/>
      <c r="AJ127" s="276"/>
      <c r="AK127" s="276"/>
      <c r="AL127" s="276"/>
      <c r="AM127" s="276"/>
    </row>
    <row r="128" spans="2:41" ht="5.15" customHeight="1">
      <c r="B128" s="154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7"/>
      <c r="AO128" s="1"/>
    </row>
    <row r="129" spans="2:41">
      <c r="D129" s="180" t="s">
        <v>351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20"/>
      <c r="S129" s="20"/>
      <c r="T129" s="20"/>
      <c r="U129" s="64"/>
      <c r="V129" s="64">
        <f t="shared" ref="V129:AA129" si="256">+U133</f>
        <v>0</v>
      </c>
      <c r="W129" s="64">
        <f t="shared" si="256"/>
        <v>0</v>
      </c>
      <c r="X129" s="64">
        <f t="shared" si="256"/>
        <v>0</v>
      </c>
      <c r="Y129" s="64">
        <f t="shared" si="256"/>
        <v>0</v>
      </c>
      <c r="Z129" s="64">
        <f t="shared" si="256"/>
        <v>0</v>
      </c>
      <c r="AA129" s="64">
        <f t="shared" si="256"/>
        <v>98.78</v>
      </c>
      <c r="AB129" s="64">
        <f t="shared" ref="AB129:AM129" si="257">+AA133</f>
        <v>131.274</v>
      </c>
      <c r="AC129" s="64">
        <f t="shared" si="257"/>
        <v>173.44781784880306</v>
      </c>
      <c r="AD129" s="64">
        <f t="shared" si="257"/>
        <v>237.98466219763233</v>
      </c>
      <c r="AE129" s="64">
        <f t="shared" si="257"/>
        <v>317.43945273209647</v>
      </c>
      <c r="AF129" s="64">
        <f t="shared" si="257"/>
        <v>409.85748040278565</v>
      </c>
      <c r="AG129" s="64">
        <f t="shared" si="257"/>
        <v>513.84943980025287</v>
      </c>
      <c r="AH129" s="64">
        <f t="shared" ca="1" si="257"/>
        <v>623.82316719619803</v>
      </c>
      <c r="AI129" s="64">
        <f t="shared" ca="1" si="257"/>
        <v>739.76290488483892</v>
      </c>
      <c r="AJ129" s="64">
        <f t="shared" ca="1" si="257"/>
        <v>861.71107739278523</v>
      </c>
      <c r="AK129" s="64">
        <f t="shared" ca="1" si="257"/>
        <v>989.75553947393587</v>
      </c>
      <c r="AL129" s="64">
        <f t="shared" ca="1" si="257"/>
        <v>1124.020068038622</v>
      </c>
      <c r="AM129" s="64">
        <f t="shared" ca="1" si="257"/>
        <v>1253.8961179137175</v>
      </c>
    </row>
    <row r="130" spans="2:41">
      <c r="D130" t="s">
        <v>354</v>
      </c>
      <c r="R130" s="14"/>
      <c r="S130" s="14"/>
      <c r="T130" s="14"/>
      <c r="U130" s="14"/>
      <c r="V130" s="80"/>
      <c r="W130" s="80"/>
      <c r="X130" s="80"/>
      <c r="Y130" s="80"/>
      <c r="Z130" s="80">
        <v>-0.96399999999999997</v>
      </c>
      <c r="AA130" s="80">
        <v>8.8230000000000004</v>
      </c>
      <c r="AB130" s="80">
        <v>0</v>
      </c>
      <c r="AC130" s="80">
        <v>0</v>
      </c>
      <c r="AD130" s="80">
        <v>0</v>
      </c>
      <c r="AE130" s="80">
        <v>0</v>
      </c>
      <c r="AF130" s="80">
        <v>0</v>
      </c>
      <c r="AG130" s="80">
        <v>0</v>
      </c>
      <c r="AH130" s="80">
        <v>0</v>
      </c>
      <c r="AI130" s="80">
        <v>0</v>
      </c>
      <c r="AJ130" s="80">
        <v>0</v>
      </c>
      <c r="AK130" s="80">
        <v>0</v>
      </c>
      <c r="AL130" s="80">
        <v>0</v>
      </c>
      <c r="AM130" s="80">
        <v>0</v>
      </c>
    </row>
    <row r="131" spans="2:41">
      <c r="D131" t="s">
        <v>353</v>
      </c>
      <c r="R131" s="14"/>
      <c r="S131" s="14"/>
      <c r="T131" s="14"/>
      <c r="U131" s="14"/>
      <c r="V131" s="14"/>
      <c r="W131" s="14"/>
      <c r="X131" s="14"/>
      <c r="Y131" s="14"/>
      <c r="Z131" s="80">
        <v>-2.7989999999999999</v>
      </c>
      <c r="AA131" s="80">
        <v>-13.875</v>
      </c>
      <c r="AB131" s="91">
        <f>+AA133/-AB135</f>
        <v>-32.8185</v>
      </c>
      <c r="AC131" s="91">
        <f t="shared" ref="AC131:AM131" si="258">+AB133/-AC135</f>
        <v>-43.361954462200764</v>
      </c>
      <c r="AD131" s="91">
        <f t="shared" si="258"/>
        <v>-59.496165549408083</v>
      </c>
      <c r="AE131" s="91">
        <f t="shared" si="258"/>
        <v>-79.359863183024117</v>
      </c>
      <c r="AF131" s="91">
        <f t="shared" si="258"/>
        <v>-102.46437010069641</v>
      </c>
      <c r="AG131" s="91">
        <f t="shared" si="258"/>
        <v>-128.46235995006322</v>
      </c>
      <c r="AH131" s="91">
        <f t="shared" ca="1" si="258"/>
        <v>-155.95579179904951</v>
      </c>
      <c r="AI131" s="91">
        <f t="shared" ca="1" si="258"/>
        <v>-184.94072622120973</v>
      </c>
      <c r="AJ131" s="91">
        <f t="shared" ca="1" si="258"/>
        <v>-215.42776934819631</v>
      </c>
      <c r="AK131" s="91">
        <f t="shared" ca="1" si="258"/>
        <v>-247.43888486848397</v>
      </c>
      <c r="AL131" s="91">
        <f t="shared" ca="1" si="258"/>
        <v>-281.00501700965549</v>
      </c>
      <c r="AM131" s="91">
        <f t="shared" ca="1" si="258"/>
        <v>-313.47402947842937</v>
      </c>
    </row>
    <row r="132" spans="2:41">
      <c r="D132" t="s">
        <v>361</v>
      </c>
      <c r="R132" s="14"/>
      <c r="S132" s="14"/>
      <c r="T132" s="14"/>
      <c r="U132" s="14"/>
      <c r="V132" s="75">
        <f t="shared" ref="V132:AA132" si="259">V133-SUM(V129:V131)</f>
        <v>0</v>
      </c>
      <c r="W132" s="75">
        <f t="shared" si="259"/>
        <v>0</v>
      </c>
      <c r="X132" s="75">
        <f t="shared" si="259"/>
        <v>0</v>
      </c>
      <c r="Y132" s="75">
        <f t="shared" si="259"/>
        <v>0</v>
      </c>
      <c r="Z132" s="75">
        <f t="shared" si="259"/>
        <v>102.54300000000001</v>
      </c>
      <c r="AA132" s="75">
        <f t="shared" si="259"/>
        <v>37.545999999999992</v>
      </c>
      <c r="AB132" s="320">
        <f>+AB134*AB180</f>
        <v>74.992317848803054</v>
      </c>
      <c r="AC132" s="320">
        <f t="shared" ref="AC132:AM132" si="260">+AC134*AC180</f>
        <v>107.89879881103005</v>
      </c>
      <c r="AD132" s="320">
        <f t="shared" si="260"/>
        <v>138.95095608387226</v>
      </c>
      <c r="AE132" s="320">
        <f t="shared" si="260"/>
        <v>171.77789085371327</v>
      </c>
      <c r="AF132" s="320">
        <f t="shared" si="260"/>
        <v>206.45632949816365</v>
      </c>
      <c r="AG132" s="320">
        <f t="shared" ca="1" si="260"/>
        <v>238.43608734600835</v>
      </c>
      <c r="AH132" s="320">
        <f t="shared" ca="1" si="260"/>
        <v>271.89552948769045</v>
      </c>
      <c r="AI132" s="320">
        <f t="shared" ca="1" si="260"/>
        <v>306.88889872915598</v>
      </c>
      <c r="AJ132" s="320">
        <f t="shared" ca="1" si="260"/>
        <v>343.47223142934695</v>
      </c>
      <c r="AK132" s="320">
        <f t="shared" si="260"/>
        <v>381.70341343317011</v>
      </c>
      <c r="AL132" s="320">
        <f>+AL134*AL180</f>
        <v>410.88106688475102</v>
      </c>
      <c r="AM132" s="320">
        <f t="shared" si="260"/>
        <v>442.28907885810486</v>
      </c>
    </row>
    <row r="133" spans="2:41">
      <c r="D133" s="270" t="s">
        <v>352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69"/>
      <c r="S133" s="269"/>
      <c r="T133" s="269"/>
      <c r="U133" s="8"/>
      <c r="V133" s="8"/>
      <c r="W133" s="8">
        <f>+W272</f>
        <v>0</v>
      </c>
      <c r="X133" s="8">
        <f>+X272</f>
        <v>0</v>
      </c>
      <c r="Y133" s="8">
        <f>+Y272</f>
        <v>0</v>
      </c>
      <c r="Z133" s="8">
        <f>+Z272</f>
        <v>98.78</v>
      </c>
      <c r="AA133" s="8">
        <f>+AA272</f>
        <v>131.274</v>
      </c>
      <c r="AB133" s="101">
        <f>SUM(AB129:AB132)</f>
        <v>173.44781784880306</v>
      </c>
      <c r="AC133" s="101">
        <f t="shared" ref="AC133:AM133" si="261">SUM(AC129:AC132)</f>
        <v>237.98466219763233</v>
      </c>
      <c r="AD133" s="101">
        <f t="shared" si="261"/>
        <v>317.43945273209647</v>
      </c>
      <c r="AE133" s="101">
        <f t="shared" si="261"/>
        <v>409.85748040278565</v>
      </c>
      <c r="AF133" s="101">
        <f t="shared" si="261"/>
        <v>513.84943980025287</v>
      </c>
      <c r="AG133" s="101">
        <f t="shared" ca="1" si="261"/>
        <v>623.82316719619803</v>
      </c>
      <c r="AH133" s="101">
        <f t="shared" ca="1" si="261"/>
        <v>739.76290488483892</v>
      </c>
      <c r="AI133" s="101">
        <f t="shared" ca="1" si="261"/>
        <v>861.71107739278523</v>
      </c>
      <c r="AJ133" s="101">
        <f t="shared" ca="1" si="261"/>
        <v>989.75553947393587</v>
      </c>
      <c r="AK133" s="101">
        <f t="shared" ca="1" si="261"/>
        <v>1124.020068038622</v>
      </c>
      <c r="AL133" s="101">
        <f t="shared" ca="1" si="261"/>
        <v>1253.8961179137175</v>
      </c>
      <c r="AM133" s="101">
        <f t="shared" ca="1" si="261"/>
        <v>1382.7111672933929</v>
      </c>
      <c r="AO133" s="274"/>
    </row>
    <row r="134" spans="2:41">
      <c r="D134" t="s">
        <v>362</v>
      </c>
      <c r="R134" s="14"/>
      <c r="S134" s="14"/>
      <c r="T134" s="14"/>
      <c r="U134" s="14"/>
      <c r="V134" s="14"/>
      <c r="W134" s="14"/>
      <c r="X134" s="14"/>
      <c r="Y134" s="14"/>
      <c r="Z134" s="14">
        <f>+Z132/Z180</f>
        <v>5.3970000000000004E-2</v>
      </c>
      <c r="AA134" s="14">
        <f>+AA132/AA180</f>
        <v>4.1727050455656806E-2</v>
      </c>
      <c r="AB134" s="78">
        <v>0.05</v>
      </c>
      <c r="AC134" s="78">
        <v>0.05</v>
      </c>
      <c r="AD134" s="78">
        <v>0.05</v>
      </c>
      <c r="AE134" s="78">
        <v>0.05</v>
      </c>
      <c r="AF134" s="78">
        <v>0.05</v>
      </c>
      <c r="AG134" s="78">
        <v>0.05</v>
      </c>
      <c r="AH134" s="78">
        <v>0.05</v>
      </c>
      <c r="AI134" s="78">
        <v>0.05</v>
      </c>
      <c r="AJ134" s="78">
        <v>0.05</v>
      </c>
      <c r="AK134" s="78">
        <v>0.05</v>
      </c>
      <c r="AL134" s="78">
        <v>0.05</v>
      </c>
      <c r="AM134" s="78">
        <v>0.05</v>
      </c>
    </row>
    <row r="135" spans="2:41">
      <c r="D135" t="s">
        <v>363</v>
      </c>
      <c r="R135" s="14"/>
      <c r="S135" s="14"/>
      <c r="T135" s="14"/>
      <c r="U135" s="14"/>
      <c r="V135" s="14"/>
      <c r="W135" s="14"/>
      <c r="X135" s="14"/>
      <c r="Y135" s="14"/>
      <c r="Z135" s="14"/>
      <c r="AA135" s="253">
        <f>-Z133/AA131</f>
        <v>7.1192792792792794</v>
      </c>
      <c r="AB135" s="254">
        <v>4</v>
      </c>
      <c r="AC135" s="254">
        <v>4</v>
      </c>
      <c r="AD135" s="254">
        <v>4</v>
      </c>
      <c r="AE135" s="254">
        <v>4</v>
      </c>
      <c r="AF135" s="254">
        <v>4</v>
      </c>
      <c r="AG135" s="254">
        <v>4</v>
      </c>
      <c r="AH135" s="254">
        <v>4</v>
      </c>
      <c r="AI135" s="254">
        <v>4</v>
      </c>
      <c r="AJ135" s="254">
        <v>4</v>
      </c>
      <c r="AK135" s="254">
        <v>4</v>
      </c>
      <c r="AL135" s="254">
        <v>4</v>
      </c>
      <c r="AM135" s="254">
        <v>4</v>
      </c>
    </row>
    <row r="136" spans="2:41"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2:41">
      <c r="D137" t="s">
        <v>328</v>
      </c>
      <c r="R137" s="14"/>
      <c r="S137" s="14"/>
      <c r="T137" s="14"/>
      <c r="U137" s="7"/>
      <c r="V137" s="7">
        <f t="shared" ref="V137:Z137" si="262">+V133</f>
        <v>0</v>
      </c>
      <c r="W137" s="7">
        <f t="shared" si="262"/>
        <v>0</v>
      </c>
      <c r="X137" s="7">
        <f t="shared" si="262"/>
        <v>0</v>
      </c>
      <c r="Y137" s="7">
        <f t="shared" si="262"/>
        <v>0</v>
      </c>
      <c r="Z137" s="7">
        <f t="shared" si="262"/>
        <v>98.78</v>
      </c>
      <c r="AA137" s="7">
        <f>+AA133</f>
        <v>131.274</v>
      </c>
    </row>
    <row r="138" spans="2:41">
      <c r="D138" t="s">
        <v>329</v>
      </c>
      <c r="R138" s="14"/>
      <c r="S138" s="14"/>
      <c r="T138" s="14"/>
      <c r="U138" s="78"/>
      <c r="V138" s="78">
        <v>0.03</v>
      </c>
      <c r="W138" s="78">
        <v>0.03</v>
      </c>
      <c r="X138" s="78">
        <v>0.03</v>
      </c>
      <c r="Y138" s="78">
        <v>0.03</v>
      </c>
      <c r="Z138" s="78">
        <v>0.03</v>
      </c>
      <c r="AA138" s="78">
        <v>0.03</v>
      </c>
    </row>
    <row r="139" spans="2:41">
      <c r="D139" t="s">
        <v>331</v>
      </c>
      <c r="R139" s="14"/>
      <c r="S139" s="14"/>
      <c r="T139" s="14"/>
      <c r="U139" s="7"/>
      <c r="V139" s="7">
        <f t="shared" ref="V139" si="263">+V138*AVERAGE(U137:V137)</f>
        <v>0</v>
      </c>
      <c r="W139" s="7">
        <f t="shared" ref="W139" si="264">+W138*AVERAGE(V137:W137)</f>
        <v>0</v>
      </c>
      <c r="X139" s="7">
        <f t="shared" ref="X139" si="265">+X138*AVERAGE(W137:X137)</f>
        <v>0</v>
      </c>
      <c r="Y139" s="7">
        <f t="shared" ref="Y139" si="266">+Y138*AVERAGE(X137:Y137)</f>
        <v>0</v>
      </c>
      <c r="Z139" s="7">
        <f t="shared" ref="Z139" si="267">+Z138*AVERAGE(Y137:Z137)</f>
        <v>1.4817</v>
      </c>
      <c r="AA139" s="7">
        <f>+AA138*AVERAGE(Z137:AA137)</f>
        <v>3.4508099999999997</v>
      </c>
    </row>
    <row r="140" spans="2:41"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2:41" ht="15" thickBot="1">
      <c r="D141" s="278" t="s">
        <v>349</v>
      </c>
      <c r="E141" s="276"/>
      <c r="F141" s="276"/>
      <c r="G141" s="276"/>
      <c r="H141" s="276"/>
      <c r="I141" s="276"/>
      <c r="J141" s="276"/>
      <c r="K141" s="276"/>
      <c r="L141" s="276"/>
      <c r="M141" s="276"/>
      <c r="N141" s="276"/>
      <c r="O141" s="276"/>
      <c r="P141" s="276"/>
      <c r="Q141" s="276"/>
      <c r="R141" s="277"/>
      <c r="S141" s="277"/>
      <c r="T141" s="277"/>
      <c r="U141" s="277"/>
      <c r="V141" s="277"/>
      <c r="W141" s="277"/>
      <c r="X141" s="277"/>
      <c r="Y141" s="277"/>
      <c r="Z141" s="277"/>
      <c r="AA141" s="277"/>
      <c r="AB141" s="276"/>
      <c r="AC141" s="276"/>
      <c r="AD141" s="276"/>
      <c r="AE141" s="276"/>
      <c r="AF141" s="276"/>
      <c r="AG141" s="276"/>
      <c r="AH141" s="276"/>
      <c r="AI141" s="276"/>
      <c r="AJ141" s="276"/>
      <c r="AK141" s="276"/>
      <c r="AL141" s="276"/>
      <c r="AM141" s="276"/>
    </row>
    <row r="142" spans="2:41" ht="5.15" customHeight="1">
      <c r="B142" s="154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7"/>
      <c r="AO142" s="1"/>
    </row>
    <row r="143" spans="2:41">
      <c r="D143" s="180" t="s">
        <v>342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20"/>
      <c r="S143" s="20"/>
      <c r="T143" s="20"/>
      <c r="U143" s="64">
        <f t="shared" ref="U143:V143" si="268">+T151</f>
        <v>0</v>
      </c>
      <c r="V143" s="64">
        <f t="shared" si="268"/>
        <v>0</v>
      </c>
      <c r="W143" s="64">
        <f t="shared" ref="W143:Z143" si="269">+V151</f>
        <v>1.5309999999999999</v>
      </c>
      <c r="X143" s="64">
        <f t="shared" si="269"/>
        <v>24.771000000000001</v>
      </c>
      <c r="Y143" s="64">
        <f t="shared" si="269"/>
        <v>45.564</v>
      </c>
      <c r="Z143" s="64">
        <f t="shared" si="269"/>
        <v>105.2</v>
      </c>
      <c r="AA143" s="64">
        <f>+Z151</f>
        <v>286.96899999999999</v>
      </c>
      <c r="AB143" s="64">
        <f t="shared" ref="AB143:AM143" si="270">+AA151</f>
        <v>274.94099999999997</v>
      </c>
      <c r="AC143" s="64">
        <f t="shared" si="270"/>
        <v>430.15018702433491</v>
      </c>
      <c r="AD143" s="64">
        <f t="shared" si="270"/>
        <v>644.00055256513713</v>
      </c>
      <c r="AE143" s="64">
        <f t="shared" si="270"/>
        <v>850.05286320778589</v>
      </c>
      <c r="AF143" s="64">
        <f t="shared" si="270"/>
        <v>1014.5509732242755</v>
      </c>
      <c r="AG143" s="64">
        <f t="shared" si="270"/>
        <v>1128.0011199674509</v>
      </c>
      <c r="AH143" s="64">
        <f t="shared" ca="1" si="270"/>
        <v>1261.8541327261323</v>
      </c>
      <c r="AI143" s="64">
        <f t="shared" ca="1" si="270"/>
        <v>1420.0284623651683</v>
      </c>
      <c r="AJ143" s="64">
        <f t="shared" ca="1" si="270"/>
        <v>1565.0954922374997</v>
      </c>
      <c r="AK143" s="64">
        <f t="shared" ca="1" si="270"/>
        <v>1713.1331258991984</v>
      </c>
      <c r="AL143" s="64">
        <f t="shared" ca="1" si="270"/>
        <v>1844.4947258342568</v>
      </c>
      <c r="AM143" s="64">
        <f t="shared" ca="1" si="270"/>
        <v>1957.9215026162333</v>
      </c>
    </row>
    <row r="144" spans="2:41">
      <c r="D144" s="156" t="s">
        <v>332</v>
      </c>
      <c r="R144" s="14"/>
      <c r="S144" s="14"/>
      <c r="T144" s="14"/>
      <c r="U144" s="80">
        <v>24.0122</v>
      </c>
      <c r="V144" s="80">
        <v>80.069999999999993</v>
      </c>
      <c r="W144" s="80">
        <v>224.16900000000001</v>
      </c>
      <c r="X144" s="80">
        <v>529.15300000000002</v>
      </c>
      <c r="Y144" s="80">
        <v>1259.539</v>
      </c>
      <c r="Z144" s="80">
        <v>2625.3510000000001</v>
      </c>
      <c r="AA144" s="80">
        <v>3579.1559999999999</v>
      </c>
      <c r="AB144" s="7">
        <f>+AB160</f>
        <v>5925.3189411399944</v>
      </c>
      <c r="AC144" s="7">
        <f t="shared" ref="AC144:AM144" si="271">+AC160</f>
        <v>8504.3388225442413</v>
      </c>
      <c r="AD144" s="7">
        <f t="shared" si="271"/>
        <v>10898.114202656647</v>
      </c>
      <c r="AE144" s="7">
        <f t="shared" si="271"/>
        <v>13407.054895899573</v>
      </c>
      <c r="AF144" s="7">
        <f t="shared" si="271"/>
        <v>16035.443067818534</v>
      </c>
      <c r="AG144" s="7">
        <f t="shared" ca="1" si="271"/>
        <v>18519.307755029775</v>
      </c>
      <c r="AH144" s="7">
        <f t="shared" ca="1" si="271"/>
        <v>21118.099377684695</v>
      </c>
      <c r="AI144" s="7">
        <f t="shared" ca="1" si="271"/>
        <v>23836.030969254833</v>
      </c>
      <c r="AJ144" s="7">
        <f t="shared" ca="1" si="271"/>
        <v>26677.454868298788</v>
      </c>
      <c r="AK144" s="7">
        <f t="shared" si="271"/>
        <v>29646.867062770492</v>
      </c>
      <c r="AL144" s="7">
        <f t="shared" si="271"/>
        <v>31913.092573572892</v>
      </c>
      <c r="AM144" s="7">
        <f t="shared" si="271"/>
        <v>34352.549814221733</v>
      </c>
      <c r="AO144" s="274"/>
    </row>
    <row r="145" spans="4:41">
      <c r="D145" s="156" t="s">
        <v>333</v>
      </c>
      <c r="R145" s="14"/>
      <c r="S145" s="14"/>
      <c r="T145" s="14"/>
      <c r="U145" s="80">
        <v>-23.765000000000001</v>
      </c>
      <c r="V145" s="80">
        <v>-79.361999999999995</v>
      </c>
      <c r="W145" s="80">
        <f>-269.262-13.015</f>
        <v>-282.27699999999999</v>
      </c>
      <c r="X145" s="80">
        <v>-527.26499999999999</v>
      </c>
      <c r="Y145" s="80">
        <v>-1633.519</v>
      </c>
      <c r="Z145" s="80">
        <v>-2643.9119999999998</v>
      </c>
      <c r="AA145" s="80">
        <v>-3634.52</v>
      </c>
      <c r="AB145" s="80">
        <f>-AB144*1.0125</f>
        <v>-5999.3854279042444</v>
      </c>
      <c r="AC145" s="80">
        <f>-AC144*1.015</f>
        <v>-8631.9039048824034</v>
      </c>
      <c r="AD145" s="80">
        <f>-AD144*1.02</f>
        <v>-11116.076486709781</v>
      </c>
      <c r="AE145" s="80">
        <f>-AE144*1.025</f>
        <v>-13742.231268297061</v>
      </c>
      <c r="AF145" s="80">
        <f>-AF144*1.03</f>
        <v>-16516.506359853091</v>
      </c>
      <c r="AG145" s="80">
        <f t="shared" ref="AG145:AM145" ca="1" si="272">-AG144*1.03</f>
        <v>-19074.886987680668</v>
      </c>
      <c r="AH145" s="80">
        <f t="shared" ca="1" si="272"/>
        <v>-21751.642359015237</v>
      </c>
      <c r="AI145" s="80">
        <f t="shared" ca="1" si="272"/>
        <v>-24551.111898332478</v>
      </c>
      <c r="AJ145" s="80">
        <f t="shared" ca="1" si="272"/>
        <v>-27477.778514347752</v>
      </c>
      <c r="AK145" s="80">
        <f t="shared" si="272"/>
        <v>-30536.273074653607</v>
      </c>
      <c r="AL145" s="80">
        <f t="shared" si="272"/>
        <v>-32870.48535078008</v>
      </c>
      <c r="AM145" s="80">
        <f t="shared" si="272"/>
        <v>-35383.126308648389</v>
      </c>
      <c r="AO145" s="274"/>
    </row>
    <row r="146" spans="4:41">
      <c r="D146" s="156" t="s">
        <v>334</v>
      </c>
      <c r="R146" s="14"/>
      <c r="S146" s="14"/>
      <c r="T146" s="14"/>
      <c r="U146" s="80">
        <v>0</v>
      </c>
      <c r="V146" s="80">
        <v>0</v>
      </c>
      <c r="W146" s="80">
        <v>0</v>
      </c>
      <c r="X146" s="80">
        <v>0</v>
      </c>
      <c r="Y146" s="80">
        <v>0</v>
      </c>
      <c r="Z146" s="80">
        <v>-85.016999999999996</v>
      </c>
      <c r="AA146" s="80">
        <v>-90.234999999999999</v>
      </c>
      <c r="AB146" s="7">
        <f t="shared" ref="AB146:AM146" si="273">-AA151/(AB153/12)</f>
        <v>-86.823473684210526</v>
      </c>
      <c r="AC146" s="7">
        <f t="shared" si="273"/>
        <v>-135.83690116557946</v>
      </c>
      <c r="AD146" s="7">
        <f t="shared" si="273"/>
        <v>-203.36859554688542</v>
      </c>
      <c r="AE146" s="7">
        <f t="shared" si="273"/>
        <v>-275.69282049982246</v>
      </c>
      <c r="AF146" s="7">
        <f t="shared" si="273"/>
        <v>-329.04355888354877</v>
      </c>
      <c r="AG146" s="7">
        <f t="shared" si="273"/>
        <v>-376.00037332248365</v>
      </c>
      <c r="AH146" s="7">
        <f t="shared" ca="1" si="273"/>
        <v>-420.61804424204411</v>
      </c>
      <c r="AI146" s="7">
        <f t="shared" ca="1" si="273"/>
        <v>-486.86690138234343</v>
      </c>
      <c r="AJ146" s="7">
        <f t="shared" ca="1" si="273"/>
        <v>-536.60416876714282</v>
      </c>
      <c r="AK146" s="7">
        <f t="shared" ca="1" si="273"/>
        <v>-604.63522090559934</v>
      </c>
      <c r="AL146" s="7">
        <f t="shared" ca="1" si="273"/>
        <v>-650.99813852973762</v>
      </c>
      <c r="AM146" s="7">
        <f t="shared" ca="1" si="273"/>
        <v>-711.97145549681215</v>
      </c>
      <c r="AO146" s="274"/>
    </row>
    <row r="147" spans="4:41">
      <c r="D147" s="156" t="s">
        <v>335</v>
      </c>
      <c r="R147" s="14"/>
      <c r="S147" s="14"/>
      <c r="T147" s="14"/>
      <c r="U147" s="80">
        <v>0</v>
      </c>
      <c r="V147" s="80">
        <v>0</v>
      </c>
      <c r="W147" s="80">
        <v>74.588999999999999</v>
      </c>
      <c r="X147" s="80">
        <v>0</v>
      </c>
      <c r="Y147" s="80">
        <v>387.44499999999999</v>
      </c>
      <c r="Z147" s="80">
        <v>161.78100000000001</v>
      </c>
      <c r="AA147" s="80">
        <v>0</v>
      </c>
      <c r="AB147" s="80">
        <v>0</v>
      </c>
      <c r="AC147" s="80">
        <v>0</v>
      </c>
      <c r="AD147" s="80">
        <v>0</v>
      </c>
      <c r="AE147" s="80">
        <v>0</v>
      </c>
      <c r="AF147" s="80">
        <v>0</v>
      </c>
      <c r="AG147" s="80">
        <v>0</v>
      </c>
      <c r="AH147" s="80">
        <v>0</v>
      </c>
      <c r="AI147" s="80">
        <v>0</v>
      </c>
      <c r="AJ147" s="80">
        <v>0</v>
      </c>
      <c r="AK147" s="80">
        <v>0</v>
      </c>
      <c r="AL147" s="80">
        <v>0</v>
      </c>
      <c r="AM147" s="80">
        <v>0</v>
      </c>
    </row>
    <row r="148" spans="4:41">
      <c r="D148" s="156" t="s">
        <v>336</v>
      </c>
      <c r="R148" s="14"/>
      <c r="S148" s="14"/>
      <c r="T148" s="14"/>
      <c r="U148" s="80">
        <v>0</v>
      </c>
      <c r="V148" s="80">
        <v>0</v>
      </c>
      <c r="W148" s="80">
        <v>7.4459999999999997</v>
      </c>
      <c r="X148" s="80">
        <v>21.696999999999999</v>
      </c>
      <c r="Y148" s="80">
        <v>51.728999999999999</v>
      </c>
      <c r="Z148" s="80">
        <v>137.30099999999999</v>
      </c>
      <c r="AA148" s="80">
        <v>217.643</v>
      </c>
      <c r="AB148" s="7">
        <f>+AB167</f>
        <v>407.58792532159868</v>
      </c>
      <c r="AC148" s="7">
        <f t="shared" ref="AC148:AM148" si="274">+AC167</f>
        <v>606.65865720678983</v>
      </c>
      <c r="AD148" s="7">
        <f t="shared" si="274"/>
        <v>798.53417395479653</v>
      </c>
      <c r="AE148" s="7">
        <f t="shared" si="274"/>
        <v>989.64783692790206</v>
      </c>
      <c r="AF148" s="7">
        <f t="shared" si="274"/>
        <v>1180.7408758206579</v>
      </c>
      <c r="AG148" s="7">
        <f t="shared" ca="1" si="274"/>
        <v>1360.268762076438</v>
      </c>
      <c r="AH148" s="7">
        <f t="shared" ca="1" si="274"/>
        <v>1547.3235913356177</v>
      </c>
      <c r="AI148" s="7">
        <f t="shared" ca="1" si="274"/>
        <v>1724.9051821797348</v>
      </c>
      <c r="AJ148" s="7">
        <f t="shared" ca="1" si="274"/>
        <v>1906.6924545190286</v>
      </c>
      <c r="AK148" s="7">
        <f t="shared" si="274"/>
        <v>2092.7629024519015</v>
      </c>
      <c r="AL148" s="7">
        <f t="shared" si="274"/>
        <v>2224.9234956953678</v>
      </c>
      <c r="AM148" s="7">
        <f t="shared" si="274"/>
        <v>2365.4301956028999</v>
      </c>
      <c r="AO148" s="274"/>
    </row>
    <row r="149" spans="4:41">
      <c r="D149" s="156" t="s">
        <v>343</v>
      </c>
      <c r="R149" s="14"/>
      <c r="S149" s="14"/>
      <c r="T149" s="14"/>
      <c r="U149" s="80">
        <v>0</v>
      </c>
      <c r="V149" s="80">
        <v>-0.29899999999999999</v>
      </c>
      <c r="W149" s="80">
        <v>-1.3480000000000001</v>
      </c>
      <c r="X149" s="80">
        <v>-1.375</v>
      </c>
      <c r="Y149" s="80">
        <v>-1.917</v>
      </c>
      <c r="Z149" s="80">
        <v>-11.922000000000001</v>
      </c>
      <c r="AA149" s="80">
        <v>-20.962</v>
      </c>
      <c r="AB149" s="7">
        <f>+AA151*AB152</f>
        <v>-16.496459999999999</v>
      </c>
      <c r="AC149" s="7">
        <f t="shared" ref="AC149:AM149" si="275">+AB151*AC152</f>
        <v>-21.507509351216747</v>
      </c>
      <c r="AD149" s="7">
        <f t="shared" si="275"/>
        <v>-32.200027628256855</v>
      </c>
      <c r="AE149" s="7">
        <f t="shared" si="275"/>
        <v>-42.502643160389297</v>
      </c>
      <c r="AF149" s="7">
        <f t="shared" si="275"/>
        <v>-50.727548661213774</v>
      </c>
      <c r="AG149" s="7">
        <f t="shared" si="275"/>
        <v>-56.400055998372551</v>
      </c>
      <c r="AH149" s="7">
        <f t="shared" ca="1" si="275"/>
        <v>-63.092706636306616</v>
      </c>
      <c r="AI149" s="7">
        <f t="shared" ca="1" si="275"/>
        <v>-71.001423118258415</v>
      </c>
      <c r="AJ149" s="7">
        <f t="shared" ca="1" si="275"/>
        <v>-78.254774611874993</v>
      </c>
      <c r="AK149" s="7">
        <f t="shared" ca="1" si="275"/>
        <v>-85.65665629495993</v>
      </c>
      <c r="AL149" s="7">
        <f t="shared" ca="1" si="275"/>
        <v>-92.224736291712844</v>
      </c>
      <c r="AM149" s="7">
        <f t="shared" ca="1" si="275"/>
        <v>-97.896075130811667</v>
      </c>
      <c r="AO149" s="274"/>
    </row>
    <row r="150" spans="4:41">
      <c r="D150" s="156" t="s">
        <v>128</v>
      </c>
      <c r="R150" s="14"/>
      <c r="S150" s="14"/>
      <c r="T150" s="14"/>
      <c r="U150" s="92">
        <f t="shared" ref="U150:AA150" si="276">U151-SUM(U143:U149)</f>
        <v>-0.24719999999999942</v>
      </c>
      <c r="V150" s="92">
        <f t="shared" si="276"/>
        <v>1.1220000000000014</v>
      </c>
      <c r="W150" s="92">
        <f t="shared" si="276"/>
        <v>0.66099999999997294</v>
      </c>
      <c r="X150" s="92">
        <f t="shared" si="276"/>
        <v>-1.4169999999999945</v>
      </c>
      <c r="Y150" s="92">
        <f t="shared" si="276"/>
        <v>-3.641000000000048</v>
      </c>
      <c r="Z150" s="92">
        <f t="shared" si="276"/>
        <v>-1.8130000000001019</v>
      </c>
      <c r="AA150" s="92">
        <f t="shared" si="276"/>
        <v>-63.11000000000007</v>
      </c>
      <c r="AB150" s="321">
        <f>-AB132</f>
        <v>-74.992317848803054</v>
      </c>
      <c r="AC150" s="321">
        <f t="shared" ref="AC150:AM150" si="277">-AC132</f>
        <v>-107.89879881103005</v>
      </c>
      <c r="AD150" s="321">
        <f t="shared" si="277"/>
        <v>-138.95095608387226</v>
      </c>
      <c r="AE150" s="321">
        <f t="shared" si="277"/>
        <v>-171.77789085371327</v>
      </c>
      <c r="AF150" s="321">
        <f t="shared" si="277"/>
        <v>-206.45632949816365</v>
      </c>
      <c r="AG150" s="321">
        <f t="shared" ca="1" si="277"/>
        <v>-238.43608734600835</v>
      </c>
      <c r="AH150" s="321">
        <f t="shared" ca="1" si="277"/>
        <v>-271.89552948769045</v>
      </c>
      <c r="AI150" s="321">
        <f t="shared" ca="1" si="277"/>
        <v>-306.88889872915598</v>
      </c>
      <c r="AJ150" s="321">
        <f t="shared" ca="1" si="277"/>
        <v>-343.47223142934695</v>
      </c>
      <c r="AK150" s="321">
        <f t="shared" si="277"/>
        <v>-381.70341343317011</v>
      </c>
      <c r="AL150" s="321">
        <f t="shared" si="277"/>
        <v>-410.88106688475102</v>
      </c>
      <c r="AM150" s="321">
        <f t="shared" si="277"/>
        <v>-442.28907885810486</v>
      </c>
    </row>
    <row r="151" spans="4:41">
      <c r="D151" s="270" t="s">
        <v>341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69"/>
      <c r="S151" s="269"/>
      <c r="T151" s="269"/>
      <c r="U151" s="8">
        <f t="shared" ref="U151" si="278">+U270</f>
        <v>0</v>
      </c>
      <c r="V151" s="8">
        <f t="shared" ref="V151:Z151" si="279">+V270</f>
        <v>1.5309999999999999</v>
      </c>
      <c r="W151" s="8">
        <f t="shared" si="279"/>
        <v>24.771000000000001</v>
      </c>
      <c r="X151" s="8">
        <f t="shared" si="279"/>
        <v>45.564</v>
      </c>
      <c r="Y151" s="8">
        <f t="shared" si="279"/>
        <v>105.2</v>
      </c>
      <c r="Z151" s="8">
        <f t="shared" si="279"/>
        <v>286.96899999999999</v>
      </c>
      <c r="AA151" s="8">
        <f>+AA270</f>
        <v>274.94099999999997</v>
      </c>
      <c r="AB151" s="101">
        <f t="shared" ref="AB151:AM151" si="280">SUM(AB143:AB150)</f>
        <v>430.15018702433491</v>
      </c>
      <c r="AC151" s="101">
        <f t="shared" si="280"/>
        <v>644.00055256513713</v>
      </c>
      <c r="AD151" s="101">
        <f t="shared" si="280"/>
        <v>850.05286320778589</v>
      </c>
      <c r="AE151" s="101">
        <f t="shared" si="280"/>
        <v>1014.5509732242755</v>
      </c>
      <c r="AF151" s="101">
        <f t="shared" si="280"/>
        <v>1128.0011199674509</v>
      </c>
      <c r="AG151" s="101">
        <f t="shared" ca="1" si="280"/>
        <v>1261.8541327261323</v>
      </c>
      <c r="AH151" s="101">
        <f t="shared" ca="1" si="280"/>
        <v>1420.0284623651683</v>
      </c>
      <c r="AI151" s="101">
        <f t="shared" ca="1" si="280"/>
        <v>1565.0954922374997</v>
      </c>
      <c r="AJ151" s="101">
        <f t="shared" ca="1" si="280"/>
        <v>1713.1331258991984</v>
      </c>
      <c r="AK151" s="101">
        <f t="shared" ca="1" si="280"/>
        <v>1844.4947258342568</v>
      </c>
      <c r="AL151" s="101">
        <f t="shared" ca="1" si="280"/>
        <v>1957.9215026162333</v>
      </c>
      <c r="AM151" s="101">
        <f t="shared" ca="1" si="280"/>
        <v>2040.6185943067499</v>
      </c>
      <c r="AO151" s="274"/>
    </row>
    <row r="152" spans="4:41">
      <c r="D152" s="156" t="s">
        <v>345</v>
      </c>
      <c r="R152" s="14"/>
      <c r="S152" s="14"/>
      <c r="T152" s="14"/>
      <c r="U152" s="14"/>
      <c r="V152" s="14"/>
      <c r="W152" s="14">
        <f>+W149/V151</f>
        <v>-0.88047028086218171</v>
      </c>
      <c r="X152" s="14">
        <f>+X149/W151</f>
        <v>-5.550845747042913E-2</v>
      </c>
      <c r="Y152" s="14">
        <f>+Y149/X151</f>
        <v>-4.2072688964972349E-2</v>
      </c>
      <c r="Z152" s="14">
        <f>+Z149/Y151</f>
        <v>-0.11332699619771863</v>
      </c>
      <c r="AA152" s="14">
        <f>+AA149/Z151</f>
        <v>-7.3046217535692015E-2</v>
      </c>
      <c r="AB152" s="78">
        <v>-0.06</v>
      </c>
      <c r="AC152" s="78">
        <v>-0.05</v>
      </c>
      <c r="AD152" s="78">
        <v>-0.05</v>
      </c>
      <c r="AE152" s="78">
        <v>-0.05</v>
      </c>
      <c r="AF152" s="78">
        <v>-0.05</v>
      </c>
      <c r="AG152" s="78">
        <v>-0.05</v>
      </c>
      <c r="AH152" s="78">
        <v>-0.05</v>
      </c>
      <c r="AI152" s="78">
        <v>-0.05</v>
      </c>
      <c r="AJ152" s="78">
        <v>-0.05</v>
      </c>
      <c r="AK152" s="78">
        <v>-0.05</v>
      </c>
      <c r="AL152" s="78">
        <v>-0.05</v>
      </c>
      <c r="AM152" s="78">
        <v>-0.05</v>
      </c>
      <c r="AO152" s="95"/>
    </row>
    <row r="153" spans="4:41">
      <c r="D153" s="156" t="s">
        <v>346</v>
      </c>
      <c r="R153" s="14"/>
      <c r="S153" s="14"/>
      <c r="T153" s="14"/>
      <c r="U153" s="14"/>
      <c r="V153" s="273"/>
      <c r="W153" s="273" t="str">
        <f>IFERROR(-V151/W146*12,"na")</f>
        <v>na</v>
      </c>
      <c r="X153" s="273" t="str">
        <f>IFERROR(-W151/X146*12,"na")</f>
        <v>na</v>
      </c>
      <c r="Y153" s="273" t="str">
        <f>IFERROR(-X151/Y146*12,"na")</f>
        <v>na</v>
      </c>
      <c r="Z153" s="273">
        <f>IFERROR(-Y151/Z146*12,"na")</f>
        <v>14.848794946892975</v>
      </c>
      <c r="AA153" s="273">
        <f>IFERROR(-Z151/AA146*12,"na")</f>
        <v>38.162885798193606</v>
      </c>
      <c r="AB153" s="103">
        <v>38</v>
      </c>
      <c r="AC153" s="103">
        <v>38</v>
      </c>
      <c r="AD153" s="103">
        <v>38</v>
      </c>
      <c r="AE153" s="103">
        <v>37</v>
      </c>
      <c r="AF153" s="103">
        <v>37</v>
      </c>
      <c r="AG153" s="103">
        <v>36</v>
      </c>
      <c r="AH153" s="103">
        <v>36</v>
      </c>
      <c r="AI153" s="103">
        <v>35</v>
      </c>
      <c r="AJ153" s="103">
        <v>35</v>
      </c>
      <c r="AK153" s="103">
        <v>34</v>
      </c>
      <c r="AL153" s="103">
        <v>34</v>
      </c>
      <c r="AM153" s="103">
        <v>33</v>
      </c>
      <c r="AO153" s="95"/>
    </row>
    <row r="154" spans="4:41">
      <c r="D154" s="156" t="s">
        <v>448</v>
      </c>
      <c r="R154" s="14"/>
      <c r="S154" s="14"/>
      <c r="T154" s="14"/>
      <c r="U154" s="14"/>
      <c r="V154" s="106">
        <f t="shared" ref="V154:AM154" si="281">AVERAGE(U151:V151)/(V85*V165)</f>
        <v>9.7554945545097003E-3</v>
      </c>
      <c r="W154" s="106">
        <f t="shared" si="281"/>
        <v>5.9862816692326071E-2</v>
      </c>
      <c r="X154" s="106">
        <f t="shared" si="281"/>
        <v>6.781631037078624E-2</v>
      </c>
      <c r="Y154" s="106">
        <f t="shared" si="281"/>
        <v>6.1070286956787609E-2</v>
      </c>
      <c r="Z154" s="106">
        <f t="shared" si="281"/>
        <v>7.6213132830541847E-2</v>
      </c>
      <c r="AA154" s="106">
        <f t="shared" si="281"/>
        <v>8.009954735423773E-2</v>
      </c>
      <c r="AB154" s="106">
        <f t="shared" si="281"/>
        <v>5.8308199959182794E-2</v>
      </c>
      <c r="AC154" s="106">
        <f t="shared" si="281"/>
        <v>6.1890039117865031E-2</v>
      </c>
      <c r="AD154" s="106">
        <f t="shared" si="281"/>
        <v>6.7175491109303181E-2</v>
      </c>
      <c r="AE154" s="106">
        <f t="shared" si="281"/>
        <v>6.8147396049757614E-2</v>
      </c>
      <c r="AF154" s="106">
        <f t="shared" si="281"/>
        <v>6.5470627860036296E-2</v>
      </c>
      <c r="AG154" s="106">
        <f t="shared" ca="1" si="281"/>
        <v>6.3232875078811118E-2</v>
      </c>
      <c r="AH154" s="106">
        <f t="shared" ca="1" si="281"/>
        <v>6.2227307869540505E-2</v>
      </c>
      <c r="AI154" s="106">
        <f t="shared" ca="1" si="281"/>
        <v>6.1365532694683984E-2</v>
      </c>
      <c r="AJ154" s="106">
        <f t="shared" ca="1" si="281"/>
        <v>6.0213091196934597E-2</v>
      </c>
      <c r="AK154" s="106">
        <f t="shared" ca="1" si="281"/>
        <v>5.8800062875395361E-2</v>
      </c>
      <c r="AL154" s="106">
        <f t="shared" ca="1" si="281"/>
        <v>5.8383058540795743E-2</v>
      </c>
      <c r="AM154" s="106">
        <f t="shared" ca="1" si="281"/>
        <v>5.7034620663911552E-2</v>
      </c>
      <c r="AO154" s="95"/>
    </row>
    <row r="155" spans="4:41">
      <c r="R155" s="14"/>
      <c r="S155" s="14"/>
      <c r="T155" s="14"/>
      <c r="U155" s="14"/>
      <c r="V155" s="7"/>
      <c r="W155" s="7"/>
      <c r="X155" s="7"/>
      <c r="Y155" s="7"/>
      <c r="Z155" s="7"/>
      <c r="AA155" s="7"/>
      <c r="AO155" s="95"/>
    </row>
    <row r="156" spans="4:41">
      <c r="D156" t="s">
        <v>327</v>
      </c>
      <c r="R156" s="14"/>
      <c r="S156" s="14"/>
      <c r="T156" s="7"/>
      <c r="U156" s="7"/>
      <c r="V156" s="7">
        <f t="shared" ref="V156:AM156" si="282">+V151</f>
        <v>1.5309999999999999</v>
      </c>
      <c r="W156" s="7">
        <f t="shared" si="282"/>
        <v>24.771000000000001</v>
      </c>
      <c r="X156" s="7">
        <f t="shared" si="282"/>
        <v>45.564</v>
      </c>
      <c r="Y156" s="7">
        <f t="shared" si="282"/>
        <v>105.2</v>
      </c>
      <c r="Z156" s="7">
        <f t="shared" si="282"/>
        <v>286.96899999999999</v>
      </c>
      <c r="AA156" s="7">
        <f t="shared" si="282"/>
        <v>274.94099999999997</v>
      </c>
      <c r="AB156" s="7">
        <f t="shared" si="282"/>
        <v>430.15018702433491</v>
      </c>
      <c r="AC156" s="7">
        <f t="shared" si="282"/>
        <v>644.00055256513713</v>
      </c>
      <c r="AD156" s="7">
        <f t="shared" si="282"/>
        <v>850.05286320778589</v>
      </c>
      <c r="AE156" s="7">
        <f t="shared" si="282"/>
        <v>1014.5509732242755</v>
      </c>
      <c r="AF156" s="7">
        <f t="shared" si="282"/>
        <v>1128.0011199674509</v>
      </c>
      <c r="AG156" s="7">
        <f t="shared" ca="1" si="282"/>
        <v>1261.8541327261323</v>
      </c>
      <c r="AH156" s="7">
        <f t="shared" ca="1" si="282"/>
        <v>1420.0284623651683</v>
      </c>
      <c r="AI156" s="7">
        <f t="shared" ca="1" si="282"/>
        <v>1565.0954922374997</v>
      </c>
      <c r="AJ156" s="7">
        <f t="shared" ca="1" si="282"/>
        <v>1713.1331258991984</v>
      </c>
      <c r="AK156" s="7">
        <f t="shared" ca="1" si="282"/>
        <v>1844.4947258342568</v>
      </c>
      <c r="AL156" s="7">
        <f t="shared" ca="1" si="282"/>
        <v>1957.9215026162333</v>
      </c>
      <c r="AM156" s="7">
        <f t="shared" ca="1" si="282"/>
        <v>2040.6185943067499</v>
      </c>
    </row>
    <row r="157" spans="4:41">
      <c r="D157" t="s">
        <v>329</v>
      </c>
      <c r="R157" s="14"/>
      <c r="S157" s="14"/>
      <c r="T157" s="14"/>
      <c r="U157" s="78"/>
      <c r="V157" s="78">
        <v>0.09</v>
      </c>
      <c r="W157" s="78">
        <v>0.09</v>
      </c>
      <c r="X157" s="78">
        <v>0.09</v>
      </c>
      <c r="Y157" s="78">
        <v>0.09</v>
      </c>
      <c r="Z157" s="78">
        <v>0.09</v>
      </c>
      <c r="AA157" s="78">
        <v>0.09</v>
      </c>
      <c r="AB157" s="78">
        <v>0.09</v>
      </c>
      <c r="AC157" s="78">
        <v>0.09</v>
      </c>
      <c r="AD157" s="78">
        <v>0.09</v>
      </c>
      <c r="AE157" s="78">
        <v>0.09</v>
      </c>
      <c r="AF157" s="78">
        <v>0.09</v>
      </c>
      <c r="AG157" s="78">
        <v>0.09</v>
      </c>
      <c r="AH157" s="78">
        <v>0.09</v>
      </c>
      <c r="AI157" s="78">
        <v>0.09</v>
      </c>
      <c r="AJ157" s="78">
        <v>0.09</v>
      </c>
      <c r="AK157" s="78">
        <v>0.09</v>
      </c>
      <c r="AL157" s="78">
        <v>0.09</v>
      </c>
      <c r="AM157" s="78">
        <v>0.09</v>
      </c>
    </row>
    <row r="158" spans="4:41">
      <c r="D158" t="s">
        <v>330</v>
      </c>
      <c r="R158" s="14"/>
      <c r="S158" s="14"/>
      <c r="T158" s="14"/>
      <c r="U158" s="7"/>
      <c r="V158" s="7">
        <f t="shared" ref="V158:Z158" si="283">+V157*AVERAGE(U156:V156)</f>
        <v>0.13779</v>
      </c>
      <c r="W158" s="7">
        <f t="shared" si="283"/>
        <v>1.1835899999999999</v>
      </c>
      <c r="X158" s="7">
        <f t="shared" si="283"/>
        <v>3.1650750000000003</v>
      </c>
      <c r="Y158" s="7">
        <f t="shared" si="283"/>
        <v>6.7843800000000005</v>
      </c>
      <c r="Z158" s="7">
        <f t="shared" si="283"/>
        <v>17.647604999999999</v>
      </c>
      <c r="AA158" s="7">
        <f>+AA157*AVERAGE(Z156:AA156)</f>
        <v>25.285949999999996</v>
      </c>
      <c r="AB158" s="7">
        <f t="shared" ref="AB158:AM158" si="284">+AB157*AVERAGE(AA156:AB156)</f>
        <v>31.729103416095068</v>
      </c>
      <c r="AC158" s="7">
        <f t="shared" si="284"/>
        <v>48.336783281526245</v>
      </c>
      <c r="AD158" s="7">
        <f t="shared" si="284"/>
        <v>67.232403709781536</v>
      </c>
      <c r="AE158" s="7">
        <f t="shared" si="284"/>
        <v>83.907172639442763</v>
      </c>
      <c r="AF158" s="7">
        <f t="shared" si="284"/>
        <v>96.414844193627673</v>
      </c>
      <c r="AG158" s="7">
        <f t="shared" ca="1" si="284"/>
        <v>107.54348637121124</v>
      </c>
      <c r="AH158" s="7">
        <f t="shared" ca="1" si="284"/>
        <v>120.68471677910853</v>
      </c>
      <c r="AI158" s="7">
        <f t="shared" ca="1" si="284"/>
        <v>134.33057795712006</v>
      </c>
      <c r="AJ158" s="7">
        <f t="shared" ca="1" si="284"/>
        <v>147.52028781615141</v>
      </c>
      <c r="AK158" s="7">
        <f t="shared" ca="1" si="284"/>
        <v>160.09325332800546</v>
      </c>
      <c r="AL158" s="7">
        <f t="shared" ca="1" si="284"/>
        <v>171.10873028027206</v>
      </c>
      <c r="AM158" s="7">
        <f t="shared" ca="1" si="284"/>
        <v>179.93430436153423</v>
      </c>
    </row>
    <row r="159" spans="4:41">
      <c r="R159" s="14"/>
      <c r="S159" s="14"/>
      <c r="T159" s="14"/>
      <c r="U159" s="14"/>
      <c r="V159" s="7"/>
      <c r="W159" s="7"/>
      <c r="X159" s="7"/>
      <c r="Y159" s="7"/>
      <c r="Z159" s="7"/>
      <c r="AA159" s="7"/>
      <c r="AO159" s="95"/>
    </row>
    <row r="160" spans="4:41">
      <c r="D160" s="156" t="s">
        <v>332</v>
      </c>
      <c r="R160" s="14"/>
      <c r="S160" s="14"/>
      <c r="T160" s="14"/>
      <c r="U160" s="7">
        <f t="shared" ref="U160:AA160" si="285">+U144</f>
        <v>24.0122</v>
      </c>
      <c r="V160" s="7">
        <f t="shared" si="285"/>
        <v>80.069999999999993</v>
      </c>
      <c r="W160" s="7">
        <f t="shared" si="285"/>
        <v>224.16900000000001</v>
      </c>
      <c r="X160" s="7">
        <f t="shared" si="285"/>
        <v>529.15300000000002</v>
      </c>
      <c r="Y160" s="7">
        <f t="shared" si="285"/>
        <v>1259.539</v>
      </c>
      <c r="Z160" s="7">
        <f t="shared" si="285"/>
        <v>2625.3510000000001</v>
      </c>
      <c r="AA160" s="7">
        <f t="shared" si="285"/>
        <v>3579.1559999999999</v>
      </c>
      <c r="AB160" s="69">
        <f>+AB163*AB162*AB161/1000</f>
        <v>5925.3189411399944</v>
      </c>
      <c r="AC160" s="69">
        <f t="shared" ref="AC160:AM160" si="286">+AC163*AC162*AC161/1000</f>
        <v>8504.3388225442413</v>
      </c>
      <c r="AD160" s="69">
        <f t="shared" si="286"/>
        <v>10898.114202656647</v>
      </c>
      <c r="AE160" s="69">
        <f t="shared" si="286"/>
        <v>13407.054895899573</v>
      </c>
      <c r="AF160" s="69">
        <f t="shared" si="286"/>
        <v>16035.443067818534</v>
      </c>
      <c r="AG160" s="69">
        <f t="shared" ca="1" si="286"/>
        <v>18519.307755029775</v>
      </c>
      <c r="AH160" s="69">
        <f t="shared" ca="1" si="286"/>
        <v>21118.099377684695</v>
      </c>
      <c r="AI160" s="69">
        <f t="shared" ca="1" si="286"/>
        <v>23836.030969254833</v>
      </c>
      <c r="AJ160" s="69">
        <f t="shared" ca="1" si="286"/>
        <v>26677.454868298788</v>
      </c>
      <c r="AK160" s="69">
        <f t="shared" si="286"/>
        <v>29646.867062770492</v>
      </c>
      <c r="AL160" s="69">
        <f t="shared" si="286"/>
        <v>31913.092573572892</v>
      </c>
      <c r="AM160" s="69">
        <f t="shared" si="286"/>
        <v>34352.549814221733</v>
      </c>
      <c r="AO160" s="95"/>
    </row>
    <row r="161" spans="4:41">
      <c r="D161" s="156" t="s">
        <v>253</v>
      </c>
      <c r="R161" s="14"/>
      <c r="S161" s="14"/>
      <c r="T161" s="14"/>
      <c r="U161" s="271">
        <f t="shared" ref="U161:AM161" si="287">+U71</f>
        <v>19535.866983372918</v>
      </c>
      <c r="V161" s="271">
        <f t="shared" si="287"/>
        <v>19158.669323930706</v>
      </c>
      <c r="W161" s="271">
        <f t="shared" si="287"/>
        <v>18228.71915143116</v>
      </c>
      <c r="X161" s="271">
        <f t="shared" si="287"/>
        <v>18008.564584651536</v>
      </c>
      <c r="Y161" s="271">
        <f t="shared" si="287"/>
        <v>18968.047349853361</v>
      </c>
      <c r="Z161" s="271">
        <f t="shared" si="287"/>
        <v>19265.673138119615</v>
      </c>
      <c r="AA161" s="271">
        <f t="shared" si="287"/>
        <v>19419.833600288395</v>
      </c>
      <c r="AB161" s="271">
        <f t="shared" si="287"/>
        <v>19662.581520291998</v>
      </c>
      <c r="AC161" s="271">
        <f t="shared" si="287"/>
        <v>19908.363789295647</v>
      </c>
      <c r="AD161" s="271">
        <f t="shared" si="287"/>
        <v>20157.218336661841</v>
      </c>
      <c r="AE161" s="271">
        <f t="shared" si="287"/>
        <v>20409.183565870113</v>
      </c>
      <c r="AF161" s="271">
        <f t="shared" si="287"/>
        <v>20664.298360443488</v>
      </c>
      <c r="AG161" s="271">
        <f t="shared" si="287"/>
        <v>20922.602089949032</v>
      </c>
      <c r="AH161" s="271">
        <f t="shared" si="287"/>
        <v>21184.134616073396</v>
      </c>
      <c r="AI161" s="271">
        <f t="shared" si="287"/>
        <v>21448.936298774312</v>
      </c>
      <c r="AJ161" s="271">
        <f t="shared" si="287"/>
        <v>21717.048002508989</v>
      </c>
      <c r="AK161" s="271">
        <f t="shared" si="287"/>
        <v>21988.511102540349</v>
      </c>
      <c r="AL161" s="271">
        <f t="shared" si="287"/>
        <v>22263.367491322104</v>
      </c>
      <c r="AM161" s="271">
        <f t="shared" si="287"/>
        <v>22541.659584963629</v>
      </c>
      <c r="AO161" s="95"/>
    </row>
    <row r="162" spans="4:41">
      <c r="D162" s="156" t="s">
        <v>344</v>
      </c>
      <c r="R162" s="14"/>
      <c r="S162" s="14"/>
      <c r="T162" s="14"/>
      <c r="U162" s="272">
        <v>0.98</v>
      </c>
      <c r="V162" s="272">
        <v>0.98</v>
      </c>
      <c r="W162" s="272">
        <v>0.98</v>
      </c>
      <c r="X162" s="272">
        <v>0.98</v>
      </c>
      <c r="Y162" s="272">
        <v>0.98</v>
      </c>
      <c r="Z162" s="272">
        <v>0.98</v>
      </c>
      <c r="AA162" s="272">
        <v>0.98</v>
      </c>
      <c r="AB162" s="272">
        <v>0.98</v>
      </c>
      <c r="AC162" s="272">
        <v>0.98</v>
      </c>
      <c r="AD162" s="272">
        <v>0.98</v>
      </c>
      <c r="AE162" s="272">
        <v>0.98</v>
      </c>
      <c r="AF162" s="272">
        <v>0.98</v>
      </c>
      <c r="AG162" s="272">
        <v>0.98</v>
      </c>
      <c r="AH162" s="272">
        <v>0.98</v>
      </c>
      <c r="AI162" s="272">
        <v>0.98</v>
      </c>
      <c r="AJ162" s="272">
        <v>0.98</v>
      </c>
      <c r="AK162" s="272">
        <v>0.98</v>
      </c>
      <c r="AL162" s="272">
        <v>0.98</v>
      </c>
      <c r="AM162" s="272">
        <v>0.98</v>
      </c>
      <c r="AO162" s="95"/>
    </row>
    <row r="163" spans="4:41">
      <c r="D163" s="270" t="s">
        <v>337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69"/>
      <c r="S163" s="269"/>
      <c r="T163" s="269"/>
      <c r="U163" s="8">
        <f t="shared" ref="U163:V163" si="288">(U160*1000)/U161*U162</f>
        <v>1.2045514038372689</v>
      </c>
      <c r="V163" s="8">
        <f t="shared" si="288"/>
        <v>4.0957228643216084</v>
      </c>
      <c r="W163" s="8">
        <f t="shared" ref="W163:Z163" si="289">(W160*1000)/W161*W162</f>
        <v>12.051621300158777</v>
      </c>
      <c r="X163" s="8">
        <f t="shared" si="289"/>
        <v>28.795739802714223</v>
      </c>
      <c r="Y163" s="8">
        <f t="shared" si="289"/>
        <v>65.075133841309324</v>
      </c>
      <c r="Z163" s="8">
        <f t="shared" si="289"/>
        <v>133.54550144989727</v>
      </c>
      <c r="AA163" s="8">
        <f>(AA160*1000)/AA161*AA162</f>
        <v>180.61807079273379</v>
      </c>
      <c r="AB163" s="101">
        <f>+AB164*AB165</f>
        <v>307.50000000000006</v>
      </c>
      <c r="AC163" s="101">
        <f t="shared" ref="AC163:AM163" si="290">+AC164*AC165</f>
        <v>435.89201249999996</v>
      </c>
      <c r="AD163" s="101">
        <f t="shared" si="290"/>
        <v>551.68944994570325</v>
      </c>
      <c r="AE163" s="101">
        <f t="shared" si="290"/>
        <v>670.31923236752766</v>
      </c>
      <c r="AF163" s="101">
        <f t="shared" si="290"/>
        <v>791.8341442117528</v>
      </c>
      <c r="AG163" s="101">
        <f t="shared" ca="1" si="290"/>
        <v>903.19802145130348</v>
      </c>
      <c r="AH163" s="101">
        <f t="shared" ca="1" si="290"/>
        <v>1017.2273443394353</v>
      </c>
      <c r="AI163" s="101">
        <f t="shared" ca="1" si="290"/>
        <v>1133.971412011801</v>
      </c>
      <c r="AJ163" s="101">
        <f t="shared" ca="1" si="290"/>
        <v>1253.480340403949</v>
      </c>
      <c r="AK163" s="101">
        <f t="shared" si="290"/>
        <v>1375.8050749783288</v>
      </c>
      <c r="AL163" s="101">
        <f t="shared" si="290"/>
        <v>1462.6888852195543</v>
      </c>
      <c r="AM163" s="101">
        <f t="shared" si="290"/>
        <v>1555.0595166822757</v>
      </c>
      <c r="AO163" s="274"/>
    </row>
    <row r="164" spans="4:41">
      <c r="D164" s="36" t="s">
        <v>338</v>
      </c>
      <c r="R164" s="14"/>
      <c r="S164" s="14"/>
      <c r="T164" s="14"/>
      <c r="U164" s="7">
        <f t="shared" ref="U164:AM164" si="291">+U69</f>
        <v>2.105</v>
      </c>
      <c r="V164" s="7">
        <f t="shared" si="291"/>
        <v>6.5229999999999997</v>
      </c>
      <c r="W164" s="7">
        <f t="shared" si="291"/>
        <v>18.760999999999999</v>
      </c>
      <c r="X164" s="7">
        <f t="shared" si="291"/>
        <v>44.252000000000002</v>
      </c>
      <c r="Y164" s="7">
        <f t="shared" si="291"/>
        <v>94.108000000000004</v>
      </c>
      <c r="Z164" s="7">
        <f t="shared" si="291"/>
        <v>177.54900000000001</v>
      </c>
      <c r="AA164" s="7">
        <f t="shared" si="291"/>
        <v>244.11099999999999</v>
      </c>
      <c r="AB164" s="7">
        <f t="shared" si="291"/>
        <v>410.00000000000006</v>
      </c>
      <c r="AC164" s="7">
        <f t="shared" si="291"/>
        <v>579.74</v>
      </c>
      <c r="AD164" s="7">
        <f t="shared" si="291"/>
        <v>731.9217500000002</v>
      </c>
      <c r="AE164" s="7">
        <f t="shared" si="291"/>
        <v>887.0891610000001</v>
      </c>
      <c r="AF164" s="7">
        <f t="shared" si="291"/>
        <v>1045.2867280450002</v>
      </c>
      <c r="AG164" s="7">
        <f t="shared" ca="1" si="291"/>
        <v>1189.3229726931602</v>
      </c>
      <c r="AH164" s="7">
        <f t="shared" ca="1" si="291"/>
        <v>1336.1354135614788</v>
      </c>
      <c r="AI164" s="7">
        <f t="shared" ca="1" si="291"/>
        <v>1485.7651709498946</v>
      </c>
      <c r="AJ164" s="7">
        <f t="shared" ca="1" si="291"/>
        <v>1638.2539099447224</v>
      </c>
      <c r="AK164" s="7">
        <f t="shared" si="291"/>
        <v>1793.6438472023519</v>
      </c>
      <c r="AL164" s="7">
        <f t="shared" si="291"/>
        <v>1902.1592999580946</v>
      </c>
      <c r="AM164" s="7">
        <f t="shared" si="291"/>
        <v>2017.2399376055594</v>
      </c>
    </row>
    <row r="165" spans="4:41">
      <c r="D165" s="36" t="s">
        <v>339</v>
      </c>
      <c r="R165" s="14"/>
      <c r="S165" s="14"/>
      <c r="T165" s="14"/>
      <c r="U165" s="14">
        <f t="shared" ref="U165:V165" si="292">+U163/U164</f>
        <v>0.57223344600345316</v>
      </c>
      <c r="V165" s="14">
        <f t="shared" si="292"/>
        <v>0.62788944723618101</v>
      </c>
      <c r="W165" s="14">
        <f t="shared" ref="W165:Z165" si="293">+W163/W164</f>
        <v>0.64237627526031538</v>
      </c>
      <c r="X165" s="14">
        <f t="shared" si="293"/>
        <v>0.65072177082875848</v>
      </c>
      <c r="Y165" s="14">
        <f t="shared" si="293"/>
        <v>0.69149417521687129</v>
      </c>
      <c r="Z165" s="14">
        <f t="shared" si="293"/>
        <v>0.75216138333585247</v>
      </c>
      <c r="AA165" s="14">
        <f>+AA163/AA164</f>
        <v>0.73990140056258746</v>
      </c>
      <c r="AB165" s="78">
        <v>0.75</v>
      </c>
      <c r="AC165" s="78">
        <f>+AB165*1.0025</f>
        <v>0.75187499999999996</v>
      </c>
      <c r="AD165" s="78">
        <f t="shared" ref="AD165:AM165" si="294">+AC165*1.0025</f>
        <v>0.75375468749999996</v>
      </c>
      <c r="AE165" s="78">
        <f t="shared" si="294"/>
        <v>0.75563907421874987</v>
      </c>
      <c r="AF165" s="78">
        <f t="shared" si="294"/>
        <v>0.75752817190429667</v>
      </c>
      <c r="AG165" s="78">
        <f t="shared" si="294"/>
        <v>0.75942199233405738</v>
      </c>
      <c r="AH165" s="78">
        <f t="shared" si="294"/>
        <v>0.76132054731489252</v>
      </c>
      <c r="AI165" s="78">
        <f t="shared" si="294"/>
        <v>0.76322384868317972</v>
      </c>
      <c r="AJ165" s="78">
        <f t="shared" si="294"/>
        <v>0.76513190830488764</v>
      </c>
      <c r="AK165" s="78">
        <f t="shared" si="294"/>
        <v>0.76704473807564977</v>
      </c>
      <c r="AL165" s="78">
        <f t="shared" si="294"/>
        <v>0.76896234992083889</v>
      </c>
      <c r="AM165" s="78">
        <f t="shared" si="294"/>
        <v>0.77088475579564097</v>
      </c>
    </row>
    <row r="166" spans="4:41">
      <c r="R166" s="14"/>
      <c r="S166" s="7"/>
      <c r="T166" s="7"/>
      <c r="U166" s="7"/>
      <c r="V166" s="7"/>
      <c r="W166" s="7"/>
      <c r="X166" s="7"/>
      <c r="Y166" s="7"/>
      <c r="Z166" s="7"/>
      <c r="AA166" s="7"/>
    </row>
    <row r="167" spans="4:41">
      <c r="D167" s="36" t="s">
        <v>336</v>
      </c>
      <c r="R167" s="14"/>
      <c r="S167" s="7"/>
      <c r="T167" s="7"/>
      <c r="U167" s="7"/>
      <c r="V167" s="7">
        <f t="shared" ref="V167:AA167" si="295">+V148</f>
        <v>0</v>
      </c>
      <c r="W167" s="7">
        <f t="shared" si="295"/>
        <v>7.4459999999999997</v>
      </c>
      <c r="X167" s="7">
        <f t="shared" si="295"/>
        <v>21.696999999999999</v>
      </c>
      <c r="Y167" s="7">
        <f t="shared" si="295"/>
        <v>51.728999999999999</v>
      </c>
      <c r="Z167" s="7">
        <f t="shared" si="295"/>
        <v>137.30099999999999</v>
      </c>
      <c r="AA167" s="7">
        <f t="shared" si="295"/>
        <v>217.643</v>
      </c>
      <c r="AB167" s="69">
        <f>+AB163*AB169/1000</f>
        <v>407.58792532159868</v>
      </c>
      <c r="AC167" s="69">
        <f t="shared" ref="AC167:AM167" si="296">+AC163*AC169/1000</f>
        <v>606.65865720678983</v>
      </c>
      <c r="AD167" s="69">
        <f t="shared" si="296"/>
        <v>798.53417395479653</v>
      </c>
      <c r="AE167" s="69">
        <f t="shared" si="296"/>
        <v>989.64783692790206</v>
      </c>
      <c r="AF167" s="69">
        <f t="shared" si="296"/>
        <v>1180.7408758206579</v>
      </c>
      <c r="AG167" s="69">
        <f t="shared" ca="1" si="296"/>
        <v>1360.268762076438</v>
      </c>
      <c r="AH167" s="69">
        <f t="shared" ca="1" si="296"/>
        <v>1547.3235913356177</v>
      </c>
      <c r="AI167" s="69">
        <f t="shared" ca="1" si="296"/>
        <v>1724.9051821797348</v>
      </c>
      <c r="AJ167" s="69">
        <f t="shared" ca="1" si="296"/>
        <v>1906.6924545190286</v>
      </c>
      <c r="AK167" s="69">
        <f t="shared" si="296"/>
        <v>2092.7629024519015</v>
      </c>
      <c r="AL167" s="69">
        <f t="shared" si="296"/>
        <v>2224.9234956953678</v>
      </c>
      <c r="AM167" s="69">
        <f t="shared" si="296"/>
        <v>2365.4301956028999</v>
      </c>
    </row>
    <row r="168" spans="4:41">
      <c r="D168" s="36" t="s">
        <v>340</v>
      </c>
      <c r="R168" s="14"/>
      <c r="S168" s="7"/>
      <c r="T168" s="7"/>
      <c r="U168" s="7"/>
      <c r="V168" s="14">
        <f t="shared" ref="V168:AM168" si="297">+V167/SUM(V144,V147)</f>
        <v>0</v>
      </c>
      <c r="W168" s="14">
        <f t="shared" si="297"/>
        <v>2.4923181973369745E-2</v>
      </c>
      <c r="X168" s="14">
        <f t="shared" si="297"/>
        <v>4.1003263706338236E-2</v>
      </c>
      <c r="Y168" s="14">
        <f t="shared" si="297"/>
        <v>3.1408319692237445E-2</v>
      </c>
      <c r="Z168" s="14">
        <f t="shared" si="297"/>
        <v>4.926246765492269E-2</v>
      </c>
      <c r="AA168" s="14">
        <f t="shared" si="297"/>
        <v>6.0808469929782331E-2</v>
      </c>
      <c r="AB168" s="14">
        <f t="shared" si="297"/>
        <v>6.8787508211867035E-2</v>
      </c>
      <c r="AC168" s="14">
        <f t="shared" si="297"/>
        <v>7.133519370119544E-2</v>
      </c>
      <c r="AD168" s="14">
        <f t="shared" si="297"/>
        <v>7.3272692789376065E-2</v>
      </c>
      <c r="AE168" s="14">
        <f t="shared" si="297"/>
        <v>7.381545347670479E-2</v>
      </c>
      <c r="AF168" s="14">
        <f t="shared" si="297"/>
        <v>7.3633193097749947E-2</v>
      </c>
      <c r="AG168" s="14">
        <f t="shared" ca="1" si="297"/>
        <v>7.3451382744422186E-2</v>
      </c>
      <c r="AH168" s="14">
        <f t="shared" ca="1" si="297"/>
        <v>7.3270021305547064E-2</v>
      </c>
      <c r="AI168" s="14">
        <f t="shared" ca="1" si="297"/>
        <v>7.2365453141281066E-2</v>
      </c>
      <c r="AJ168" s="14">
        <f t="shared" ca="1" si="297"/>
        <v>7.1472052485215876E-2</v>
      </c>
      <c r="AK168" s="14">
        <f t="shared" si="297"/>
        <v>7.0589681466879869E-2</v>
      </c>
      <c r="AL168" s="14">
        <f t="shared" si="297"/>
        <v>6.9718203917906035E-2</v>
      </c>
      <c r="AM168" s="14">
        <f t="shared" si="297"/>
        <v>6.8857485351018308E-2</v>
      </c>
    </row>
    <row r="169" spans="4:41">
      <c r="D169" s="155" t="s">
        <v>347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20"/>
      <c r="S169" s="64"/>
      <c r="T169" s="64"/>
      <c r="U169" s="64"/>
      <c r="V169" s="64">
        <f t="shared" ref="V169" si="298">+V167/V163*1000</f>
        <v>0</v>
      </c>
      <c r="W169" s="64">
        <f t="shared" ref="W169:Z169" si="299">+W167/W163*1000</f>
        <v>617.84218193961181</v>
      </c>
      <c r="X169" s="64">
        <f t="shared" si="299"/>
        <v>753.47951289499042</v>
      </c>
      <c r="Y169" s="64">
        <f t="shared" si="299"/>
        <v>794.9119263610753</v>
      </c>
      <c r="Z169" s="64">
        <f t="shared" si="299"/>
        <v>1028.1214904982155</v>
      </c>
      <c r="AA169" s="64">
        <f>+AA167/AA163*1000</f>
        <v>1204.9901709433809</v>
      </c>
      <c r="AB169" s="100">
        <f>+AA169*(1+AB170)</f>
        <v>1325.489188037719</v>
      </c>
      <c r="AC169" s="100">
        <f t="shared" ref="AC169:AM169" si="300">+AB169*(1+AC170)</f>
        <v>1391.7636474396049</v>
      </c>
      <c r="AD169" s="100">
        <f t="shared" si="300"/>
        <v>1447.4341933371891</v>
      </c>
      <c r="AE169" s="100">
        <f t="shared" si="300"/>
        <v>1476.3828772039328</v>
      </c>
      <c r="AF169" s="100">
        <f t="shared" si="300"/>
        <v>1491.1467059759721</v>
      </c>
      <c r="AG169" s="100">
        <f t="shared" si="300"/>
        <v>1506.0581730357319</v>
      </c>
      <c r="AH169" s="100">
        <f t="shared" si="300"/>
        <v>1521.1187547660893</v>
      </c>
      <c r="AI169" s="100">
        <f t="shared" si="300"/>
        <v>1521.1187547660893</v>
      </c>
      <c r="AJ169" s="100">
        <f t="shared" si="300"/>
        <v>1521.1187547660893</v>
      </c>
      <c r="AK169" s="100">
        <f t="shared" si="300"/>
        <v>1521.1187547660893</v>
      </c>
      <c r="AL169" s="100">
        <f t="shared" si="300"/>
        <v>1521.1187547660893</v>
      </c>
      <c r="AM169" s="100">
        <f t="shared" si="300"/>
        <v>1521.1187547660893</v>
      </c>
      <c r="AO169" s="332"/>
    </row>
    <row r="170" spans="4:41">
      <c r="D170" s="156" t="s">
        <v>348</v>
      </c>
      <c r="R170" s="14"/>
      <c r="S170" s="7"/>
      <c r="T170" s="7"/>
      <c r="U170" s="7"/>
      <c r="V170" s="7"/>
      <c r="W170" s="7"/>
      <c r="X170" s="14">
        <f>+X169/W169-1</f>
        <v>0.21953394397509074</v>
      </c>
      <c r="Y170" s="14">
        <f>+Y169/X169-1</f>
        <v>5.4988108843059047E-2</v>
      </c>
      <c r="Z170" s="14">
        <f>+Z169/Y169-1</f>
        <v>0.29337786540041</v>
      </c>
      <c r="AA170" s="14">
        <f>+AA169/Z169-1</f>
        <v>0.17203091471170096</v>
      </c>
      <c r="AB170" s="83">
        <v>0.1</v>
      </c>
      <c r="AC170" s="83">
        <v>0.05</v>
      </c>
      <c r="AD170" s="83">
        <v>0.04</v>
      </c>
      <c r="AE170" s="83">
        <v>0.02</v>
      </c>
      <c r="AF170" s="83">
        <v>0.01</v>
      </c>
      <c r="AG170" s="83">
        <v>0.01</v>
      </c>
      <c r="AH170" s="83">
        <v>0.01</v>
      </c>
      <c r="AI170" s="83">
        <v>0</v>
      </c>
      <c r="AJ170" s="83">
        <v>0</v>
      </c>
      <c r="AK170" s="83">
        <v>0</v>
      </c>
      <c r="AL170" s="83">
        <v>0</v>
      </c>
      <c r="AM170" s="83">
        <v>0</v>
      </c>
    </row>
    <row r="171" spans="4:41">
      <c r="R171" s="14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4:41">
      <c r="D172" s="330" t="s">
        <v>368</v>
      </c>
      <c r="R172" s="14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4:41">
      <c r="D173" t="s">
        <v>365</v>
      </c>
      <c r="E173" s="305">
        <v>0.02</v>
      </c>
      <c r="R173" s="14"/>
      <c r="S173" s="7"/>
      <c r="T173" s="7"/>
      <c r="U173" s="7"/>
      <c r="V173" s="335">
        <v>3933.9576274454948</v>
      </c>
      <c r="W173" s="335">
        <v>3326.9363343843247</v>
      </c>
      <c r="X173" s="335">
        <v>3440.9051747447315</v>
      </c>
      <c r="Y173" s="335">
        <v>3321.0496593622534</v>
      </c>
      <c r="Z173" s="335">
        <v>3220.7551009820027</v>
      </c>
      <c r="AA173" s="336">
        <v>3890.9487517404928</v>
      </c>
      <c r="AB173" s="7"/>
    </row>
    <row r="174" spans="4:41">
      <c r="D174" t="s">
        <v>366</v>
      </c>
      <c r="R174" s="14"/>
      <c r="S174" s="7"/>
      <c r="T174" s="7"/>
      <c r="U174" s="7"/>
      <c r="V174" s="80">
        <v>300</v>
      </c>
      <c r="W174" s="80">
        <v>300</v>
      </c>
      <c r="X174" s="80">
        <v>300</v>
      </c>
      <c r="Y174" s="80">
        <v>300</v>
      </c>
      <c r="Z174" s="80">
        <v>300</v>
      </c>
      <c r="AA174" s="179">
        <v>400</v>
      </c>
      <c r="AB174" s="7"/>
    </row>
    <row r="175" spans="4:41">
      <c r="D175" t="s">
        <v>367</v>
      </c>
      <c r="R175" s="14"/>
      <c r="S175" s="7"/>
      <c r="T175" s="7"/>
      <c r="U175" s="7"/>
      <c r="V175" s="80">
        <v>-1000</v>
      </c>
      <c r="W175" s="80">
        <v>-1000</v>
      </c>
      <c r="X175" s="80">
        <v>-1000</v>
      </c>
      <c r="Y175" s="80">
        <v>-1000</v>
      </c>
      <c r="Z175" s="80">
        <v>-1000</v>
      </c>
      <c r="AA175" s="179">
        <v>-750</v>
      </c>
      <c r="AB175" s="7"/>
    </row>
    <row r="176" spans="4:41">
      <c r="D176" s="3" t="s">
        <v>369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20"/>
      <c r="S176" s="64"/>
      <c r="T176" s="64"/>
      <c r="U176" s="64"/>
      <c r="V176" s="337">
        <v>1796.7317459189464</v>
      </c>
      <c r="W176" s="337">
        <v>1602.2334855202407</v>
      </c>
      <c r="X176" s="337">
        <v>1610.1981045764501</v>
      </c>
      <c r="Y176" s="337">
        <v>1562.0880351313306</v>
      </c>
      <c r="Z176" s="337">
        <v>1462.6926321585952</v>
      </c>
      <c r="AA176" s="338">
        <v>1777.8316820419243</v>
      </c>
      <c r="AB176" s="73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</row>
    <row r="177" spans="2:41">
      <c r="R177" s="14"/>
      <c r="S177" s="7"/>
      <c r="T177" s="7"/>
      <c r="U177" s="7"/>
      <c r="V177" s="7"/>
      <c r="W177" s="7"/>
      <c r="X177" s="7"/>
      <c r="Y177" s="7"/>
      <c r="Z177" s="7"/>
      <c r="AA177" s="7"/>
    </row>
    <row r="178" spans="2:41" ht="15" thickBot="1">
      <c r="D178" s="278" t="s">
        <v>355</v>
      </c>
      <c r="E178" s="276"/>
      <c r="F178" s="276"/>
      <c r="G178" s="276"/>
      <c r="H178" s="276"/>
      <c r="I178" s="276"/>
      <c r="J178" s="276"/>
      <c r="K178" s="276"/>
      <c r="L178" s="276"/>
      <c r="M178" s="276"/>
      <c r="N178" s="276"/>
      <c r="O178" s="276"/>
      <c r="P178" s="276"/>
      <c r="Q178" s="276"/>
      <c r="R178" s="277"/>
      <c r="S178" s="277"/>
      <c r="T178" s="277"/>
      <c r="U178" s="277"/>
      <c r="V178" s="277"/>
      <c r="W178" s="277"/>
      <c r="X178" s="277"/>
      <c r="Y178" s="277"/>
      <c r="Z178" s="277"/>
      <c r="AA178" s="277"/>
      <c r="AB178" s="276"/>
      <c r="AC178" s="276"/>
      <c r="AD178" s="276"/>
      <c r="AE178" s="276"/>
      <c r="AF178" s="276"/>
      <c r="AG178" s="276"/>
      <c r="AH178" s="276"/>
      <c r="AI178" s="276"/>
      <c r="AJ178" s="276"/>
      <c r="AK178" s="276"/>
      <c r="AL178" s="276"/>
      <c r="AM178" s="276"/>
    </row>
    <row r="179" spans="2:41" ht="5.15" customHeight="1">
      <c r="B179" s="154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7"/>
      <c r="AO179" s="1"/>
    </row>
    <row r="180" spans="2:41">
      <c r="D180" t="s">
        <v>356</v>
      </c>
      <c r="R180" s="14"/>
      <c r="S180" s="7"/>
      <c r="T180" s="7"/>
      <c r="U180" s="7"/>
      <c r="V180" s="7"/>
      <c r="W180" s="7"/>
      <c r="X180" s="80">
        <v>0</v>
      </c>
      <c r="Y180" s="80">
        <v>0</v>
      </c>
      <c r="Z180" s="80">
        <v>1900</v>
      </c>
      <c r="AA180" s="80">
        <v>899.8</v>
      </c>
      <c r="AB180" s="7">
        <f>+AB186*AB187</f>
        <v>1499.8463569760611</v>
      </c>
      <c r="AC180" s="7">
        <f t="shared" ref="AC180:AM180" si="301">+AC186*AC187</f>
        <v>2157.9759762206008</v>
      </c>
      <c r="AD180" s="7">
        <f t="shared" si="301"/>
        <v>2779.0191216774451</v>
      </c>
      <c r="AE180" s="7">
        <f t="shared" si="301"/>
        <v>3435.5578170742651</v>
      </c>
      <c r="AF180" s="7">
        <f t="shared" si="301"/>
        <v>4129.1265899632726</v>
      </c>
      <c r="AG180" s="7">
        <f t="shared" ca="1" si="301"/>
        <v>4768.7217469201669</v>
      </c>
      <c r="AH180" s="7">
        <f t="shared" ca="1" si="301"/>
        <v>5437.9105897538093</v>
      </c>
      <c r="AI180" s="7">
        <f t="shared" ca="1" si="301"/>
        <v>6137.7779745831194</v>
      </c>
      <c r="AJ180" s="7">
        <f t="shared" ca="1" si="301"/>
        <v>6869.4446285869381</v>
      </c>
      <c r="AK180" s="7">
        <f t="shared" si="301"/>
        <v>7634.0682686634018</v>
      </c>
      <c r="AL180" s="7">
        <f t="shared" si="301"/>
        <v>8217.62133769502</v>
      </c>
      <c r="AM180" s="7">
        <f t="shared" si="301"/>
        <v>8845.7815771620972</v>
      </c>
    </row>
    <row r="181" spans="2:41">
      <c r="D181" t="s">
        <v>357</v>
      </c>
      <c r="R181" s="14"/>
      <c r="S181" s="7"/>
      <c r="T181" s="7"/>
      <c r="U181" s="7"/>
      <c r="V181" s="7"/>
      <c r="W181" s="7"/>
      <c r="X181" s="80">
        <v>343.6</v>
      </c>
      <c r="Y181" s="80">
        <v>733.4</v>
      </c>
      <c r="Z181" s="80">
        <v>418.8</v>
      </c>
      <c r="AA181" s="80">
        <v>2200</v>
      </c>
    </row>
    <row r="182" spans="2:41">
      <c r="D182" t="s">
        <v>421</v>
      </c>
      <c r="R182" s="14"/>
      <c r="S182" s="7"/>
      <c r="T182" s="7"/>
      <c r="U182" s="7"/>
      <c r="V182" s="7"/>
      <c r="W182" s="7"/>
      <c r="X182" s="80">
        <v>163.69999999999999</v>
      </c>
      <c r="Y182" s="80">
        <v>348.8</v>
      </c>
      <c r="Z182" s="80">
        <v>139.30000000000001</v>
      </c>
      <c r="AA182" s="80">
        <v>0</v>
      </c>
    </row>
    <row r="183" spans="2:41">
      <c r="D183" t="s">
        <v>359</v>
      </c>
      <c r="R183" s="14"/>
      <c r="S183" s="7"/>
      <c r="T183" s="7"/>
      <c r="U183" s="7"/>
      <c r="V183" s="7"/>
      <c r="W183" s="7"/>
      <c r="X183" s="80">
        <v>0</v>
      </c>
      <c r="Y183" s="80">
        <v>115</v>
      </c>
      <c r="Z183" s="80">
        <v>0</v>
      </c>
      <c r="AA183" s="80">
        <v>0</v>
      </c>
    </row>
    <row r="184" spans="2:41">
      <c r="D184" t="s">
        <v>360</v>
      </c>
      <c r="R184" s="14"/>
      <c r="S184" s="7"/>
      <c r="T184" s="7"/>
      <c r="U184" s="7"/>
      <c r="V184" s="7"/>
      <c r="W184" s="7"/>
      <c r="X184" s="80">
        <v>0</v>
      </c>
      <c r="Y184" s="80">
        <v>0</v>
      </c>
      <c r="Z184" s="80">
        <v>0</v>
      </c>
      <c r="AA184" s="80">
        <v>320</v>
      </c>
    </row>
    <row r="185" spans="2:41">
      <c r="D185" t="s">
        <v>128</v>
      </c>
      <c r="R185" s="14"/>
      <c r="S185" s="7"/>
      <c r="T185" s="7"/>
      <c r="U185" s="7"/>
      <c r="V185" s="7"/>
      <c r="W185" s="7"/>
      <c r="X185" s="7">
        <f t="shared" ref="X185" si="302">X186-SUM(X180:X184)</f>
        <v>19.964999999999975</v>
      </c>
      <c r="Y185" s="7">
        <f t="shared" ref="Y185:Z185" si="303">Y186-SUM(Y180:Y184)</f>
        <v>436.31899999999996</v>
      </c>
      <c r="Z185" s="7">
        <f t="shared" si="303"/>
        <v>185.81199999999944</v>
      </c>
      <c r="AA185" s="7">
        <f>AA186-SUM(AA180:AA184)</f>
        <v>214.7199999999998</v>
      </c>
    </row>
    <row r="186" spans="2:41">
      <c r="D186" s="270" t="s">
        <v>358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69"/>
      <c r="S186" s="269"/>
      <c r="T186" s="269"/>
      <c r="U186" s="8"/>
      <c r="V186" s="8"/>
      <c r="W186" s="8"/>
      <c r="X186" s="8">
        <f t="shared" ref="X186:AM186" si="304">-X145</f>
        <v>527.26499999999999</v>
      </c>
      <c r="Y186" s="8">
        <f t="shared" si="304"/>
        <v>1633.519</v>
      </c>
      <c r="Z186" s="8">
        <f t="shared" si="304"/>
        <v>2643.9119999999998</v>
      </c>
      <c r="AA186" s="8">
        <f t="shared" si="304"/>
        <v>3634.52</v>
      </c>
      <c r="AB186" s="8">
        <f t="shared" si="304"/>
        <v>5999.3854279042444</v>
      </c>
      <c r="AC186" s="8">
        <f t="shared" si="304"/>
        <v>8631.9039048824034</v>
      </c>
      <c r="AD186" s="8">
        <f t="shared" si="304"/>
        <v>11116.076486709781</v>
      </c>
      <c r="AE186" s="8">
        <f t="shared" si="304"/>
        <v>13742.231268297061</v>
      </c>
      <c r="AF186" s="8">
        <f t="shared" si="304"/>
        <v>16516.506359853091</v>
      </c>
      <c r="AG186" s="8">
        <f t="shared" ca="1" si="304"/>
        <v>19074.886987680668</v>
      </c>
      <c r="AH186" s="8">
        <f t="shared" ca="1" si="304"/>
        <v>21751.642359015237</v>
      </c>
      <c r="AI186" s="8">
        <f t="shared" ca="1" si="304"/>
        <v>24551.111898332478</v>
      </c>
      <c r="AJ186" s="8">
        <f t="shared" ca="1" si="304"/>
        <v>27477.778514347752</v>
      </c>
      <c r="AK186" s="8">
        <f t="shared" si="304"/>
        <v>30536.273074653607</v>
      </c>
      <c r="AL186" s="8">
        <f t="shared" si="304"/>
        <v>32870.48535078008</v>
      </c>
      <c r="AM186" s="8">
        <f t="shared" si="304"/>
        <v>35383.126308648389</v>
      </c>
    </row>
    <row r="187" spans="2:41">
      <c r="D187" t="s">
        <v>364</v>
      </c>
      <c r="R187" s="14"/>
      <c r="S187" s="7"/>
      <c r="T187" s="7"/>
      <c r="U187" s="7"/>
      <c r="V187" s="7"/>
      <c r="W187" s="7"/>
      <c r="X187" s="65">
        <f>+X180/X186</f>
        <v>0</v>
      </c>
      <c r="Y187" s="65">
        <f>+Y180/Y186</f>
        <v>0</v>
      </c>
      <c r="Z187" s="65">
        <f>+Z180/Z186</f>
        <v>0.71863208760352093</v>
      </c>
      <c r="AA187" s="65">
        <f>+AA180/AA186</f>
        <v>0.24757051825275414</v>
      </c>
      <c r="AB187" s="77">
        <v>0.25</v>
      </c>
      <c r="AC187" s="77">
        <v>0.25</v>
      </c>
      <c r="AD187" s="77">
        <v>0.25</v>
      </c>
      <c r="AE187" s="77">
        <v>0.25</v>
      </c>
      <c r="AF187" s="77">
        <v>0.25</v>
      </c>
      <c r="AG187" s="77">
        <v>0.25</v>
      </c>
      <c r="AH187" s="77">
        <v>0.25</v>
      </c>
      <c r="AI187" s="77">
        <v>0.25</v>
      </c>
      <c r="AJ187" s="77">
        <v>0.25</v>
      </c>
      <c r="AK187" s="77">
        <v>0.25</v>
      </c>
      <c r="AL187" s="77">
        <v>0.25</v>
      </c>
      <c r="AM187" s="77">
        <v>0.25</v>
      </c>
    </row>
    <row r="188" spans="2:41">
      <c r="R188" s="14"/>
      <c r="S188" s="7"/>
      <c r="T188" s="7"/>
      <c r="U188" s="7"/>
      <c r="V188" s="7"/>
      <c r="W188" s="7"/>
      <c r="X188" s="7"/>
      <c r="Y188" s="7"/>
      <c r="Z188" s="7"/>
      <c r="AA188" s="7"/>
    </row>
    <row r="189" spans="2:41">
      <c r="R189" s="14"/>
      <c r="S189" s="7"/>
      <c r="T189" s="7"/>
      <c r="U189" s="7"/>
      <c r="V189" s="7"/>
      <c r="W189" s="7"/>
      <c r="X189" s="7"/>
      <c r="Y189" s="7"/>
      <c r="Z189" s="7"/>
      <c r="AA189" s="7"/>
    </row>
    <row r="190" spans="2:41">
      <c r="D190" s="202" t="s">
        <v>241</v>
      </c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8"/>
      <c r="S190" s="198"/>
      <c r="T190" s="198"/>
      <c r="U190" s="198"/>
      <c r="V190" s="198"/>
      <c r="W190" s="198"/>
      <c r="X190" s="198"/>
      <c r="Y190" s="198"/>
      <c r="Z190" s="203"/>
      <c r="AA190" s="203"/>
      <c r="AB190" s="203"/>
      <c r="AC190" s="197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</row>
    <row r="191" spans="2:41"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7"/>
    </row>
    <row r="192" spans="2:41">
      <c r="D192" t="s">
        <v>242</v>
      </c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80">
        <v>1</v>
      </c>
      <c r="U192" s="80">
        <v>2</v>
      </c>
      <c r="V192" s="80">
        <v>3</v>
      </c>
      <c r="W192" s="80">
        <v>3</v>
      </c>
      <c r="X192" s="80">
        <v>4</v>
      </c>
      <c r="Y192" s="80">
        <v>5</v>
      </c>
      <c r="Z192" s="80">
        <v>7</v>
      </c>
      <c r="AA192" s="80">
        <v>11</v>
      </c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7"/>
    </row>
    <row r="193" spans="1:42">
      <c r="D193" t="s">
        <v>243</v>
      </c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80">
        <v>50</v>
      </c>
      <c r="U193" s="80">
        <v>100</v>
      </c>
      <c r="V193" s="80">
        <v>50</v>
      </c>
      <c r="W193" s="80">
        <v>150</v>
      </c>
      <c r="X193" s="80">
        <v>200</v>
      </c>
      <c r="Y193" s="80">
        <v>250</v>
      </c>
      <c r="Z193" s="80">
        <v>350</v>
      </c>
      <c r="AA193" s="80">
        <v>600</v>
      </c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7"/>
    </row>
    <row r="194" spans="1:42">
      <c r="D194" t="s">
        <v>244</v>
      </c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>
        <f t="shared" ref="T194:AA194" si="305">+T193/T192</f>
        <v>50</v>
      </c>
      <c r="U194" s="75">
        <f t="shared" si="305"/>
        <v>50</v>
      </c>
      <c r="V194" s="75">
        <f t="shared" si="305"/>
        <v>16.666666666666668</v>
      </c>
      <c r="W194" s="75">
        <f t="shared" si="305"/>
        <v>50</v>
      </c>
      <c r="X194" s="75">
        <f t="shared" si="305"/>
        <v>50</v>
      </c>
      <c r="Y194" s="75">
        <f t="shared" si="305"/>
        <v>50</v>
      </c>
      <c r="Z194" s="75">
        <f t="shared" si="305"/>
        <v>50</v>
      </c>
      <c r="AA194" s="75">
        <f t="shared" si="305"/>
        <v>54.545454545454547</v>
      </c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7"/>
    </row>
    <row r="195" spans="1:42"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7"/>
    </row>
    <row r="196" spans="1:42">
      <c r="D196" t="s">
        <v>246</v>
      </c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>
        <f t="shared" ref="T196:Z196" si="306">AVERAGE(S193:T193)</f>
        <v>50</v>
      </c>
      <c r="U196" s="75">
        <f t="shared" si="306"/>
        <v>75</v>
      </c>
      <c r="V196" s="75">
        <f t="shared" si="306"/>
        <v>75</v>
      </c>
      <c r="W196" s="75">
        <f t="shared" si="306"/>
        <v>100</v>
      </c>
      <c r="X196" s="75">
        <f t="shared" si="306"/>
        <v>175</v>
      </c>
      <c r="Y196" s="75">
        <f t="shared" si="306"/>
        <v>225</v>
      </c>
      <c r="Z196" s="75">
        <f t="shared" si="306"/>
        <v>300</v>
      </c>
      <c r="AA196" s="75">
        <f>AVERAGE(Z193:AA193)</f>
        <v>475</v>
      </c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7"/>
    </row>
    <row r="197" spans="1:42">
      <c r="D197" t="s">
        <v>247</v>
      </c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>
        <f t="shared" ref="T197:AA197" si="307">+T69</f>
        <v>0</v>
      </c>
      <c r="U197" s="75">
        <f t="shared" si="307"/>
        <v>2.105</v>
      </c>
      <c r="V197" s="75">
        <f t="shared" si="307"/>
        <v>6.5229999999999997</v>
      </c>
      <c r="W197" s="75">
        <f t="shared" si="307"/>
        <v>18.760999999999999</v>
      </c>
      <c r="X197" s="75">
        <f t="shared" si="307"/>
        <v>44.252000000000002</v>
      </c>
      <c r="Y197" s="75">
        <f t="shared" si="307"/>
        <v>94.108000000000004</v>
      </c>
      <c r="Z197" s="75">
        <f t="shared" si="307"/>
        <v>177.54900000000001</v>
      </c>
      <c r="AA197" s="75">
        <f t="shared" si="307"/>
        <v>244.11099999999999</v>
      </c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7"/>
    </row>
    <row r="198" spans="1:42">
      <c r="D198" t="s">
        <v>245</v>
      </c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218">
        <f t="shared" ref="T198:AA198" si="308">+T197/T196</f>
        <v>0</v>
      </c>
      <c r="U198" s="218">
        <f t="shared" si="308"/>
        <v>2.8066666666666667E-2</v>
      </c>
      <c r="V198" s="218">
        <f t="shared" si="308"/>
        <v>8.6973333333333333E-2</v>
      </c>
      <c r="W198" s="218">
        <f t="shared" si="308"/>
        <v>0.18761</v>
      </c>
      <c r="X198" s="218">
        <f t="shared" si="308"/>
        <v>0.25286857142857144</v>
      </c>
      <c r="Y198" s="218">
        <f t="shared" si="308"/>
        <v>0.41825777777777778</v>
      </c>
      <c r="Z198" s="218">
        <f t="shared" si="308"/>
        <v>0.59182999999999997</v>
      </c>
      <c r="AA198" s="218">
        <f t="shared" si="308"/>
        <v>0.51391789473684213</v>
      </c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7"/>
    </row>
    <row r="199" spans="1:42"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7"/>
    </row>
    <row r="200" spans="1:42">
      <c r="G200" s="7"/>
      <c r="H200" s="7"/>
      <c r="I200" s="7"/>
      <c r="J200" s="7"/>
      <c r="K200" s="7"/>
      <c r="L200" s="7"/>
      <c r="M200" s="7"/>
      <c r="N200" s="7"/>
      <c r="O200" s="7"/>
      <c r="P200" s="99"/>
      <c r="Q200" s="7"/>
      <c r="R200" s="7"/>
      <c r="S200" s="7"/>
      <c r="T200" s="65"/>
      <c r="U200" s="65"/>
      <c r="V200" s="65"/>
      <c r="W200" s="74"/>
      <c r="X200" s="74"/>
      <c r="Y200" s="74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7"/>
    </row>
    <row r="201" spans="1:42">
      <c r="B201" s="153" t="s">
        <v>186</v>
      </c>
      <c r="C201" s="52" t="s">
        <v>186</v>
      </c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</row>
    <row r="202" spans="1:42">
      <c r="C202" s="111"/>
      <c r="D202" s="112" t="s">
        <v>105</v>
      </c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</row>
    <row r="203" spans="1:42">
      <c r="B203" s="154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7"/>
      <c r="AO203" s="1"/>
    </row>
    <row r="204" spans="1:42">
      <c r="A204" s="117" t="s">
        <v>188</v>
      </c>
      <c r="D204" s="67" t="s">
        <v>220</v>
      </c>
      <c r="I204" s="79"/>
      <c r="J204" s="79"/>
      <c r="K204" s="178"/>
      <c r="L204" s="178"/>
      <c r="M204" s="178"/>
      <c r="N204" s="178"/>
      <c r="O204" s="79"/>
      <c r="P204" s="79"/>
      <c r="Q204" s="79"/>
      <c r="R204" s="79"/>
      <c r="S204" s="79"/>
      <c r="T204" s="79"/>
      <c r="U204" s="79">
        <f t="shared" ref="U204:AM204" si="309">+U7</f>
        <v>41.678999999999995</v>
      </c>
      <c r="V204" s="79">
        <f t="shared" si="309"/>
        <v>130.392</v>
      </c>
      <c r="W204" s="79">
        <f t="shared" si="309"/>
        <v>365.14799999999997</v>
      </c>
      <c r="X204" s="79">
        <f t="shared" si="309"/>
        <v>858.87</v>
      </c>
      <c r="Y204" s="79">
        <f t="shared" si="309"/>
        <v>1955.4670000000001</v>
      </c>
      <c r="Z204" s="79">
        <f t="shared" si="309"/>
        <v>3939.8959999999997</v>
      </c>
      <c r="AA204" s="79">
        <f t="shared" si="309"/>
        <v>5586.5650000000005</v>
      </c>
      <c r="AB204" s="79">
        <f t="shared" si="309"/>
        <v>9735.9035585324546</v>
      </c>
      <c r="AC204" s="79">
        <f t="shared" si="309"/>
        <v>13885.525239528481</v>
      </c>
      <c r="AD204" s="79">
        <f t="shared" ca="1" si="309"/>
        <v>17790.380494450546</v>
      </c>
      <c r="AE204" s="79">
        <f t="shared" ca="1" si="309"/>
        <v>21889.397163361726</v>
      </c>
      <c r="AF204" s="79">
        <f t="shared" ca="1" si="309"/>
        <v>26194.755905463302</v>
      </c>
      <c r="AG204" s="79">
        <f t="shared" ca="1" si="309"/>
        <v>30282.853411641707</v>
      </c>
      <c r="AH204" s="79">
        <f t="shared" ca="1" si="309"/>
        <v>34587.063924973321</v>
      </c>
      <c r="AI204" s="79">
        <f t="shared" ca="1" si="309"/>
        <v>39099.510346543429</v>
      </c>
      <c r="AJ204" s="79">
        <f t="shared" ca="1" si="309"/>
        <v>43843.960523102323</v>
      </c>
      <c r="AK204" s="79">
        <f t="shared" ca="1" si="309"/>
        <v>48835.985692769922</v>
      </c>
      <c r="AL204" s="79">
        <f t="shared" ca="1" si="309"/>
        <v>52483.366612389975</v>
      </c>
      <c r="AM204" s="79">
        <f t="shared" ca="1" si="309"/>
        <v>56402.172154158863</v>
      </c>
      <c r="AN204" s="7"/>
      <c r="AO204" s="76">
        <f ca="1">(AK204/AA204)^(1/10)-1</f>
        <v>0.24210843252529912</v>
      </c>
      <c r="AP204" s="76"/>
    </row>
    <row r="205" spans="1:42">
      <c r="D205" s="70" t="s">
        <v>189</v>
      </c>
      <c r="I205" s="79"/>
      <c r="J205" s="79"/>
      <c r="K205" s="178"/>
      <c r="L205" s="178"/>
      <c r="M205" s="178"/>
      <c r="N205" s="178"/>
      <c r="O205" s="79"/>
      <c r="P205" s="79"/>
      <c r="Q205" s="79"/>
      <c r="R205" s="79"/>
      <c r="S205" s="79"/>
      <c r="T205" s="79"/>
      <c r="U205" s="79">
        <f t="shared" ref="U205:AM205" si="310">+U8</f>
        <v>-42.102999999999994</v>
      </c>
      <c r="V205" s="79">
        <f t="shared" si="310"/>
        <v>-129.04599999999999</v>
      </c>
      <c r="W205" s="79">
        <f t="shared" si="310"/>
        <v>-345.95099999999996</v>
      </c>
      <c r="X205" s="79">
        <f t="shared" si="310"/>
        <v>-790.779</v>
      </c>
      <c r="Y205" s="79">
        <f t="shared" si="310"/>
        <v>-1758.758</v>
      </c>
      <c r="Z205" s="79">
        <f t="shared" si="310"/>
        <v>-3433.482</v>
      </c>
      <c r="AA205" s="79">
        <f t="shared" si="310"/>
        <v>-4792.8</v>
      </c>
      <c r="AB205" s="79">
        <f t="shared" si="310"/>
        <v>-8362.8833119955707</v>
      </c>
      <c r="AC205" s="79">
        <f t="shared" si="310"/>
        <v>-11794.064972043705</v>
      </c>
      <c r="AD205" s="79">
        <f t="shared" ca="1" si="310"/>
        <v>-15020.072033005703</v>
      </c>
      <c r="AE205" s="79">
        <f t="shared" ca="1" si="310"/>
        <v>-18402.098727238499</v>
      </c>
      <c r="AF205" s="79">
        <f t="shared" ca="1" si="310"/>
        <v>-21947.177538802061</v>
      </c>
      <c r="AG205" s="79">
        <f t="shared" ca="1" si="310"/>
        <v>-25282.751366386092</v>
      </c>
      <c r="AH205" s="79">
        <f t="shared" ca="1" si="310"/>
        <v>-28768.314547471909</v>
      </c>
      <c r="AI205" s="79">
        <f t="shared" ca="1" si="310"/>
        <v>-32443.508528075428</v>
      </c>
      <c r="AJ205" s="79">
        <f t="shared" ca="1" si="310"/>
        <v>-36306.008902935726</v>
      </c>
      <c r="AK205" s="79">
        <f t="shared" ca="1" si="310"/>
        <v>-40353.527699939077</v>
      </c>
      <c r="AL205" s="79">
        <f t="shared" ca="1" si="310"/>
        <v>-43324.220955628371</v>
      </c>
      <c r="AM205" s="79">
        <f t="shared" ca="1" si="310"/>
        <v>-46513.669292774342</v>
      </c>
      <c r="AN205" s="7"/>
      <c r="AO205" s="76"/>
      <c r="AP205" s="76"/>
    </row>
    <row r="206" spans="1:42" s="3" customFormat="1">
      <c r="A206" s="117" t="s">
        <v>164</v>
      </c>
      <c r="B206" s="155"/>
      <c r="D206" s="2" t="s">
        <v>164</v>
      </c>
      <c r="E206" s="2"/>
      <c r="F206" s="2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>
        <f t="shared" ref="U206:Z206" si="311">SUM(U204:U205)</f>
        <v>-0.42399999999999949</v>
      </c>
      <c r="V206" s="8">
        <f t="shared" si="311"/>
        <v>1.3460000000000036</v>
      </c>
      <c r="W206" s="8">
        <f t="shared" si="311"/>
        <v>19.197000000000003</v>
      </c>
      <c r="X206" s="8">
        <f t="shared" si="311"/>
        <v>68.091000000000008</v>
      </c>
      <c r="Y206" s="8">
        <f t="shared" si="311"/>
        <v>196.70900000000006</v>
      </c>
      <c r="Z206" s="8">
        <f t="shared" si="311"/>
        <v>506.41399999999976</v>
      </c>
      <c r="AA206" s="8">
        <f>SUM(AA204:AA205)</f>
        <v>793.76500000000033</v>
      </c>
      <c r="AB206" s="8">
        <f t="shared" ref="AB206:AM206" si="312">SUM(AB204:AB205)</f>
        <v>1373.0202465368839</v>
      </c>
      <c r="AC206" s="8">
        <f t="shared" si="312"/>
        <v>2091.4602674847756</v>
      </c>
      <c r="AD206" s="8">
        <f t="shared" ca="1" si="312"/>
        <v>2770.3084614448435</v>
      </c>
      <c r="AE206" s="8">
        <f t="shared" ca="1" si="312"/>
        <v>3487.2984361232266</v>
      </c>
      <c r="AF206" s="8">
        <f t="shared" ca="1" si="312"/>
        <v>4247.5783666612406</v>
      </c>
      <c r="AG206" s="8">
        <f t="shared" ca="1" si="312"/>
        <v>5000.1020452556149</v>
      </c>
      <c r="AH206" s="8">
        <f t="shared" ca="1" si="312"/>
        <v>5818.7493775014118</v>
      </c>
      <c r="AI206" s="8">
        <f t="shared" ca="1" si="312"/>
        <v>6656.0018184680011</v>
      </c>
      <c r="AJ206" s="8">
        <f t="shared" ca="1" si="312"/>
        <v>7537.9516201665974</v>
      </c>
      <c r="AK206" s="8">
        <f t="shared" ca="1" si="312"/>
        <v>8482.4579928308449</v>
      </c>
      <c r="AL206" s="8">
        <f t="shared" ca="1" si="312"/>
        <v>9159.1456567616042</v>
      </c>
      <c r="AM206" s="8">
        <f t="shared" ca="1" si="312"/>
        <v>9888.5028613845207</v>
      </c>
      <c r="AN206" s="64"/>
      <c r="AO206" s="76">
        <f ca="1">(AK206/AA206)^(1/10)-1</f>
        <v>0.26731033686401862</v>
      </c>
      <c r="AP206" s="76"/>
    </row>
    <row r="207" spans="1:42">
      <c r="D207" s="70" t="s">
        <v>106</v>
      </c>
      <c r="I207" s="79"/>
      <c r="J207" s="79"/>
      <c r="K207" s="178"/>
      <c r="L207" s="178"/>
      <c r="M207" s="178"/>
      <c r="N207" s="178"/>
      <c r="O207" s="79"/>
      <c r="P207" s="79"/>
      <c r="Q207" s="79"/>
      <c r="R207" s="79"/>
      <c r="S207" s="79"/>
      <c r="T207" s="79"/>
      <c r="U207" s="79">
        <f t="shared" ref="U207:AM207" si="313">+U10</f>
        <v>-12.978999999999999</v>
      </c>
      <c r="V207" s="79">
        <f t="shared" si="313"/>
        <v>-33.878</v>
      </c>
      <c r="W207" s="79">
        <f t="shared" si="313"/>
        <v>-104.01799999999999</v>
      </c>
      <c r="X207" s="79">
        <f t="shared" si="313"/>
        <v>-211.83200000000002</v>
      </c>
      <c r="Y207" s="79">
        <f t="shared" si="313"/>
        <v>-401.71900000000005</v>
      </c>
      <c r="Z207" s="79">
        <f t="shared" si="313"/>
        <v>-745.45199999999988</v>
      </c>
      <c r="AA207" s="79">
        <f t="shared" si="313"/>
        <v>-1052.3700000000001</v>
      </c>
      <c r="AB207" s="79">
        <f t="shared" si="313"/>
        <v>-1593.5559935134261</v>
      </c>
      <c r="AC207" s="79">
        <f t="shared" ca="1" si="313"/>
        <v>-2121.4588562971271</v>
      </c>
      <c r="AD207" s="79">
        <f t="shared" ca="1" si="313"/>
        <v>-2577.7713628552256</v>
      </c>
      <c r="AE207" s="79">
        <f t="shared" ca="1" si="313"/>
        <v>-2991.2863462020273</v>
      </c>
      <c r="AF207" s="79">
        <f t="shared" ca="1" si="313"/>
        <v>-3369.8262089171872</v>
      </c>
      <c r="AG207" s="79">
        <f t="shared" ca="1" si="313"/>
        <v>-3645.6316082892158</v>
      </c>
      <c r="AH207" s="79">
        <f t="shared" ca="1" si="313"/>
        <v>-3873.4895166393853</v>
      </c>
      <c r="AI207" s="79">
        <f t="shared" ca="1" si="313"/>
        <v>-4053.7573071372062</v>
      </c>
      <c r="AJ207" s="79">
        <f t="shared" ca="1" si="313"/>
        <v>-4182.1329804900752</v>
      </c>
      <c r="AK207" s="79">
        <f t="shared" ca="1" si="313"/>
        <v>-4254.0968533089399</v>
      </c>
      <c r="AL207" s="79">
        <f t="shared" ca="1" si="313"/>
        <v>-4562.0091961802063</v>
      </c>
      <c r="AM207" s="79">
        <f t="shared" ca="1" si="313"/>
        <v>-4916.2551222829734</v>
      </c>
      <c r="AN207" s="7"/>
    </row>
    <row r="208" spans="1:42">
      <c r="D208" s="70" t="s">
        <v>128</v>
      </c>
      <c r="I208" s="79"/>
      <c r="J208" s="79"/>
      <c r="K208" s="178"/>
      <c r="L208" s="178"/>
      <c r="M208" s="178"/>
      <c r="N208" s="178"/>
      <c r="O208" s="79"/>
      <c r="P208" s="79"/>
      <c r="Q208" s="79"/>
      <c r="R208" s="79"/>
      <c r="S208" s="79"/>
      <c r="T208" s="79"/>
      <c r="U208" s="79">
        <f t="shared" ref="U208:AM208" si="314">+U11</f>
        <v>-2.1999999999999999E-2</v>
      </c>
      <c r="V208" s="79">
        <f t="shared" si="314"/>
        <v>-3.5999999999999997E-2</v>
      </c>
      <c r="W208" s="79">
        <f t="shared" si="314"/>
        <v>-4.5999999999999999E-2</v>
      </c>
      <c r="X208" s="79">
        <f t="shared" si="314"/>
        <v>-1.3480000000000001</v>
      </c>
      <c r="Y208" s="79">
        <f t="shared" si="314"/>
        <v>-1.1779999999999999</v>
      </c>
      <c r="Z208" s="79">
        <f t="shared" si="314"/>
        <v>-3.73</v>
      </c>
      <c r="AA208" s="79">
        <f t="shared" si="314"/>
        <v>1.4470000000000001</v>
      </c>
      <c r="AB208" s="79">
        <f t="shared" si="314"/>
        <v>0</v>
      </c>
      <c r="AC208" s="79">
        <f t="shared" si="314"/>
        <v>0</v>
      </c>
      <c r="AD208" s="79">
        <f t="shared" si="314"/>
        <v>0</v>
      </c>
      <c r="AE208" s="79">
        <f t="shared" si="314"/>
        <v>0</v>
      </c>
      <c r="AF208" s="79">
        <f t="shared" si="314"/>
        <v>0</v>
      </c>
      <c r="AG208" s="79">
        <f t="shared" si="314"/>
        <v>0</v>
      </c>
      <c r="AH208" s="79">
        <f t="shared" si="314"/>
        <v>0</v>
      </c>
      <c r="AI208" s="79">
        <f t="shared" si="314"/>
        <v>0</v>
      </c>
      <c r="AJ208" s="79">
        <f t="shared" si="314"/>
        <v>0</v>
      </c>
      <c r="AK208" s="79">
        <f t="shared" si="314"/>
        <v>0</v>
      </c>
      <c r="AL208" s="79">
        <f t="shared" si="314"/>
        <v>0</v>
      </c>
      <c r="AM208" s="79">
        <f t="shared" si="314"/>
        <v>0</v>
      </c>
      <c r="AN208" s="7"/>
    </row>
    <row r="209" spans="1:42" s="3" customFormat="1">
      <c r="A209" s="117" t="s">
        <v>103</v>
      </c>
      <c r="B209" s="155"/>
      <c r="D209" s="2" t="s">
        <v>103</v>
      </c>
      <c r="E209" s="2"/>
      <c r="F209" s="2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>
        <f t="shared" ref="U209:AA209" si="315">SUM(U206:U208)</f>
        <v>-13.424999999999999</v>
      </c>
      <c r="V209" s="8">
        <f t="shared" si="315"/>
        <v>-32.567999999999998</v>
      </c>
      <c r="W209" s="8">
        <f t="shared" si="315"/>
        <v>-84.86699999999999</v>
      </c>
      <c r="X209" s="8">
        <f t="shared" si="315"/>
        <v>-145.08900000000003</v>
      </c>
      <c r="Y209" s="8">
        <f t="shared" si="315"/>
        <v>-206.18799999999999</v>
      </c>
      <c r="Z209" s="8">
        <f t="shared" si="315"/>
        <v>-242.76800000000011</v>
      </c>
      <c r="AA209" s="8">
        <f t="shared" si="315"/>
        <v>-257.15799999999979</v>
      </c>
      <c r="AB209" s="8">
        <f t="shared" ref="AB209:AM209" si="316">SUM(AB206:AB208)</f>
        <v>-220.53574697654221</v>
      </c>
      <c r="AC209" s="8">
        <f t="shared" ca="1" si="316"/>
        <v>-29.9985888123515</v>
      </c>
      <c r="AD209" s="8">
        <f t="shared" ca="1" si="316"/>
        <v>192.53709858961793</v>
      </c>
      <c r="AE209" s="8">
        <f t="shared" ca="1" si="316"/>
        <v>496.01208992119928</v>
      </c>
      <c r="AF209" s="8">
        <f t="shared" ca="1" si="316"/>
        <v>877.75215774405342</v>
      </c>
      <c r="AG209" s="8">
        <f t="shared" ca="1" si="316"/>
        <v>1354.4704369663991</v>
      </c>
      <c r="AH209" s="8">
        <f t="shared" ca="1" si="316"/>
        <v>1945.2598608620265</v>
      </c>
      <c r="AI209" s="8">
        <f t="shared" ca="1" si="316"/>
        <v>2602.2445113307949</v>
      </c>
      <c r="AJ209" s="8">
        <f t="shared" ca="1" si="316"/>
        <v>3355.8186396765223</v>
      </c>
      <c r="AK209" s="8">
        <f t="shared" ca="1" si="316"/>
        <v>4228.361139521905</v>
      </c>
      <c r="AL209" s="8">
        <f t="shared" ca="1" si="316"/>
        <v>4597.1364605813978</v>
      </c>
      <c r="AM209" s="8">
        <f t="shared" ca="1" si="316"/>
        <v>4972.2477391015473</v>
      </c>
      <c r="AN209" s="64"/>
      <c r="AO209" s="76"/>
      <c r="AP209" s="76"/>
    </row>
    <row r="210" spans="1:42">
      <c r="A210" s="117" t="s">
        <v>7</v>
      </c>
      <c r="D210" s="70" t="s">
        <v>7</v>
      </c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>
        <f t="shared" ref="U210:AM210" si="317">+U13</f>
        <v>-1.7050000000000001</v>
      </c>
      <c r="V210" s="79">
        <f t="shared" si="317"/>
        <v>-2.8</v>
      </c>
      <c r="W210" s="79">
        <f t="shared" si="317"/>
        <v>-4.6580000000000004</v>
      </c>
      <c r="X210" s="79">
        <f t="shared" si="317"/>
        <v>-11.568</v>
      </c>
      <c r="Y210" s="79">
        <f t="shared" si="317"/>
        <v>-23.539000000000001</v>
      </c>
      <c r="Z210" s="79">
        <f t="shared" si="317"/>
        <v>-41.265000000000001</v>
      </c>
      <c r="AA210" s="79">
        <f t="shared" si="317"/>
        <v>-73.790999999999997</v>
      </c>
      <c r="AB210" s="79">
        <f t="shared" si="317"/>
        <v>-122.82525833333335</v>
      </c>
      <c r="AC210" s="79">
        <f t="shared" si="317"/>
        <v>-167.11348549505175</v>
      </c>
      <c r="AD210" s="79">
        <f t="shared" si="317"/>
        <v>-219.14302041927954</v>
      </c>
      <c r="AE210" s="79">
        <f t="shared" ca="1" si="317"/>
        <v>-261.75920558527469</v>
      </c>
      <c r="AF210" s="79">
        <f t="shared" ca="1" si="317"/>
        <v>-306.45156028706413</v>
      </c>
      <c r="AG210" s="79">
        <f t="shared" ca="1" si="317"/>
        <v>-353.98318791166622</v>
      </c>
      <c r="AH210" s="79">
        <f t="shared" ca="1" si="317"/>
        <v>-408.61110425297369</v>
      </c>
      <c r="AI210" s="79">
        <f t="shared" ca="1" si="317"/>
        <v>-463.70684453856592</v>
      </c>
      <c r="AJ210" s="79">
        <f t="shared" ca="1" si="317"/>
        <v>-520.95636888405625</v>
      </c>
      <c r="AK210" s="79">
        <f t="shared" ca="1" si="317"/>
        <v>-580.66573027528307</v>
      </c>
      <c r="AL210" s="79">
        <f t="shared" ca="1" si="317"/>
        <v>-633.84409844640163</v>
      </c>
      <c r="AM210" s="79">
        <f t="shared" ca="1" si="317"/>
        <v>-667.55992097875412</v>
      </c>
      <c r="AN210" s="7"/>
    </row>
    <row r="211" spans="1:42">
      <c r="D211" s="70" t="s">
        <v>107</v>
      </c>
      <c r="I211" s="79"/>
      <c r="J211" s="79"/>
      <c r="K211" s="79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>
        <v>0</v>
      </c>
      <c r="V211" s="178">
        <v>0</v>
      </c>
      <c r="W211" s="178">
        <v>0</v>
      </c>
      <c r="X211" s="178">
        <v>0</v>
      </c>
      <c r="Y211" s="178">
        <v>0</v>
      </c>
      <c r="Z211" s="178">
        <v>0</v>
      </c>
      <c r="AA211" s="178">
        <v>0</v>
      </c>
      <c r="AB211" s="178">
        <v>0</v>
      </c>
      <c r="AC211" s="178">
        <v>0</v>
      </c>
      <c r="AD211" s="178">
        <v>0</v>
      </c>
      <c r="AE211" s="178">
        <v>0</v>
      </c>
      <c r="AF211" s="178">
        <v>0</v>
      </c>
      <c r="AG211" s="178">
        <v>0</v>
      </c>
      <c r="AH211" s="178">
        <v>0</v>
      </c>
      <c r="AI211" s="178">
        <v>0</v>
      </c>
      <c r="AJ211" s="178">
        <v>0</v>
      </c>
      <c r="AK211" s="178">
        <v>0</v>
      </c>
      <c r="AL211" s="178">
        <v>0</v>
      </c>
      <c r="AM211" s="178">
        <v>0</v>
      </c>
      <c r="AN211" s="7"/>
    </row>
    <row r="212" spans="1:42">
      <c r="D212" s="70" t="s">
        <v>219</v>
      </c>
      <c r="I212" s="79"/>
      <c r="J212" s="79"/>
      <c r="K212" s="79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>
        <v>0</v>
      </c>
      <c r="V212" s="178">
        <v>0</v>
      </c>
      <c r="W212" s="178">
        <v>0</v>
      </c>
      <c r="X212" s="178">
        <v>0</v>
      </c>
      <c r="Y212" s="178">
        <v>0</v>
      </c>
      <c r="Z212" s="178">
        <v>0</v>
      </c>
      <c r="AA212" s="178">
        <v>0</v>
      </c>
      <c r="AB212" s="178">
        <v>0</v>
      </c>
      <c r="AC212" s="178">
        <v>0</v>
      </c>
      <c r="AD212" s="178">
        <v>0</v>
      </c>
      <c r="AE212" s="178">
        <v>0</v>
      </c>
      <c r="AF212" s="178">
        <v>0</v>
      </c>
      <c r="AG212" s="178">
        <v>0</v>
      </c>
      <c r="AH212" s="178">
        <v>0</v>
      </c>
      <c r="AI212" s="178">
        <v>0</v>
      </c>
      <c r="AJ212" s="178">
        <v>0</v>
      </c>
      <c r="AK212" s="178">
        <v>0</v>
      </c>
      <c r="AL212" s="178">
        <v>0</v>
      </c>
      <c r="AM212" s="178">
        <v>0</v>
      </c>
      <c r="AN212" s="7"/>
    </row>
    <row r="213" spans="1:42">
      <c r="D213" s="70" t="s">
        <v>108</v>
      </c>
      <c r="I213" s="79"/>
      <c r="J213" s="79"/>
      <c r="K213" s="79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>
        <v>0</v>
      </c>
      <c r="V213" s="178">
        <v>0</v>
      </c>
      <c r="W213" s="178">
        <v>0</v>
      </c>
      <c r="X213" s="178">
        <v>0</v>
      </c>
      <c r="Y213" s="178">
        <v>0</v>
      </c>
      <c r="Z213" s="178">
        <v>0</v>
      </c>
      <c r="AA213" s="178">
        <v>0</v>
      </c>
      <c r="AB213" s="178">
        <v>0</v>
      </c>
      <c r="AC213" s="178">
        <v>0</v>
      </c>
      <c r="AD213" s="178">
        <v>0</v>
      </c>
      <c r="AE213" s="178">
        <v>0</v>
      </c>
      <c r="AF213" s="178">
        <v>0</v>
      </c>
      <c r="AG213" s="178">
        <v>0</v>
      </c>
      <c r="AH213" s="178">
        <v>0</v>
      </c>
      <c r="AI213" s="178">
        <v>0</v>
      </c>
      <c r="AJ213" s="178">
        <v>0</v>
      </c>
      <c r="AK213" s="178">
        <v>0</v>
      </c>
      <c r="AL213" s="178">
        <v>0</v>
      </c>
      <c r="AM213" s="178">
        <v>0</v>
      </c>
      <c r="AN213" s="7"/>
    </row>
    <row r="214" spans="1:42">
      <c r="D214" s="70" t="s">
        <v>128</v>
      </c>
      <c r="I214" s="79"/>
      <c r="J214" s="79"/>
      <c r="K214" s="79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>
        <v>0</v>
      </c>
      <c r="V214" s="178">
        <v>0</v>
      </c>
      <c r="W214" s="178">
        <v>0</v>
      </c>
      <c r="X214" s="178">
        <v>0</v>
      </c>
      <c r="Y214" s="178">
        <v>0</v>
      </c>
      <c r="Z214" s="178">
        <v>0</v>
      </c>
      <c r="AA214" s="178">
        <v>0</v>
      </c>
      <c r="AB214" s="178">
        <v>0</v>
      </c>
      <c r="AC214" s="178">
        <v>0</v>
      </c>
      <c r="AD214" s="178">
        <v>0</v>
      </c>
      <c r="AE214" s="178">
        <v>0</v>
      </c>
      <c r="AF214" s="178">
        <v>0</v>
      </c>
      <c r="AG214" s="178">
        <v>0</v>
      </c>
      <c r="AH214" s="178">
        <v>0</v>
      </c>
      <c r="AI214" s="178">
        <v>0</v>
      </c>
      <c r="AJ214" s="178">
        <v>0</v>
      </c>
      <c r="AK214" s="178">
        <v>0</v>
      </c>
      <c r="AL214" s="178">
        <v>0</v>
      </c>
      <c r="AM214" s="178">
        <v>0</v>
      </c>
      <c r="AN214" s="7"/>
    </row>
    <row r="215" spans="1:42" s="3" customFormat="1">
      <c r="A215" s="117" t="s">
        <v>4</v>
      </c>
      <c r="B215" s="155"/>
      <c r="D215" s="2" t="s">
        <v>4</v>
      </c>
      <c r="E215" s="2"/>
      <c r="F215" s="2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>
        <f t="shared" ref="U215" si="318">SUM(U209:U214)</f>
        <v>-15.129999999999999</v>
      </c>
      <c r="V215" s="8">
        <f t="shared" ref="V215" si="319">SUM(V209:V214)</f>
        <v>-35.367999999999995</v>
      </c>
      <c r="W215" s="8">
        <f t="shared" ref="W215" si="320">SUM(W209:W214)</f>
        <v>-89.524999999999991</v>
      </c>
      <c r="X215" s="8">
        <f t="shared" ref="X215" si="321">SUM(X209:X214)</f>
        <v>-156.65700000000004</v>
      </c>
      <c r="Y215" s="8">
        <f t="shared" ref="Y215:Z215" si="322">SUM(Y209:Y214)</f>
        <v>-229.72699999999998</v>
      </c>
      <c r="Z215" s="8">
        <f t="shared" si="322"/>
        <v>-284.03300000000013</v>
      </c>
      <c r="AA215" s="8">
        <f>SUM(AA209:AA214)</f>
        <v>-330.94899999999978</v>
      </c>
      <c r="AB215" s="8">
        <f t="shared" ref="AB215:AM215" si="323">SUM(AB209:AB214)</f>
        <v>-343.36100530987557</v>
      </c>
      <c r="AC215" s="8">
        <f t="shared" ca="1" si="323"/>
        <v>-197.11207430740325</v>
      </c>
      <c r="AD215" s="8">
        <f t="shared" ca="1" si="323"/>
        <v>-26.605921829661611</v>
      </c>
      <c r="AE215" s="8">
        <f t="shared" ca="1" si="323"/>
        <v>234.25288433592459</v>
      </c>
      <c r="AF215" s="8">
        <f t="shared" ca="1" si="323"/>
        <v>571.30059745698929</v>
      </c>
      <c r="AG215" s="8">
        <f t="shared" ca="1" si="323"/>
        <v>1000.487249054733</v>
      </c>
      <c r="AH215" s="8">
        <f t="shared" ca="1" si="323"/>
        <v>1536.6487566090527</v>
      </c>
      <c r="AI215" s="8">
        <f t="shared" ca="1" si="323"/>
        <v>2138.5376667922292</v>
      </c>
      <c r="AJ215" s="8">
        <f t="shared" ca="1" si="323"/>
        <v>2834.862270792466</v>
      </c>
      <c r="AK215" s="8">
        <f t="shared" ca="1" si="323"/>
        <v>3647.6954092466221</v>
      </c>
      <c r="AL215" s="8">
        <f t="shared" ca="1" si="323"/>
        <v>3963.2923621349964</v>
      </c>
      <c r="AM215" s="8">
        <f t="shared" ca="1" si="323"/>
        <v>4304.687818122793</v>
      </c>
      <c r="AN215" s="64"/>
      <c r="AO215" s="76"/>
      <c r="AP215" s="76"/>
    </row>
    <row r="216" spans="1:42">
      <c r="D216" s="70" t="s">
        <v>109</v>
      </c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178">
        <v>0</v>
      </c>
      <c r="V216" s="178">
        <v>0</v>
      </c>
      <c r="W216" s="178">
        <v>0</v>
      </c>
      <c r="X216" s="178">
        <v>0</v>
      </c>
      <c r="Y216" s="178">
        <v>0</v>
      </c>
      <c r="Z216" s="178">
        <v>0</v>
      </c>
      <c r="AA216" s="178">
        <v>0</v>
      </c>
      <c r="AB216" s="178">
        <v>0</v>
      </c>
      <c r="AC216" s="178">
        <v>0</v>
      </c>
      <c r="AD216" s="178">
        <v>0</v>
      </c>
      <c r="AE216" s="178">
        <v>0</v>
      </c>
      <c r="AF216" s="178">
        <v>0</v>
      </c>
      <c r="AG216" s="178">
        <v>0</v>
      </c>
      <c r="AH216" s="178">
        <v>0</v>
      </c>
      <c r="AI216" s="178">
        <v>0</v>
      </c>
      <c r="AJ216" s="178">
        <v>0</v>
      </c>
      <c r="AK216" s="178">
        <v>0</v>
      </c>
      <c r="AL216" s="178">
        <v>0</v>
      </c>
      <c r="AM216" s="178">
        <v>0</v>
      </c>
      <c r="AN216" s="7"/>
    </row>
    <row r="217" spans="1:42">
      <c r="D217" s="70" t="s">
        <v>110</v>
      </c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>
        <f t="shared" ref="U217:AM217" si="324">+U15</f>
        <v>-0.108</v>
      </c>
      <c r="V217" s="79">
        <f t="shared" si="324"/>
        <v>-1.4119999999999999</v>
      </c>
      <c r="W217" s="79">
        <f t="shared" si="324"/>
        <v>-3.5870000000000002</v>
      </c>
      <c r="X217" s="79">
        <f t="shared" si="324"/>
        <v>-7.6589999999999998</v>
      </c>
      <c r="Y217" s="79">
        <f t="shared" si="324"/>
        <v>-25.018000000000001</v>
      </c>
      <c r="Z217" s="79">
        <f t="shared" si="324"/>
        <v>-80.605999999999995</v>
      </c>
      <c r="AA217" s="79">
        <f t="shared" si="324"/>
        <v>-131.52799999999999</v>
      </c>
      <c r="AB217" s="79">
        <f t="shared" ca="1" si="324"/>
        <v>-113.09029598131836</v>
      </c>
      <c r="AC217" s="79">
        <f t="shared" ca="1" si="324"/>
        <v>-152.14536646685977</v>
      </c>
      <c r="AD217" s="79">
        <f t="shared" ca="1" si="324"/>
        <v>-179.54240173371471</v>
      </c>
      <c r="AE217" s="79">
        <f t="shared" ca="1" si="324"/>
        <v>-204.13489665900153</v>
      </c>
      <c r="AF217" s="79">
        <f t="shared" ca="1" si="324"/>
        <v>-232.15385876675828</v>
      </c>
      <c r="AG217" s="79">
        <f t="shared" ca="1" si="324"/>
        <v>-257.64746630086864</v>
      </c>
      <c r="AH217" s="79">
        <f t="shared" ca="1" si="324"/>
        <v>-298.66247230708757</v>
      </c>
      <c r="AI217" s="79">
        <f t="shared" ca="1" si="324"/>
        <v>-352.99084105044983</v>
      </c>
      <c r="AJ217" s="79">
        <f t="shared" ca="1" si="324"/>
        <v>-398.19435720549023</v>
      </c>
      <c r="AK217" s="79">
        <f t="shared" ca="1" si="324"/>
        <v>-453.13575841190533</v>
      </c>
      <c r="AL217" s="79">
        <f t="shared" ca="1" si="324"/>
        <v>-506.24768593436914</v>
      </c>
      <c r="AM217" s="79">
        <f t="shared" ca="1" si="324"/>
        <v>-544.67254387987703</v>
      </c>
      <c r="AN217" s="7"/>
    </row>
    <row r="218" spans="1:42" s="3" customFormat="1">
      <c r="A218" s="117" t="s">
        <v>111</v>
      </c>
      <c r="B218" s="155"/>
      <c r="D218" s="2" t="s">
        <v>111</v>
      </c>
      <c r="E218" s="2"/>
      <c r="F218" s="2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>
        <f t="shared" ref="U218" si="325">SUM(U215:U217)</f>
        <v>-15.238</v>
      </c>
      <c r="V218" s="8">
        <f t="shared" ref="V218" si="326">SUM(V215:V217)</f>
        <v>-36.779999999999994</v>
      </c>
      <c r="W218" s="8">
        <f t="shared" ref="W218" si="327">SUM(W215:W217)</f>
        <v>-93.111999999999995</v>
      </c>
      <c r="X218" s="8">
        <f t="shared" ref="X218" si="328">SUM(X215:X217)</f>
        <v>-164.31600000000003</v>
      </c>
      <c r="Y218" s="8">
        <f t="shared" ref="Y218:Z218" si="329">SUM(Y215:Y217)</f>
        <v>-254.74499999999998</v>
      </c>
      <c r="Z218" s="8">
        <f t="shared" si="329"/>
        <v>-364.63900000000012</v>
      </c>
      <c r="AA218" s="8">
        <f>SUM(AA215:AA217)</f>
        <v>-462.47699999999975</v>
      </c>
      <c r="AB218" s="8">
        <f t="shared" ref="AB218:AK218" ca="1" si="330">SUM(AB215:AB217)</f>
        <v>-456.45130129119394</v>
      </c>
      <c r="AC218" s="8">
        <f t="shared" ca="1" si="330"/>
        <v>-349.25744077426305</v>
      </c>
      <c r="AD218" s="8">
        <f t="shared" ca="1" si="330"/>
        <v>-206.14832356337632</v>
      </c>
      <c r="AE218" s="8">
        <f t="shared" ca="1" si="330"/>
        <v>30.117987676923065</v>
      </c>
      <c r="AF218" s="8">
        <f t="shared" ca="1" si="330"/>
        <v>339.14673869023102</v>
      </c>
      <c r="AG218" s="8">
        <f t="shared" ca="1" si="330"/>
        <v>742.83978275386426</v>
      </c>
      <c r="AH218" s="8">
        <f t="shared" ca="1" si="330"/>
        <v>1237.986284301965</v>
      </c>
      <c r="AI218" s="8">
        <f t="shared" ca="1" si="330"/>
        <v>1785.5468257417792</v>
      </c>
      <c r="AJ218" s="8">
        <f t="shared" ca="1" si="330"/>
        <v>2436.6679135869758</v>
      </c>
      <c r="AK218" s="8">
        <f t="shared" ca="1" si="330"/>
        <v>3194.5596508347166</v>
      </c>
      <c r="AL218" s="8">
        <f t="shared" ref="AL218:AM218" ca="1" si="331">SUM(AL215:AL217)</f>
        <v>3457.0446762006272</v>
      </c>
      <c r="AM218" s="8">
        <f t="shared" ca="1" si="331"/>
        <v>3760.0152742429159</v>
      </c>
      <c r="AN218" s="64"/>
      <c r="AO218" s="76"/>
      <c r="AP218" s="76"/>
    </row>
    <row r="219" spans="1:42">
      <c r="D219" s="70" t="s">
        <v>112</v>
      </c>
      <c r="G219" s="80"/>
      <c r="H219" s="80"/>
      <c r="I219" s="75"/>
      <c r="J219" s="75"/>
      <c r="K219" s="75"/>
      <c r="L219" s="80"/>
      <c r="M219" s="80"/>
      <c r="N219" s="80"/>
      <c r="O219" s="80"/>
      <c r="P219" s="80"/>
      <c r="Q219" s="80"/>
      <c r="R219" s="80"/>
      <c r="S219" s="80"/>
      <c r="T219" s="80"/>
      <c r="U219" s="80">
        <v>0</v>
      </c>
      <c r="V219" s="80">
        <v>0</v>
      </c>
      <c r="W219" s="80">
        <v>0</v>
      </c>
      <c r="X219" s="80">
        <v>0</v>
      </c>
      <c r="Y219" s="80">
        <v>0</v>
      </c>
      <c r="Z219" s="80">
        <v>0</v>
      </c>
      <c r="AA219" s="80">
        <f>-0.119-0.023</f>
        <v>-0.14199999999999999</v>
      </c>
      <c r="AB219" s="69">
        <f ca="1">+AB218*AB220</f>
        <v>0</v>
      </c>
      <c r="AC219" s="69">
        <f t="shared" ref="AC219:AK219" ca="1" si="332">+AC218*AC220</f>
        <v>0</v>
      </c>
      <c r="AD219" s="69">
        <f t="shared" ca="1" si="332"/>
        <v>0</v>
      </c>
      <c r="AE219" s="69">
        <f t="shared" ca="1" si="332"/>
        <v>-6.9271371656923053</v>
      </c>
      <c r="AF219" s="69">
        <f t="shared" ca="1" si="332"/>
        <v>-78.003749898753142</v>
      </c>
      <c r="AG219" s="69">
        <f t="shared" ca="1" si="332"/>
        <v>-170.8531500333888</v>
      </c>
      <c r="AH219" s="69">
        <f t="shared" ca="1" si="332"/>
        <v>-284.73684538945196</v>
      </c>
      <c r="AI219" s="69">
        <f t="shared" ca="1" si="332"/>
        <v>-410.67576992060924</v>
      </c>
      <c r="AJ219" s="69">
        <f t="shared" ca="1" si="332"/>
        <v>-560.4336201250045</v>
      </c>
      <c r="AK219" s="69">
        <f t="shared" ca="1" si="332"/>
        <v>-734.74871969198489</v>
      </c>
      <c r="AL219" s="69">
        <f t="shared" ref="AL219:AM219" ca="1" si="333">+AL218*AL220</f>
        <v>-795.12027552614427</v>
      </c>
      <c r="AM219" s="69">
        <f t="shared" ca="1" si="333"/>
        <v>-864.80351307587068</v>
      </c>
      <c r="AN219" s="7"/>
    </row>
    <row r="220" spans="1:42">
      <c r="A220" s="117" t="s">
        <v>113</v>
      </c>
      <c r="D220" s="81" t="s">
        <v>113</v>
      </c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>
        <f t="shared" ref="U220:W220" si="334">+U219/U$218</f>
        <v>0</v>
      </c>
      <c r="V220" s="82">
        <f t="shared" si="334"/>
        <v>0</v>
      </c>
      <c r="W220" s="82">
        <f t="shared" si="334"/>
        <v>0</v>
      </c>
      <c r="X220" s="82">
        <f t="shared" ref="X220" si="335">+X219/X$218</f>
        <v>0</v>
      </c>
      <c r="Y220" s="82">
        <f>+Y219/Y$218</f>
        <v>0</v>
      </c>
      <c r="Z220" s="82">
        <f>+Z219/Z$218</f>
        <v>0</v>
      </c>
      <c r="AA220" s="82">
        <f>+AA219/AA$218</f>
        <v>3.0704229615743066E-4</v>
      </c>
      <c r="AB220" s="83">
        <v>0</v>
      </c>
      <c r="AC220" s="83">
        <v>0</v>
      </c>
      <c r="AD220" s="83">
        <v>0</v>
      </c>
      <c r="AE220" s="83">
        <f>-DCF!$C$31</f>
        <v>-0.23</v>
      </c>
      <c r="AF220" s="83">
        <f>-DCF!$C$31</f>
        <v>-0.23</v>
      </c>
      <c r="AG220" s="83">
        <f>-DCF!$C$31</f>
        <v>-0.23</v>
      </c>
      <c r="AH220" s="83">
        <f>-DCF!$C$31</f>
        <v>-0.23</v>
      </c>
      <c r="AI220" s="83">
        <f>-DCF!$C$31</f>
        <v>-0.23</v>
      </c>
      <c r="AJ220" s="83">
        <f>-DCF!$C$31</f>
        <v>-0.23</v>
      </c>
      <c r="AK220" s="83">
        <f>-DCF!$C$31</f>
        <v>-0.23</v>
      </c>
      <c r="AL220" s="83">
        <f>-DCF!$C$31</f>
        <v>-0.23</v>
      </c>
      <c r="AM220" s="83">
        <f>-DCF!$C$31</f>
        <v>-0.23</v>
      </c>
      <c r="AN220" s="7"/>
    </row>
    <row r="221" spans="1:42" s="70" customFormat="1">
      <c r="A221" s="118"/>
      <c r="B221" s="156"/>
      <c r="D221" s="70" t="s">
        <v>114</v>
      </c>
      <c r="G221" s="80"/>
      <c r="H221" s="80"/>
      <c r="I221" s="75"/>
      <c r="J221" s="75"/>
      <c r="K221" s="75"/>
      <c r="L221" s="80"/>
      <c r="M221" s="80"/>
      <c r="N221" s="80"/>
      <c r="O221" s="80"/>
      <c r="P221" s="80"/>
      <c r="Q221" s="80"/>
      <c r="R221" s="80"/>
      <c r="S221" s="80"/>
      <c r="T221" s="80"/>
      <c r="U221" s="80">
        <v>0</v>
      </c>
      <c r="V221" s="80">
        <v>0</v>
      </c>
      <c r="W221" s="80">
        <v>0</v>
      </c>
      <c r="X221" s="80">
        <v>0</v>
      </c>
      <c r="Y221" s="80">
        <v>0</v>
      </c>
      <c r="Z221" s="80">
        <v>0</v>
      </c>
      <c r="AA221" s="80">
        <f>0.333+0.064</f>
        <v>0.39700000000000002</v>
      </c>
      <c r="AB221" s="69">
        <f ca="1">+AB218*AB222</f>
        <v>0</v>
      </c>
      <c r="AC221" s="69">
        <f t="shared" ref="AC221:AM221" ca="1" si="336">+AC218*AC222</f>
        <v>0</v>
      </c>
      <c r="AD221" s="69">
        <f t="shared" ca="1" si="336"/>
        <v>0</v>
      </c>
      <c r="AE221" s="69">
        <f t="shared" ca="1" si="336"/>
        <v>0</v>
      </c>
      <c r="AF221" s="69">
        <f t="shared" ca="1" si="336"/>
        <v>0</v>
      </c>
      <c r="AG221" s="69">
        <f t="shared" ca="1" si="336"/>
        <v>0</v>
      </c>
      <c r="AH221" s="69">
        <f t="shared" ca="1" si="336"/>
        <v>0</v>
      </c>
      <c r="AI221" s="69">
        <f t="shared" ca="1" si="336"/>
        <v>0</v>
      </c>
      <c r="AJ221" s="69">
        <f t="shared" ca="1" si="336"/>
        <v>0</v>
      </c>
      <c r="AK221" s="69">
        <f t="shared" ca="1" si="336"/>
        <v>0</v>
      </c>
      <c r="AL221" s="69">
        <f t="shared" ca="1" si="336"/>
        <v>0</v>
      </c>
      <c r="AM221" s="69">
        <f t="shared" ca="1" si="336"/>
        <v>0</v>
      </c>
      <c r="AN221" s="84"/>
    </row>
    <row r="222" spans="1:42" s="70" customFormat="1">
      <c r="A222" s="117" t="s">
        <v>115</v>
      </c>
      <c r="B222" s="156"/>
      <c r="D222" s="81" t="s">
        <v>115</v>
      </c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>
        <f t="shared" ref="U222:W222" si="337">+U221/U$218</f>
        <v>0</v>
      </c>
      <c r="V222" s="82">
        <f t="shared" si="337"/>
        <v>0</v>
      </c>
      <c r="W222" s="82">
        <f t="shared" si="337"/>
        <v>0</v>
      </c>
      <c r="X222" s="82">
        <f t="shared" ref="X222" si="338">+X221/X$218</f>
        <v>0</v>
      </c>
      <c r="Y222" s="82">
        <f>+Y221/Y$218</f>
        <v>0</v>
      </c>
      <c r="Z222" s="82">
        <f>+Z221/Z$218</f>
        <v>0</v>
      </c>
      <c r="AA222" s="82">
        <f>+AA221/AA$218</f>
        <v>-8.5842106742605633E-4</v>
      </c>
      <c r="AB222" s="83">
        <v>0</v>
      </c>
      <c r="AC222" s="83">
        <v>0</v>
      </c>
      <c r="AD222" s="83">
        <v>0</v>
      </c>
      <c r="AE222" s="83">
        <v>0</v>
      </c>
      <c r="AF222" s="83">
        <v>0</v>
      </c>
      <c r="AG222" s="83">
        <v>0</v>
      </c>
      <c r="AH222" s="83">
        <v>0</v>
      </c>
      <c r="AI222" s="83">
        <v>0</v>
      </c>
      <c r="AJ222" s="83">
        <v>0</v>
      </c>
      <c r="AK222" s="83">
        <v>0</v>
      </c>
      <c r="AL222" s="83">
        <v>0</v>
      </c>
      <c r="AM222" s="83">
        <v>0</v>
      </c>
      <c r="AN222" s="84"/>
    </row>
    <row r="223" spans="1:42" s="3" customFormat="1">
      <c r="A223" s="117" t="s">
        <v>116</v>
      </c>
      <c r="B223" s="155"/>
      <c r="D223" s="2" t="s">
        <v>116</v>
      </c>
      <c r="E223" s="2"/>
      <c r="F223" s="2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>
        <f t="shared" ref="U223:Z223" si="339">+U218+U219+U221</f>
        <v>-15.238</v>
      </c>
      <c r="V223" s="8">
        <f t="shared" si="339"/>
        <v>-36.779999999999994</v>
      </c>
      <c r="W223" s="8">
        <f t="shared" si="339"/>
        <v>-93.111999999999995</v>
      </c>
      <c r="X223" s="8">
        <f t="shared" ref="X223" si="340">+X218+X219+X221</f>
        <v>-164.31600000000003</v>
      </c>
      <c r="Y223" s="8">
        <f t="shared" si="339"/>
        <v>-254.74499999999998</v>
      </c>
      <c r="Z223" s="8">
        <f t="shared" si="339"/>
        <v>-364.63900000000012</v>
      </c>
      <c r="AA223" s="8">
        <f>+AA218+AA219+AA221</f>
        <v>-462.22199999999975</v>
      </c>
      <c r="AB223" s="8">
        <f t="shared" ref="AB223:AK223" ca="1" si="341">+AB218+AB219+AB221</f>
        <v>-456.45130129119394</v>
      </c>
      <c r="AC223" s="8">
        <f t="shared" ca="1" si="341"/>
        <v>-349.25744077426305</v>
      </c>
      <c r="AD223" s="8">
        <f t="shared" ca="1" si="341"/>
        <v>-206.14832356337632</v>
      </c>
      <c r="AE223" s="8">
        <f t="shared" ca="1" si="341"/>
        <v>23.19085051123076</v>
      </c>
      <c r="AF223" s="8">
        <f t="shared" ca="1" si="341"/>
        <v>261.14298879147788</v>
      </c>
      <c r="AG223" s="8">
        <f t="shared" ca="1" si="341"/>
        <v>571.98663272047543</v>
      </c>
      <c r="AH223" s="8">
        <f t="shared" ca="1" si="341"/>
        <v>953.24943891251314</v>
      </c>
      <c r="AI223" s="8">
        <f t="shared" ca="1" si="341"/>
        <v>1374.8710558211701</v>
      </c>
      <c r="AJ223" s="8">
        <f t="shared" ca="1" si="341"/>
        <v>1876.2342934619714</v>
      </c>
      <c r="AK223" s="8">
        <f t="shared" ca="1" si="341"/>
        <v>2459.8109311427315</v>
      </c>
      <c r="AL223" s="8">
        <f t="shared" ref="AL223:AM223" ca="1" si="342">+AL218+AL219+AL221</f>
        <v>2661.924400674483</v>
      </c>
      <c r="AM223" s="8">
        <f t="shared" ca="1" si="342"/>
        <v>2895.2117611670451</v>
      </c>
      <c r="AN223" s="64"/>
      <c r="AO223" s="76"/>
      <c r="AP223" s="76"/>
    </row>
    <row r="224" spans="1:42">
      <c r="D224" s="70" t="s">
        <v>117</v>
      </c>
      <c r="G224" s="7"/>
      <c r="H224" s="7"/>
      <c r="I224" s="75"/>
      <c r="J224" s="75"/>
      <c r="K224" s="75"/>
      <c r="L224" s="80"/>
      <c r="M224" s="80"/>
      <c r="N224" s="80"/>
      <c r="O224" s="80"/>
      <c r="P224" s="80"/>
      <c r="Q224" s="80"/>
      <c r="R224" s="80"/>
      <c r="S224" s="80"/>
      <c r="T224" s="80"/>
      <c r="U224" s="80">
        <v>0</v>
      </c>
      <c r="V224" s="80">
        <v>0</v>
      </c>
      <c r="W224" s="80">
        <v>0</v>
      </c>
      <c r="X224" s="80">
        <v>0</v>
      </c>
      <c r="Y224" s="80">
        <v>0</v>
      </c>
      <c r="Z224" s="80">
        <v>0</v>
      </c>
      <c r="AA224" s="80">
        <v>0</v>
      </c>
      <c r="AB224" s="80">
        <v>0</v>
      </c>
      <c r="AC224" s="80">
        <v>0</v>
      </c>
      <c r="AD224" s="80">
        <v>0</v>
      </c>
      <c r="AE224" s="80">
        <v>0</v>
      </c>
      <c r="AF224" s="80">
        <v>0</v>
      </c>
      <c r="AG224" s="80">
        <v>0</v>
      </c>
      <c r="AH224" s="80">
        <v>0</v>
      </c>
      <c r="AI224" s="80">
        <v>0</v>
      </c>
      <c r="AJ224" s="80">
        <v>0</v>
      </c>
      <c r="AK224" s="80">
        <v>0</v>
      </c>
      <c r="AL224" s="80">
        <v>0</v>
      </c>
      <c r="AM224" s="80">
        <v>0</v>
      </c>
      <c r="AN224" s="7"/>
    </row>
    <row r="225" spans="1:42">
      <c r="D225" s="70" t="s">
        <v>118</v>
      </c>
      <c r="G225" s="7"/>
      <c r="H225" s="7"/>
      <c r="I225" s="75"/>
      <c r="J225" s="75"/>
      <c r="K225" s="75"/>
      <c r="L225" s="80"/>
      <c r="M225" s="80"/>
      <c r="N225" s="80"/>
      <c r="O225" s="80"/>
      <c r="P225" s="80"/>
      <c r="Q225" s="80"/>
      <c r="R225" s="80"/>
      <c r="T225" s="80"/>
      <c r="U225" s="80">
        <v>0</v>
      </c>
      <c r="V225" s="80">
        <v>0</v>
      </c>
      <c r="W225" s="80">
        <v>0</v>
      </c>
      <c r="X225" s="80">
        <v>101.47499999999999</v>
      </c>
      <c r="Y225" s="80">
        <v>199.26900000000001</v>
      </c>
      <c r="Z225" s="80">
        <v>249.98</v>
      </c>
      <c r="AA225" s="80">
        <v>291.08199999999999</v>
      </c>
      <c r="AB225" s="75">
        <f t="shared" ref="AB225:AM225" ca="1" si="343">-AB335*AB223</f>
        <v>233.20008050452569</v>
      </c>
      <c r="AC225" s="75">
        <f t="shared" ca="1" si="343"/>
        <v>161.61851664361811</v>
      </c>
      <c r="AD225" s="75">
        <f t="shared" ca="1" si="343"/>
        <v>86.721968107167825</v>
      </c>
      <c r="AE225" s="75">
        <f t="shared" ca="1" si="343"/>
        <v>-8.8964247492593049</v>
      </c>
      <c r="AF225" s="75">
        <f t="shared" ca="1" si="343"/>
        <v>-92.164788557831258</v>
      </c>
      <c r="AG225" s="75">
        <f t="shared" ca="1" si="343"/>
        <v>-185.72072391705012</v>
      </c>
      <c r="AH225" s="75">
        <f t="shared" ca="1" si="343"/>
        <v>-284.7533710948718</v>
      </c>
      <c r="AI225" s="75">
        <f t="shared" ca="1" si="343"/>
        <v>-377.84363674218764</v>
      </c>
      <c r="AJ225" s="75">
        <f t="shared" ca="1" si="343"/>
        <v>-474.37854719611749</v>
      </c>
      <c r="AK225" s="75">
        <f t="shared" ca="1" si="343"/>
        <v>-572.17321804282301</v>
      </c>
      <c r="AL225" s="75">
        <f t="shared" ca="1" si="343"/>
        <v>-569.65162859450277</v>
      </c>
      <c r="AM225" s="75">
        <f t="shared" ca="1" si="343"/>
        <v>-570.00909838313294</v>
      </c>
      <c r="AN225" s="7"/>
    </row>
    <row r="226" spans="1:42">
      <c r="D226" s="70" t="s">
        <v>119</v>
      </c>
      <c r="G226" s="7"/>
      <c r="H226" s="7"/>
      <c r="I226" s="75"/>
      <c r="J226" s="75"/>
      <c r="K226" s="75"/>
      <c r="L226" s="80"/>
      <c r="M226" s="80"/>
      <c r="N226" s="80"/>
      <c r="O226" s="80"/>
      <c r="P226" s="80"/>
      <c r="Q226" s="80"/>
      <c r="R226" s="80"/>
      <c r="S226" s="80"/>
      <c r="T226" s="80"/>
      <c r="U226" s="80">
        <v>0</v>
      </c>
      <c r="V226" s="80">
        <v>0</v>
      </c>
      <c r="W226" s="80">
        <v>0</v>
      </c>
      <c r="X226" s="80">
        <f>-0.413-1.237</f>
        <v>-1.6500000000000001</v>
      </c>
      <c r="Y226" s="80">
        <f>-4.206-1.38</f>
        <v>-5.5860000000000003</v>
      </c>
      <c r="Z226" s="80">
        <v>0</v>
      </c>
      <c r="AA226" s="80">
        <v>0</v>
      </c>
      <c r="AB226" s="80">
        <v>0</v>
      </c>
      <c r="AC226" s="80">
        <v>0</v>
      </c>
      <c r="AD226" s="80">
        <v>0</v>
      </c>
      <c r="AE226" s="80">
        <v>0</v>
      </c>
      <c r="AF226" s="80">
        <v>0</v>
      </c>
      <c r="AG226" s="80">
        <v>0</v>
      </c>
      <c r="AH226" s="80">
        <v>0</v>
      </c>
      <c r="AI226" s="80">
        <v>0</v>
      </c>
      <c r="AJ226" s="80">
        <v>0</v>
      </c>
      <c r="AK226" s="80">
        <v>0</v>
      </c>
      <c r="AL226" s="80">
        <v>0</v>
      </c>
      <c r="AM226" s="80">
        <v>0</v>
      </c>
      <c r="AN226" s="7"/>
    </row>
    <row r="227" spans="1:42" s="3" customFormat="1">
      <c r="A227" s="117" t="s">
        <v>120</v>
      </c>
      <c r="B227" s="155"/>
      <c r="D227" s="2" t="s">
        <v>120</v>
      </c>
      <c r="E227" s="2"/>
      <c r="F227" s="2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>
        <f t="shared" ref="U227:Z227" si="344">SUM(U223:U226)</f>
        <v>-15.238</v>
      </c>
      <c r="V227" s="8">
        <f t="shared" ref="V227" si="345">SUM(V223:V226)</f>
        <v>-36.779999999999994</v>
      </c>
      <c r="W227" s="8">
        <f t="shared" ref="W227" si="346">SUM(W223:W226)</f>
        <v>-93.111999999999995</v>
      </c>
      <c r="X227" s="8">
        <f t="shared" ref="X227" si="347">SUM(X223:X226)</f>
        <v>-64.491000000000042</v>
      </c>
      <c r="Y227" s="8">
        <f t="shared" si="344"/>
        <v>-61.061999999999969</v>
      </c>
      <c r="Z227" s="8">
        <f t="shared" si="344"/>
        <v>-114.65900000000013</v>
      </c>
      <c r="AA227" s="8">
        <f>SUM(AA223:AA226)</f>
        <v>-171.13999999999976</v>
      </c>
      <c r="AB227" s="8">
        <f t="shared" ref="AB227:AK227" ca="1" si="348">SUM(AB223:AB226)</f>
        <v>-223.25122078666826</v>
      </c>
      <c r="AC227" s="8">
        <f t="shared" ca="1" si="348"/>
        <v>-187.63892413064494</v>
      </c>
      <c r="AD227" s="8">
        <f t="shared" ca="1" si="348"/>
        <v>-119.4263554562085</v>
      </c>
      <c r="AE227" s="8">
        <f t="shared" ca="1" si="348"/>
        <v>14.294425761971455</v>
      </c>
      <c r="AF227" s="8">
        <f t="shared" ca="1" si="348"/>
        <v>168.97820023364662</v>
      </c>
      <c r="AG227" s="8">
        <f t="shared" ca="1" si="348"/>
        <v>386.2659088034253</v>
      </c>
      <c r="AH227" s="8">
        <f t="shared" ca="1" si="348"/>
        <v>668.49606781764135</v>
      </c>
      <c r="AI227" s="8">
        <f t="shared" ca="1" si="348"/>
        <v>997.02741907898246</v>
      </c>
      <c r="AJ227" s="8">
        <f t="shared" ca="1" si="348"/>
        <v>1401.8557462658539</v>
      </c>
      <c r="AK227" s="8">
        <f t="shared" ca="1" si="348"/>
        <v>1887.6377130999085</v>
      </c>
      <c r="AL227" s="8">
        <f t="shared" ref="AL227:AM227" ca="1" si="349">SUM(AL223:AL226)</f>
        <v>2092.2727720799803</v>
      </c>
      <c r="AM227" s="8">
        <f t="shared" ca="1" si="349"/>
        <v>2325.2026627839123</v>
      </c>
      <c r="AN227" s="64"/>
      <c r="AO227" s="76"/>
      <c r="AP227" s="76"/>
    </row>
    <row r="228" spans="1:42">
      <c r="G228" s="7"/>
      <c r="H228" s="7"/>
      <c r="I228" s="7"/>
      <c r="J228" s="7"/>
      <c r="K228" s="7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7"/>
    </row>
    <row r="229" spans="1:42">
      <c r="A229" s="117" t="s">
        <v>190</v>
      </c>
      <c r="D229" t="s">
        <v>122</v>
      </c>
      <c r="G229" s="7"/>
      <c r="H229" s="7"/>
      <c r="I229" s="87"/>
      <c r="J229" s="87"/>
      <c r="K229" s="87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91">
        <f t="shared" ref="X229:Z229" si="350">+X321</f>
        <v>137.44</v>
      </c>
      <c r="Y229" s="91">
        <f t="shared" si="350"/>
        <v>143.88</v>
      </c>
      <c r="Z229" s="91">
        <f t="shared" si="350"/>
        <v>153</v>
      </c>
      <c r="AA229" s="91">
        <f>+AA321</f>
        <v>165.12</v>
      </c>
      <c r="AB229" s="91">
        <f t="shared" ref="AB229:AM229" si="351">+AB321</f>
        <v>175.56</v>
      </c>
      <c r="AC229" s="91">
        <f t="shared" ca="1" si="351"/>
        <v>177.94830266871011</v>
      </c>
      <c r="AD229" s="91">
        <f t="shared" ca="1" si="351"/>
        <v>180.4133449416417</v>
      </c>
      <c r="AE229" s="91">
        <f t="shared" ca="1" si="351"/>
        <v>182.29564738103232</v>
      </c>
      <c r="AF229" s="91">
        <f t="shared" ca="1" si="351"/>
        <v>183.10121012624336</v>
      </c>
      <c r="AG229" s="91">
        <f t="shared" ca="1" si="351"/>
        <v>183.10120993525521</v>
      </c>
      <c r="AH229" s="91">
        <f t="shared" ca="1" si="351"/>
        <v>183.10120972076032</v>
      </c>
      <c r="AI229" s="91">
        <f t="shared" ca="1" si="351"/>
        <v>183.10120947986559</v>
      </c>
      <c r="AJ229" s="91">
        <f t="shared" ca="1" si="351"/>
        <v>183.10120920932169</v>
      </c>
      <c r="AK229" s="91">
        <f t="shared" ca="1" si="351"/>
        <v>183.10120890547941</v>
      </c>
      <c r="AL229" s="91">
        <f t="shared" ca="1" si="351"/>
        <v>183.10120856424044</v>
      </c>
      <c r="AM229" s="91">
        <f t="shared" ca="1" si="351"/>
        <v>183.10120818100199</v>
      </c>
      <c r="AN229" s="7"/>
      <c r="AO229" s="76"/>
      <c r="AP229" s="189"/>
    </row>
    <row r="230" spans="1:42">
      <c r="A230" s="117" t="s">
        <v>25</v>
      </c>
      <c r="D230" s="3" t="s">
        <v>123</v>
      </c>
      <c r="G230" s="88"/>
      <c r="H230" s="88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343">
        <f t="shared" ref="X230:AA230" si="352">+X223/X229</f>
        <v>-1.1955471478463331</v>
      </c>
      <c r="Y230" s="343">
        <f t="shared" si="352"/>
        <v>-1.7705379482902417</v>
      </c>
      <c r="Z230" s="343">
        <f t="shared" si="352"/>
        <v>-2.3832614379084975</v>
      </c>
      <c r="AA230" s="343">
        <f t="shared" si="352"/>
        <v>-2.7993095930232541</v>
      </c>
      <c r="AB230" s="343">
        <f ca="1">+AB223/AB229</f>
        <v>-2.5999732358805763</v>
      </c>
      <c r="AC230" s="343">
        <f t="shared" ref="AC230:AM230" ca="1" si="353">+AC223/AC229</f>
        <v>-1.9626904867110901</v>
      </c>
      <c r="AD230" s="343">
        <f t="shared" ca="1" si="353"/>
        <v>-1.1426445401256715</v>
      </c>
      <c r="AE230" s="343">
        <f t="shared" ca="1" si="353"/>
        <v>0.12721560193237913</v>
      </c>
      <c r="AF230" s="343">
        <f t="shared" ca="1" si="353"/>
        <v>1.4262220801895673</v>
      </c>
      <c r="AG230" s="343">
        <f t="shared" ca="1" si="353"/>
        <v>3.1238823212731939</v>
      </c>
      <c r="AH230" s="343">
        <f t="shared" ca="1" si="353"/>
        <v>5.2061340302790589</v>
      </c>
      <c r="AI230" s="343">
        <f t="shared" ca="1" si="353"/>
        <v>7.5088037906836185</v>
      </c>
      <c r="AJ230" s="343">
        <f t="shared" ca="1" si="353"/>
        <v>10.246979261164007</v>
      </c>
      <c r="AK230" s="343">
        <f t="shared" ca="1" si="353"/>
        <v>13.434159970033493</v>
      </c>
      <c r="AL230" s="343">
        <f t="shared" ca="1" si="353"/>
        <v>14.537994705483092</v>
      </c>
      <c r="AM230" s="343">
        <f t="shared" ca="1" si="353"/>
        <v>15.812084420027563</v>
      </c>
      <c r="AN230" s="56"/>
      <c r="AO230" s="76"/>
      <c r="AP230" s="76"/>
    </row>
    <row r="231" spans="1:42">
      <c r="A231" s="117" t="s">
        <v>191</v>
      </c>
      <c r="D231" t="s">
        <v>124</v>
      </c>
      <c r="G231" s="88"/>
      <c r="H231" s="88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 t="str">
        <f t="shared" ref="X231:AA231" si="354">IFERROR(X230/W230-1,"na")</f>
        <v>na</v>
      </c>
      <c r="Y231" s="90">
        <f t="shared" si="354"/>
        <v>0.48094364281634649</v>
      </c>
      <c r="Z231" s="90">
        <f t="shared" si="354"/>
        <v>0.34606628466220979</v>
      </c>
      <c r="AA231" s="90">
        <f t="shared" si="354"/>
        <v>0.17457092557997833</v>
      </c>
      <c r="AB231" s="90">
        <f t="shared" ref="AB231" ca="1" si="355">IFERROR(AB230/AA230-1,"na")</f>
        <v>-7.1209114432889353E-2</v>
      </c>
      <c r="AC231" s="90">
        <f t="shared" ref="AC231" ca="1" si="356">IFERROR(AC230/AB230-1,"na")</f>
        <v>-0.24511127282956313</v>
      </c>
      <c r="AD231" s="90">
        <f t="shared" ref="AD231" ca="1" si="357">IFERROR(AD230/AC230-1,"na")</f>
        <v>-0.41781725245919032</v>
      </c>
      <c r="AE231" s="90">
        <f t="shared" ref="AE231" ca="1" si="358">IFERROR(AE230/AD230-1,"na")</f>
        <v>-1.1113343629317893</v>
      </c>
      <c r="AF231" s="90">
        <f t="shared" ref="AF231" ca="1" si="359">IFERROR(AF230/AE230-1,"na")</f>
        <v>10.211062625381981</v>
      </c>
      <c r="AG231" s="90">
        <f t="shared" ref="AG231" ca="1" si="360">IFERROR(AG230/AF230-1,"na")</f>
        <v>1.1903197017241389</v>
      </c>
      <c r="AH231" s="90">
        <f t="shared" ref="AH231" ca="1" si="361">IFERROR(AH230/AG230-1,"na")</f>
        <v>0.66655894648336367</v>
      </c>
      <c r="AI231" s="90">
        <f t="shared" ref="AI231" ca="1" si="362">IFERROR(AI230/AH230-1,"na")</f>
        <v>0.44229936206254994</v>
      </c>
      <c r="AJ231" s="90">
        <f t="shared" ref="AJ231" ca="1" si="363">IFERROR(AJ230/AI230-1,"na")</f>
        <v>0.36466200833183571</v>
      </c>
      <c r="AK231" s="90">
        <f t="shared" ref="AK231" ca="1" si="364">IFERROR(AK230/AJ230-1,"na")</f>
        <v>0.31103612368465328</v>
      </c>
      <c r="AL231" s="90">
        <f t="shared" ref="AL231" ca="1" si="365">IFERROR(AL230/AK230-1,"na")</f>
        <v>8.2166264054606586E-2</v>
      </c>
      <c r="AM231" s="90">
        <f t="shared" ref="AM231" ca="1" si="366">IFERROR(AM230/AL230-1,"na")</f>
        <v>8.763861456518085E-2</v>
      </c>
      <c r="AN231" s="56"/>
      <c r="AO231" s="57"/>
    </row>
    <row r="232" spans="1:42">
      <c r="G232" s="7"/>
      <c r="H232" s="7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7"/>
    </row>
    <row r="233" spans="1:42">
      <c r="C233" s="111"/>
      <c r="D233" s="112" t="s">
        <v>125</v>
      </c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</row>
    <row r="234" spans="1:42" ht="5.15" customHeight="1">
      <c r="B234" s="154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7"/>
      <c r="AO234" s="1"/>
    </row>
    <row r="235" spans="1:42">
      <c r="D235" t="s">
        <v>116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>
        <f t="shared" ref="U235:AM235" si="367">+U223</f>
        <v>-15.238</v>
      </c>
      <c r="V235" s="7">
        <f t="shared" si="367"/>
        <v>-36.779999999999994</v>
      </c>
      <c r="W235" s="7">
        <f t="shared" si="367"/>
        <v>-93.111999999999995</v>
      </c>
      <c r="X235" s="7">
        <f t="shared" si="367"/>
        <v>-164.31600000000003</v>
      </c>
      <c r="Y235" s="7">
        <f t="shared" si="367"/>
        <v>-254.74499999999998</v>
      </c>
      <c r="Z235" s="7">
        <f t="shared" si="367"/>
        <v>-364.63900000000012</v>
      </c>
      <c r="AA235" s="7">
        <f t="shared" si="367"/>
        <v>-462.22199999999975</v>
      </c>
      <c r="AB235" s="7">
        <f t="shared" ca="1" si="367"/>
        <v>-456.45130129119394</v>
      </c>
      <c r="AC235" s="7">
        <f t="shared" ca="1" si="367"/>
        <v>-349.25744077426305</v>
      </c>
      <c r="AD235" s="7">
        <f t="shared" ca="1" si="367"/>
        <v>-206.14832356337632</v>
      </c>
      <c r="AE235" s="7">
        <f t="shared" ca="1" si="367"/>
        <v>23.19085051123076</v>
      </c>
      <c r="AF235" s="7">
        <f t="shared" ca="1" si="367"/>
        <v>261.14298879147788</v>
      </c>
      <c r="AG235" s="7">
        <f t="shared" ca="1" si="367"/>
        <v>571.98663272047543</v>
      </c>
      <c r="AH235" s="7">
        <f t="shared" ca="1" si="367"/>
        <v>953.24943891251314</v>
      </c>
      <c r="AI235" s="7">
        <f t="shared" ca="1" si="367"/>
        <v>1374.8710558211701</v>
      </c>
      <c r="AJ235" s="7">
        <f t="shared" ca="1" si="367"/>
        <v>1876.2342934619714</v>
      </c>
      <c r="AK235" s="7">
        <f t="shared" ca="1" si="367"/>
        <v>2459.8109311427315</v>
      </c>
      <c r="AL235" s="7">
        <f t="shared" ca="1" si="367"/>
        <v>2661.924400674483</v>
      </c>
      <c r="AM235" s="7">
        <f t="shared" ca="1" si="367"/>
        <v>2895.2117611670451</v>
      </c>
      <c r="AN235" s="7"/>
    </row>
    <row r="236" spans="1:42">
      <c r="D236" s="70" t="s">
        <v>7</v>
      </c>
      <c r="G236" s="7"/>
      <c r="H236" s="7"/>
      <c r="I236" s="75"/>
      <c r="J236" s="75"/>
      <c r="K236" s="75"/>
      <c r="L236" s="7"/>
      <c r="M236" s="7"/>
      <c r="N236" s="7"/>
      <c r="O236" s="7"/>
      <c r="P236" s="7"/>
      <c r="Q236" s="7"/>
      <c r="R236" s="7"/>
      <c r="S236" s="7"/>
      <c r="T236" s="7"/>
      <c r="U236" s="7">
        <f t="shared" ref="U236:AM236" si="368">-U210</f>
        <v>1.7050000000000001</v>
      </c>
      <c r="V236" s="7">
        <f t="shared" si="368"/>
        <v>2.8</v>
      </c>
      <c r="W236" s="7">
        <f t="shared" si="368"/>
        <v>4.6580000000000004</v>
      </c>
      <c r="X236" s="7">
        <f t="shared" si="368"/>
        <v>11.568</v>
      </c>
      <c r="Y236" s="7">
        <f t="shared" si="368"/>
        <v>23.539000000000001</v>
      </c>
      <c r="Z236" s="7">
        <f t="shared" si="368"/>
        <v>41.265000000000001</v>
      </c>
      <c r="AA236" s="7">
        <f t="shared" si="368"/>
        <v>73.790999999999997</v>
      </c>
      <c r="AB236" s="7">
        <f t="shared" si="368"/>
        <v>122.82525833333335</v>
      </c>
      <c r="AC236" s="7">
        <f t="shared" si="368"/>
        <v>167.11348549505175</v>
      </c>
      <c r="AD236" s="7">
        <f t="shared" si="368"/>
        <v>219.14302041927954</v>
      </c>
      <c r="AE236" s="7">
        <f t="shared" ca="1" si="368"/>
        <v>261.75920558527469</v>
      </c>
      <c r="AF236" s="7">
        <f t="shared" ca="1" si="368"/>
        <v>306.45156028706413</v>
      </c>
      <c r="AG236" s="7">
        <f t="shared" ca="1" si="368"/>
        <v>353.98318791166622</v>
      </c>
      <c r="AH236" s="7">
        <f t="shared" ca="1" si="368"/>
        <v>408.61110425297369</v>
      </c>
      <c r="AI236" s="7">
        <f t="shared" ca="1" si="368"/>
        <v>463.70684453856592</v>
      </c>
      <c r="AJ236" s="7">
        <f t="shared" ca="1" si="368"/>
        <v>520.95636888405625</v>
      </c>
      <c r="AK236" s="7">
        <f t="shared" ca="1" si="368"/>
        <v>580.66573027528307</v>
      </c>
      <c r="AL236" s="7">
        <f t="shared" ca="1" si="368"/>
        <v>633.84409844640163</v>
      </c>
      <c r="AM236" s="7">
        <f t="shared" ca="1" si="368"/>
        <v>667.55992097875412</v>
      </c>
      <c r="AN236" s="7"/>
    </row>
    <row r="237" spans="1:42">
      <c r="D237" s="70" t="s">
        <v>233</v>
      </c>
      <c r="G237" s="7"/>
      <c r="H237" s="7"/>
      <c r="I237" s="75"/>
      <c r="J237" s="75"/>
      <c r="K237" s="75"/>
      <c r="L237" s="7"/>
      <c r="M237" s="7"/>
      <c r="N237" s="7"/>
      <c r="O237" s="7"/>
      <c r="P237" s="7"/>
      <c r="Q237" s="7"/>
      <c r="R237" s="7"/>
      <c r="S237" s="7"/>
      <c r="T237" s="7"/>
      <c r="U237" s="7">
        <f t="shared" ref="U237:AM237" si="369">-U211</f>
        <v>0</v>
      </c>
      <c r="V237" s="7">
        <f t="shared" si="369"/>
        <v>0</v>
      </c>
      <c r="W237" s="7">
        <f t="shared" si="369"/>
        <v>0</v>
      </c>
      <c r="X237" s="7">
        <f t="shared" si="369"/>
        <v>0</v>
      </c>
      <c r="Y237" s="7">
        <f t="shared" si="369"/>
        <v>0</v>
      </c>
      <c r="Z237" s="7">
        <f t="shared" si="369"/>
        <v>0</v>
      </c>
      <c r="AA237" s="7">
        <f t="shared" si="369"/>
        <v>0</v>
      </c>
      <c r="AB237" s="7">
        <f t="shared" si="369"/>
        <v>0</v>
      </c>
      <c r="AC237" s="7">
        <f t="shared" si="369"/>
        <v>0</v>
      </c>
      <c r="AD237" s="7">
        <f t="shared" si="369"/>
        <v>0</v>
      </c>
      <c r="AE237" s="7">
        <f t="shared" si="369"/>
        <v>0</v>
      </c>
      <c r="AF237" s="7">
        <f t="shared" si="369"/>
        <v>0</v>
      </c>
      <c r="AG237" s="7">
        <f t="shared" si="369"/>
        <v>0</v>
      </c>
      <c r="AH237" s="7">
        <f t="shared" si="369"/>
        <v>0</v>
      </c>
      <c r="AI237" s="7">
        <f t="shared" si="369"/>
        <v>0</v>
      </c>
      <c r="AJ237" s="7">
        <f t="shared" si="369"/>
        <v>0</v>
      </c>
      <c r="AK237" s="7">
        <f t="shared" si="369"/>
        <v>0</v>
      </c>
      <c r="AL237" s="7">
        <f t="shared" si="369"/>
        <v>0</v>
      </c>
      <c r="AM237" s="7">
        <f t="shared" si="369"/>
        <v>0</v>
      </c>
      <c r="AN237" s="7"/>
    </row>
    <row r="238" spans="1:42">
      <c r="A238" s="117" t="s">
        <v>126</v>
      </c>
      <c r="D238" s="70" t="s">
        <v>126</v>
      </c>
      <c r="G238" s="7"/>
      <c r="H238" s="7"/>
      <c r="I238" s="80"/>
      <c r="J238" s="80"/>
      <c r="K238" s="80"/>
      <c r="L238" s="75"/>
      <c r="M238" s="75"/>
      <c r="N238" s="75"/>
      <c r="O238" s="75"/>
      <c r="P238" s="75"/>
      <c r="Q238" s="75"/>
      <c r="R238" s="75"/>
      <c r="S238" s="75"/>
      <c r="T238" s="75"/>
      <c r="U238" s="7">
        <f t="shared" ref="U238:AM238" si="370">-U221</f>
        <v>0</v>
      </c>
      <c r="V238" s="7">
        <f t="shared" si="370"/>
        <v>0</v>
      </c>
      <c r="W238" s="7">
        <f t="shared" si="370"/>
        <v>0</v>
      </c>
      <c r="X238" s="7">
        <f t="shared" si="370"/>
        <v>0</v>
      </c>
      <c r="Y238" s="7">
        <f t="shared" si="370"/>
        <v>0</v>
      </c>
      <c r="Z238" s="7">
        <f t="shared" si="370"/>
        <v>0</v>
      </c>
      <c r="AA238" s="7">
        <f t="shared" si="370"/>
        <v>-0.39700000000000002</v>
      </c>
      <c r="AB238" s="7">
        <f t="shared" ca="1" si="370"/>
        <v>0</v>
      </c>
      <c r="AC238" s="7">
        <f t="shared" ca="1" si="370"/>
        <v>0</v>
      </c>
      <c r="AD238" s="7">
        <f t="shared" ca="1" si="370"/>
        <v>0</v>
      </c>
      <c r="AE238" s="7">
        <f t="shared" ca="1" si="370"/>
        <v>0</v>
      </c>
      <c r="AF238" s="7">
        <f t="shared" ca="1" si="370"/>
        <v>0</v>
      </c>
      <c r="AG238" s="7">
        <f t="shared" ca="1" si="370"/>
        <v>0</v>
      </c>
      <c r="AH238" s="7">
        <f t="shared" ca="1" si="370"/>
        <v>0</v>
      </c>
      <c r="AI238" s="7">
        <f t="shared" ca="1" si="370"/>
        <v>0</v>
      </c>
      <c r="AJ238" s="7">
        <f t="shared" ca="1" si="370"/>
        <v>0</v>
      </c>
      <c r="AK238" s="7">
        <f t="shared" ca="1" si="370"/>
        <v>0</v>
      </c>
      <c r="AL238" s="7">
        <f t="shared" ca="1" si="370"/>
        <v>0</v>
      </c>
      <c r="AM238" s="7">
        <f t="shared" ca="1" si="370"/>
        <v>0</v>
      </c>
      <c r="AN238" s="7"/>
    </row>
    <row r="239" spans="1:42">
      <c r="D239" s="70" t="s">
        <v>127</v>
      </c>
      <c r="G239" s="7"/>
      <c r="H239" s="7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>
        <v>0</v>
      </c>
      <c r="V239" s="80">
        <v>0.49</v>
      </c>
      <c r="W239" s="80">
        <v>0.55500000000000005</v>
      </c>
      <c r="X239" s="80">
        <v>5.6109999999999998</v>
      </c>
      <c r="Y239" s="80">
        <v>24.094999999999999</v>
      </c>
      <c r="Z239" s="80">
        <v>33.063000000000002</v>
      </c>
      <c r="AA239" s="80">
        <v>25.088000000000001</v>
      </c>
      <c r="AB239" s="80">
        <v>0</v>
      </c>
      <c r="AC239" s="80">
        <v>0</v>
      </c>
      <c r="AD239" s="80">
        <v>0</v>
      </c>
      <c r="AE239" s="80">
        <v>0</v>
      </c>
      <c r="AF239" s="80">
        <v>0</v>
      </c>
      <c r="AG239" s="80">
        <v>0</v>
      </c>
      <c r="AH239" s="80">
        <v>0</v>
      </c>
      <c r="AI239" s="80">
        <v>0</v>
      </c>
      <c r="AJ239" s="80">
        <v>0</v>
      </c>
      <c r="AK239" s="80">
        <v>0</v>
      </c>
      <c r="AL239" s="80">
        <v>0</v>
      </c>
      <c r="AM239" s="80">
        <v>0</v>
      </c>
      <c r="AN239" s="7"/>
    </row>
    <row r="240" spans="1:42">
      <c r="A240" s="117"/>
      <c r="B240" s="155"/>
      <c r="D240" s="70" t="s">
        <v>128</v>
      </c>
      <c r="G240" s="80"/>
      <c r="H240" s="80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>
        <f t="shared" ref="U240" si="371">+U241-SUM(U235:U239)</f>
        <v>0</v>
      </c>
      <c r="V240" s="75">
        <f t="shared" ref="V240:AA240" si="372">+V241-SUM(V235:V239)</f>
        <v>0</v>
      </c>
      <c r="W240" s="75">
        <f t="shared" si="372"/>
        <v>0</v>
      </c>
      <c r="X240" s="75">
        <f t="shared" si="372"/>
        <v>2.6040000000000703</v>
      </c>
      <c r="Y240" s="75">
        <f t="shared" si="372"/>
        <v>2.8799999999999955</v>
      </c>
      <c r="Z240" s="75">
        <f t="shared" si="372"/>
        <v>7.2550000000003365</v>
      </c>
      <c r="AA240" s="75">
        <f t="shared" si="372"/>
        <v>11.485999999999706</v>
      </c>
      <c r="AB240" s="80">
        <v>0</v>
      </c>
      <c r="AC240" s="80">
        <v>0</v>
      </c>
      <c r="AD240" s="80">
        <v>0</v>
      </c>
      <c r="AE240" s="80">
        <v>0</v>
      </c>
      <c r="AF240" s="80">
        <v>0</v>
      </c>
      <c r="AG240" s="80">
        <v>0</v>
      </c>
      <c r="AH240" s="80">
        <v>0</v>
      </c>
      <c r="AI240" s="80">
        <v>0</v>
      </c>
      <c r="AJ240" s="80">
        <v>0</v>
      </c>
      <c r="AK240" s="80">
        <v>0</v>
      </c>
      <c r="AL240" s="80">
        <v>0</v>
      </c>
      <c r="AM240" s="80">
        <v>0</v>
      </c>
      <c r="AN240" s="7"/>
    </row>
    <row r="241" spans="1:42" s="3" customFormat="1">
      <c r="A241" s="117"/>
      <c r="B241" s="155"/>
      <c r="D241" s="2" t="s">
        <v>215</v>
      </c>
      <c r="E241" s="2"/>
      <c r="F241" s="2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>
        <f t="shared" ref="U241" si="373">+U244-U243-U242</f>
        <v>-13.533000000000001</v>
      </c>
      <c r="V241" s="8">
        <f t="shared" ref="V241:X241" si="374">+V244-V243-V242</f>
        <v>-33.49</v>
      </c>
      <c r="W241" s="8">
        <f t="shared" si="374"/>
        <v>-87.898999999999972</v>
      </c>
      <c r="X241" s="8">
        <f t="shared" si="374"/>
        <v>-144.53299999999996</v>
      </c>
      <c r="Y241" s="8">
        <f>+Y244-Y243-Y242</f>
        <v>-204.23099999999997</v>
      </c>
      <c r="Z241" s="8">
        <f t="shared" ref="Z241:AA241" si="375">+Z244-Z243-Z242</f>
        <v>-283.05599999999981</v>
      </c>
      <c r="AA241" s="8">
        <f t="shared" si="375"/>
        <v>-352.25400000000002</v>
      </c>
      <c r="AB241" s="101">
        <f t="shared" ref="AB241:AM241" ca="1" si="376">SUM(AB235:AB240)</f>
        <v>-333.62604295786059</v>
      </c>
      <c r="AC241" s="101">
        <f t="shared" ca="1" si="376"/>
        <v>-182.1439552792113</v>
      </c>
      <c r="AD241" s="101">
        <f t="shared" ca="1" si="376"/>
        <v>12.994696855903214</v>
      </c>
      <c r="AE241" s="101">
        <f t="shared" ca="1" si="376"/>
        <v>284.95005609650542</v>
      </c>
      <c r="AF241" s="101">
        <f t="shared" ca="1" si="376"/>
        <v>567.59454907854206</v>
      </c>
      <c r="AG241" s="101">
        <f t="shared" ca="1" si="376"/>
        <v>925.96982063214159</v>
      </c>
      <c r="AH241" s="101">
        <f t="shared" ca="1" si="376"/>
        <v>1361.8605431654869</v>
      </c>
      <c r="AI241" s="101">
        <f t="shared" ca="1" si="376"/>
        <v>1838.5779003597361</v>
      </c>
      <c r="AJ241" s="101">
        <f t="shared" ca="1" si="376"/>
        <v>2397.1906623460277</v>
      </c>
      <c r="AK241" s="101">
        <f t="shared" ca="1" si="376"/>
        <v>3040.4766614180144</v>
      </c>
      <c r="AL241" s="101">
        <f t="shared" ca="1" si="376"/>
        <v>3295.7684991208844</v>
      </c>
      <c r="AM241" s="101">
        <f t="shared" ca="1" si="376"/>
        <v>3562.7716821457993</v>
      </c>
      <c r="AN241" s="64"/>
    </row>
    <row r="242" spans="1:42" s="3" customFormat="1">
      <c r="A242" s="117"/>
      <c r="B242" s="155"/>
      <c r="D242" s="70" t="s">
        <v>290</v>
      </c>
      <c r="E242" s="181"/>
      <c r="F242" s="181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80">
        <f>-24.012+23.765</f>
        <v>-0.24699999999999989</v>
      </c>
      <c r="V242" s="80">
        <f>-80.07+79.362+0.299</f>
        <v>-0.40899999999999842</v>
      </c>
      <c r="W242" s="80">
        <f>-224.169+269.262+13.015-74.589-7.446+1.348</f>
        <v>-22.579000000000008</v>
      </c>
      <c r="X242" s="80">
        <f>-21.697-529.153+527.265+1.375</f>
        <v>-22.210000000000036</v>
      </c>
      <c r="Y242" s="80">
        <f>-51.729-1259.539+1633.519-387.445+1.917</f>
        <v>-63.277000000000015</v>
      </c>
      <c r="Z242" s="80">
        <f>-137.301-2625.351+2643.912-161.781+85.017+0.964+11.922</f>
        <v>-182.61800000000025</v>
      </c>
      <c r="AA242" s="80">
        <f>-217.643-3579.156+3634.52+90.235-8.823+20.962+33.683</f>
        <v>-26.221999999999987</v>
      </c>
      <c r="AB242" s="275">
        <f t="shared" ref="AB242:AM242" si="377">-(AB151-AA151)+AB150</f>
        <v>-230.20150487313799</v>
      </c>
      <c r="AC242" s="275">
        <f t="shared" si="377"/>
        <v>-321.74916435183229</v>
      </c>
      <c r="AD242" s="275">
        <f t="shared" si="377"/>
        <v>-345.00326672652102</v>
      </c>
      <c r="AE242" s="275">
        <f t="shared" si="377"/>
        <v>-336.27600087020289</v>
      </c>
      <c r="AF242" s="275">
        <f t="shared" si="377"/>
        <v>-319.90647624133908</v>
      </c>
      <c r="AG242" s="275">
        <f t="shared" ca="1" si="377"/>
        <v>-372.28910010468974</v>
      </c>
      <c r="AH242" s="275">
        <f t="shared" ca="1" si="377"/>
        <v>-430.06985912672639</v>
      </c>
      <c r="AI242" s="275">
        <f t="shared" ca="1" si="377"/>
        <v>-451.95592860148741</v>
      </c>
      <c r="AJ242" s="275">
        <f t="shared" ca="1" si="377"/>
        <v>-491.50986509104564</v>
      </c>
      <c r="AK242" s="275">
        <f t="shared" ca="1" si="377"/>
        <v>-513.06501336822851</v>
      </c>
      <c r="AL242" s="275">
        <f t="shared" ca="1" si="377"/>
        <v>-524.30784366672754</v>
      </c>
      <c r="AM242" s="275">
        <f t="shared" ca="1" si="377"/>
        <v>-524.98617054862143</v>
      </c>
      <c r="AN242" s="64"/>
    </row>
    <row r="243" spans="1:42">
      <c r="A243" s="117" t="s">
        <v>129</v>
      </c>
      <c r="D243" s="70" t="s">
        <v>129</v>
      </c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>
        <f>-0.45-17.387-0.169+1.625</f>
        <v>-16.381</v>
      </c>
      <c r="V243" s="80">
        <f>-2.711-41.667-0.789+4.122+21.436</f>
        <v>-19.609000000000002</v>
      </c>
      <c r="W243" s="80">
        <f>-3.492-117.468-7.157+17.922-19.552</f>
        <v>-129.74700000000001</v>
      </c>
      <c r="X243" s="80">
        <f>-8.715-40.839-6.605-1.019+16.986-0.082+7.093</f>
        <v>-33.181000000000012</v>
      </c>
      <c r="Y243" s="80">
        <f>-19.212-183.068-12.249+68.55-0.853</f>
        <v>-146.83199999999999</v>
      </c>
      <c r="Z243" s="80">
        <f>-9.741-344.861-32.619+97.912-46.928+45.195-0.418</f>
        <v>-291.45999999999998</v>
      </c>
      <c r="AA243" s="80">
        <f>-42.995-263.321-26.415+97.179-32.044+38.057-0.397</f>
        <v>-229.93600000000004</v>
      </c>
      <c r="AB243" s="75">
        <f>-AB305</f>
        <v>-411.36546260921943</v>
      </c>
      <c r="AC243" s="75">
        <f t="shared" ref="AC243:AM243" si="378">-AC305</f>
        <v>-521.39963571809631</v>
      </c>
      <c r="AD243" s="75">
        <f t="shared" ca="1" si="378"/>
        <v>-479.65865161211173</v>
      </c>
      <c r="AE243" s="75">
        <f t="shared" ca="1" si="378"/>
        <v>-494.37807322822573</v>
      </c>
      <c r="AF243" s="75">
        <f t="shared" ca="1" si="378"/>
        <v>-510.03131757490473</v>
      </c>
      <c r="AG243" s="75">
        <f t="shared" ca="1" si="378"/>
        <v>-472.69485527414099</v>
      </c>
      <c r="AH243" s="75">
        <f t="shared" ca="1" si="378"/>
        <v>-489.36443846865768</v>
      </c>
      <c r="AI243" s="75">
        <f t="shared" ca="1" si="378"/>
        <v>-504.43439835335721</v>
      </c>
      <c r="AJ243" s="75">
        <f t="shared" ca="1" si="378"/>
        <v>-521.75282136326496</v>
      </c>
      <c r="AK243" s="75">
        <f t="shared" ca="1" si="378"/>
        <v>-540.24532546527371</v>
      </c>
      <c r="AL243" s="75">
        <f t="shared" ca="1" si="378"/>
        <v>-370.82510037968314</v>
      </c>
      <c r="AM243" s="75">
        <f t="shared" ca="1" si="378"/>
        <v>-394.4208258306071</v>
      </c>
      <c r="AN243" s="7"/>
    </row>
    <row r="244" spans="1:42" s="3" customFormat="1">
      <c r="A244" s="117" t="s">
        <v>130</v>
      </c>
      <c r="B244" s="155"/>
      <c r="D244" s="2" t="s">
        <v>130</v>
      </c>
      <c r="E244" s="2"/>
      <c r="F244" s="2"/>
      <c r="G244" s="8"/>
      <c r="H244" s="8"/>
      <c r="I244" s="8"/>
      <c r="J244" s="8"/>
      <c r="K244" s="8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>
        <v>-30.161000000000001</v>
      </c>
      <c r="V244" s="186">
        <v>-53.508000000000003</v>
      </c>
      <c r="W244" s="186">
        <v>-240.22499999999999</v>
      </c>
      <c r="X244" s="186">
        <v>-199.92400000000001</v>
      </c>
      <c r="Y244" s="186">
        <v>-414.34</v>
      </c>
      <c r="Z244" s="186">
        <v>-757.13400000000001</v>
      </c>
      <c r="AA244" s="186">
        <v>-608.41200000000003</v>
      </c>
      <c r="AB244" s="8">
        <f ca="1">SUM(AB241:AB243)</f>
        <v>-975.19301044021802</v>
      </c>
      <c r="AC244" s="8">
        <f t="shared" ref="AC244:AK244" ca="1" si="379">SUM(AC241:AC243)</f>
        <v>-1025.29275534914</v>
      </c>
      <c r="AD244" s="8">
        <f t="shared" ca="1" si="379"/>
        <v>-811.66722148272947</v>
      </c>
      <c r="AE244" s="8">
        <f t="shared" ca="1" si="379"/>
        <v>-545.70401800192326</v>
      </c>
      <c r="AF244" s="8">
        <f t="shared" ca="1" si="379"/>
        <v>-262.34324473770175</v>
      </c>
      <c r="AG244" s="8">
        <f t="shared" ca="1" si="379"/>
        <v>80.985865253310862</v>
      </c>
      <c r="AH244" s="8">
        <f t="shared" ca="1" si="379"/>
        <v>442.42624557010276</v>
      </c>
      <c r="AI244" s="8">
        <f t="shared" ca="1" si="379"/>
        <v>882.18757340489151</v>
      </c>
      <c r="AJ244" s="8">
        <f t="shared" ca="1" si="379"/>
        <v>1383.9279758917171</v>
      </c>
      <c r="AK244" s="8">
        <f t="shared" ca="1" si="379"/>
        <v>1987.1663225845123</v>
      </c>
      <c r="AL244" s="8">
        <f t="shared" ref="AL244:AM244" ca="1" si="380">SUM(AL241:AL243)</f>
        <v>2400.6355550744738</v>
      </c>
      <c r="AM244" s="8">
        <f t="shared" ca="1" si="380"/>
        <v>2643.3646857665708</v>
      </c>
      <c r="AN244" s="64"/>
      <c r="AO244" s="76"/>
      <c r="AP244" s="76"/>
    </row>
    <row r="245" spans="1:42" s="5" customFormat="1">
      <c r="A245" s="116"/>
      <c r="B245" s="158"/>
      <c r="D245" s="71" t="s">
        <v>222</v>
      </c>
      <c r="E245" s="71"/>
      <c r="F245" s="71"/>
      <c r="G245" s="72"/>
      <c r="H245" s="72"/>
      <c r="I245" s="72"/>
      <c r="J245" s="72"/>
      <c r="K245" s="72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>
        <f t="shared" ref="X245:AM245" si="381">+X244/X229</f>
        <v>-1.4546274738067522</v>
      </c>
      <c r="Y245" s="185">
        <f t="shared" si="381"/>
        <v>-2.8797609118710037</v>
      </c>
      <c r="Z245" s="185">
        <f t="shared" si="381"/>
        <v>-4.9485882352941175</v>
      </c>
      <c r="AA245" s="185">
        <f t="shared" si="381"/>
        <v>-3.6846656976744185</v>
      </c>
      <c r="AB245" s="185">
        <f t="shared" ca="1" si="381"/>
        <v>-5.5547562681716682</v>
      </c>
      <c r="AC245" s="185">
        <f t="shared" ca="1" si="381"/>
        <v>-5.7617450684986178</v>
      </c>
      <c r="AD245" s="185">
        <f t="shared" ca="1" si="381"/>
        <v>-4.498931172443366</v>
      </c>
      <c r="AE245" s="185">
        <f t="shared" ca="1" si="381"/>
        <v>-2.9935109578414609</v>
      </c>
      <c r="AF245" s="185">
        <f t="shared" ca="1" si="381"/>
        <v>-1.4327772304553483</v>
      </c>
      <c r="AG245" s="185">
        <f t="shared" ca="1" si="381"/>
        <v>0.44230109283246982</v>
      </c>
      <c r="AH245" s="185">
        <f t="shared" ca="1" si="381"/>
        <v>2.4162934054058285</v>
      </c>
      <c r="AI245" s="185">
        <f t="shared" ca="1" si="381"/>
        <v>4.8180324745582839</v>
      </c>
      <c r="AJ245" s="185">
        <f t="shared" ca="1" si="381"/>
        <v>7.5582678119269415</v>
      </c>
      <c r="AK245" s="185">
        <f t="shared" ca="1" si="381"/>
        <v>10.852830161325304</v>
      </c>
      <c r="AL245" s="185">
        <f t="shared" ca="1" si="381"/>
        <v>13.110976021942635</v>
      </c>
      <c r="AM245" s="185">
        <f t="shared" ca="1" si="381"/>
        <v>14.436631587670966</v>
      </c>
      <c r="AN245" s="73"/>
      <c r="AO245" s="76"/>
      <c r="AP245" s="76"/>
    </row>
    <row r="246" spans="1:42"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</row>
    <row r="247" spans="1:42">
      <c r="A247" s="117" t="s">
        <v>131</v>
      </c>
      <c r="D247" t="s">
        <v>131</v>
      </c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>
        <v>-3.7679999999999998</v>
      </c>
      <c r="V247" s="80">
        <v>-13.95</v>
      </c>
      <c r="W247" s="80">
        <v>-39.539000000000001</v>
      </c>
      <c r="X247" s="80">
        <v>-78.489999999999995</v>
      </c>
      <c r="Y247" s="80">
        <v>-143.66800000000001</v>
      </c>
      <c r="Z247" s="80">
        <v>-230.53800000000001</v>
      </c>
      <c r="AA247" s="80">
        <v>-359.80099999999999</v>
      </c>
      <c r="AB247" s="91">
        <f ca="1">-AB435</f>
        <v>-374.69738598861261</v>
      </c>
      <c r="AC247" s="91">
        <f t="shared" ref="AC247:AM247" ca="1" si="382">-AC435</f>
        <v>-459.28253919566953</v>
      </c>
      <c r="AD247" s="91">
        <f t="shared" ca="1" si="382"/>
        <v>-448.70457368945728</v>
      </c>
      <c r="AE247" s="91">
        <f t="shared" ca="1" si="382"/>
        <v>-497.82680028817805</v>
      </c>
      <c r="AF247" s="91">
        <f t="shared" ca="1" si="382"/>
        <v>-518.62846998381281</v>
      </c>
      <c r="AG247" s="91">
        <f t="shared" ca="1" si="382"/>
        <v>-592.86665984466447</v>
      </c>
      <c r="AH247" s="91">
        <f t="shared" ca="1" si="382"/>
        <v>-631.76803626771959</v>
      </c>
      <c r="AI247" s="91">
        <f t="shared" ca="1" si="382"/>
        <v>-680.83287846090195</v>
      </c>
      <c r="AJ247" s="91">
        <f t="shared" ca="1" si="382"/>
        <v>-732.91426589606476</v>
      </c>
      <c r="AK247" s="91">
        <f t="shared" ca="1" si="382"/>
        <v>-787.5324855149687</v>
      </c>
      <c r="AL247" s="91">
        <f t="shared" ca="1" si="382"/>
        <v>-718.88831088666836</v>
      </c>
      <c r="AM247" s="91">
        <f t="shared" ca="1" si="382"/>
        <v>-757.05683398445592</v>
      </c>
      <c r="AN247" s="7"/>
    </row>
    <row r="248" spans="1:42">
      <c r="A248" s="117" t="s">
        <v>132</v>
      </c>
      <c r="D248" t="s">
        <v>132</v>
      </c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>
        <v>0</v>
      </c>
      <c r="V248" s="80">
        <v>0</v>
      </c>
      <c r="W248" s="80">
        <v>0</v>
      </c>
      <c r="X248" s="80">
        <v>0</v>
      </c>
      <c r="Y248" s="80">
        <v>-6.67</v>
      </c>
      <c r="Z248" s="80">
        <v>0</v>
      </c>
      <c r="AA248" s="80">
        <v>0</v>
      </c>
      <c r="AB248" s="80">
        <v>0</v>
      </c>
      <c r="AC248" s="80">
        <v>0</v>
      </c>
      <c r="AD248" s="80">
        <v>0</v>
      </c>
      <c r="AE248" s="80">
        <v>0</v>
      </c>
      <c r="AF248" s="80">
        <v>0</v>
      </c>
      <c r="AG248" s="80">
        <v>0</v>
      </c>
      <c r="AH248" s="80">
        <v>0</v>
      </c>
      <c r="AI248" s="80">
        <v>0</v>
      </c>
      <c r="AJ248" s="80">
        <v>0</v>
      </c>
      <c r="AK248" s="80">
        <v>0</v>
      </c>
      <c r="AL248" s="80">
        <v>0</v>
      </c>
      <c r="AM248" s="80">
        <v>0</v>
      </c>
      <c r="AN248" s="7"/>
    </row>
    <row r="249" spans="1:42">
      <c r="D249" t="s">
        <v>194</v>
      </c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>
        <v>0</v>
      </c>
      <c r="V249" s="80">
        <v>0</v>
      </c>
      <c r="W249" s="80">
        <v>0</v>
      </c>
      <c r="X249" s="80">
        <v>0</v>
      </c>
      <c r="Y249" s="80">
        <v>0</v>
      </c>
      <c r="Z249" s="80">
        <v>0</v>
      </c>
      <c r="AA249" s="80">
        <v>0</v>
      </c>
      <c r="AB249" s="80">
        <v>0</v>
      </c>
      <c r="AC249" s="80">
        <v>0</v>
      </c>
      <c r="AD249" s="80">
        <v>0</v>
      </c>
      <c r="AE249" s="80">
        <v>0</v>
      </c>
      <c r="AF249" s="80">
        <v>0</v>
      </c>
      <c r="AG249" s="80">
        <v>0</v>
      </c>
      <c r="AH249" s="80">
        <v>0</v>
      </c>
      <c r="AI249" s="80">
        <v>0</v>
      </c>
      <c r="AJ249" s="80">
        <v>0</v>
      </c>
      <c r="AK249" s="80">
        <v>0</v>
      </c>
      <c r="AL249" s="80">
        <v>0</v>
      </c>
      <c r="AM249" s="80">
        <v>0</v>
      </c>
      <c r="AN249" s="7"/>
    </row>
    <row r="250" spans="1:42">
      <c r="D250" t="s">
        <v>128</v>
      </c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>
        <v>0</v>
      </c>
      <c r="V250" s="80">
        <v>-2.1150000000000002</v>
      </c>
      <c r="W250" s="80">
        <v>-8.1509999999999998</v>
      </c>
      <c r="X250" s="80">
        <v>-4.1769999999999996</v>
      </c>
      <c r="Y250" s="80">
        <v>0</v>
      </c>
      <c r="Z250" s="80">
        <v>2.7989999999999999</v>
      </c>
      <c r="AA250" s="80">
        <v>13.875</v>
      </c>
      <c r="AB250" s="75">
        <f t="shared" ref="AB250:AM250" si="383">-AB131</f>
        <v>32.8185</v>
      </c>
      <c r="AC250" s="75">
        <f t="shared" si="383"/>
        <v>43.361954462200764</v>
      </c>
      <c r="AD250" s="75">
        <f t="shared" si="383"/>
        <v>59.496165549408083</v>
      </c>
      <c r="AE250" s="75">
        <f t="shared" si="383"/>
        <v>79.359863183024117</v>
      </c>
      <c r="AF250" s="75">
        <f t="shared" si="383"/>
        <v>102.46437010069641</v>
      </c>
      <c r="AG250" s="75">
        <f t="shared" si="383"/>
        <v>128.46235995006322</v>
      </c>
      <c r="AH250" s="75">
        <f t="shared" ca="1" si="383"/>
        <v>155.95579179904951</v>
      </c>
      <c r="AI250" s="75">
        <f t="shared" ca="1" si="383"/>
        <v>184.94072622120973</v>
      </c>
      <c r="AJ250" s="75">
        <f t="shared" ca="1" si="383"/>
        <v>215.42776934819631</v>
      </c>
      <c r="AK250" s="75">
        <f t="shared" ca="1" si="383"/>
        <v>247.43888486848397</v>
      </c>
      <c r="AL250" s="75">
        <f t="shared" ca="1" si="383"/>
        <v>281.00501700965549</v>
      </c>
      <c r="AM250" s="75">
        <f t="shared" ca="1" si="383"/>
        <v>313.47402947842937</v>
      </c>
      <c r="AN250" s="7"/>
    </row>
    <row r="251" spans="1:42" s="3" customFormat="1">
      <c r="A251" s="117" t="s">
        <v>192</v>
      </c>
      <c r="B251" s="155"/>
      <c r="D251" s="2" t="s">
        <v>133</v>
      </c>
      <c r="E251" s="2"/>
      <c r="F251" s="2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>
        <f t="shared" ref="U251:V251" si="384">SUM(U247:U250)</f>
        <v>-3.7679999999999998</v>
      </c>
      <c r="V251" s="8">
        <f t="shared" si="384"/>
        <v>-16.064999999999998</v>
      </c>
      <c r="W251" s="8">
        <f t="shared" ref="W251" si="385">SUM(W247:W250)</f>
        <v>-47.69</v>
      </c>
      <c r="X251" s="8">
        <f t="shared" ref="X251" si="386">SUM(X247:X250)</f>
        <v>-82.667000000000002</v>
      </c>
      <c r="Y251" s="8">
        <f t="shared" ref="Y251:Z251" si="387">SUM(Y247:Y250)</f>
        <v>-150.33799999999999</v>
      </c>
      <c r="Z251" s="8">
        <f t="shared" si="387"/>
        <v>-227.739</v>
      </c>
      <c r="AA251" s="8">
        <f>SUM(AA247:AA250)</f>
        <v>-345.92599999999999</v>
      </c>
      <c r="AB251" s="8">
        <f ca="1">SUM(AB247:AB250)</f>
        <v>-341.87888598861264</v>
      </c>
      <c r="AC251" s="8">
        <f t="shared" ref="AC251:AK251" ca="1" si="388">SUM(AC247:AC250)</f>
        <v>-415.92058473346879</v>
      </c>
      <c r="AD251" s="8">
        <f t="shared" ca="1" si="388"/>
        <v>-389.20840814004919</v>
      </c>
      <c r="AE251" s="8">
        <f t="shared" ca="1" si="388"/>
        <v>-418.46693710515393</v>
      </c>
      <c r="AF251" s="8">
        <f t="shared" ca="1" si="388"/>
        <v>-416.16409988311636</v>
      </c>
      <c r="AG251" s="8">
        <f t="shared" ca="1" si="388"/>
        <v>-464.40429989460125</v>
      </c>
      <c r="AH251" s="8">
        <f t="shared" ca="1" si="388"/>
        <v>-475.81224446867009</v>
      </c>
      <c r="AI251" s="8">
        <f t="shared" ca="1" si="388"/>
        <v>-495.89215223969222</v>
      </c>
      <c r="AJ251" s="8">
        <f t="shared" ca="1" si="388"/>
        <v>-517.48649654786846</v>
      </c>
      <c r="AK251" s="8">
        <f t="shared" ca="1" si="388"/>
        <v>-540.09360064648467</v>
      </c>
      <c r="AL251" s="8">
        <f t="shared" ref="AL251:AM251" ca="1" si="389">SUM(AL247:AL250)</f>
        <v>-437.88329387701287</v>
      </c>
      <c r="AM251" s="8">
        <f t="shared" ca="1" si="389"/>
        <v>-443.58280450602655</v>
      </c>
      <c r="AN251" s="64"/>
    </row>
    <row r="252" spans="1:42"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</row>
    <row r="253" spans="1:42">
      <c r="D253" t="s">
        <v>134</v>
      </c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>
        <f>5.619+11.752</f>
        <v>17.371000000000002</v>
      </c>
      <c r="V253" s="80">
        <f>125.08-88.397-0.15+50-11.752</f>
        <v>74.780999999999992</v>
      </c>
      <c r="W253" s="80">
        <f>410.592-287.551-0.284-0.782</f>
        <v>121.97499999999999</v>
      </c>
      <c r="X253" s="80">
        <f>949.144-865.665+35-35+32.698-2.259-2.055</f>
        <v>111.86300000000004</v>
      </c>
      <c r="Y253" s="80">
        <f>1848.051-1899.88+399.063-35.522-11.39</f>
        <v>300.32199999999983</v>
      </c>
      <c r="Z253" s="80">
        <f>4485.917-4219.415+481.772-15.683-11.445</f>
        <v>721.1460000000003</v>
      </c>
      <c r="AA253" s="80">
        <f>4429.185-4958.205+1335.779-653.589-29.394</f>
        <v>123.77600000000041</v>
      </c>
      <c r="AB253" s="92">
        <f t="shared" ref="AB253:AM253" ca="1" si="390">+AB382-AA382-AB437</f>
        <v>1046.1203165483353</v>
      </c>
      <c r="AC253" s="92">
        <f t="shared" ca="1" si="390"/>
        <v>667.88954439825989</v>
      </c>
      <c r="AD253" s="92">
        <f t="shared" ca="1" si="390"/>
        <v>519.02301711811413</v>
      </c>
      <c r="AE253" s="92">
        <f t="shared" ca="1" si="390"/>
        <v>573.89458398320198</v>
      </c>
      <c r="AF253" s="92">
        <f t="shared" ca="1" si="390"/>
        <v>650.32114126368879</v>
      </c>
      <c r="AG253" s="92">
        <f t="shared" ca="1" si="390"/>
        <v>469.58543003783626</v>
      </c>
      <c r="AH253" s="92">
        <f t="shared" ca="1" si="390"/>
        <v>1302.5644297585729</v>
      </c>
      <c r="AI253" s="92">
        <f t="shared" ca="1" si="390"/>
        <v>1102.228147895102</v>
      </c>
      <c r="AJ253" s="92">
        <f t="shared" ca="1" si="390"/>
        <v>901.4519212241546</v>
      </c>
      <c r="AK253" s="92">
        <f t="shared" ca="1" si="390"/>
        <v>1478.3975284368798</v>
      </c>
      <c r="AL253" s="92">
        <f t="shared" ca="1" si="390"/>
        <v>776.72486132037614</v>
      </c>
      <c r="AM253" s="92">
        <f t="shared" ca="1" si="390"/>
        <v>770.88398416701898</v>
      </c>
      <c r="AN253" s="7"/>
    </row>
    <row r="254" spans="1:42">
      <c r="D254" t="s">
        <v>135</v>
      </c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>
        <v>0</v>
      </c>
      <c r="V254" s="80">
        <v>0</v>
      </c>
      <c r="W254" s="80">
        <v>0</v>
      </c>
      <c r="X254" s="80">
        <v>0</v>
      </c>
      <c r="Y254" s="80">
        <v>0</v>
      </c>
      <c r="Z254" s="80">
        <v>0</v>
      </c>
      <c r="AA254" s="80">
        <v>0</v>
      </c>
      <c r="AB254" s="80">
        <v>0</v>
      </c>
      <c r="AC254" s="80">
        <v>0</v>
      </c>
      <c r="AD254" s="80">
        <v>0</v>
      </c>
      <c r="AE254" s="80">
        <v>0</v>
      </c>
      <c r="AF254" s="80">
        <v>0</v>
      </c>
      <c r="AG254" s="80">
        <v>0</v>
      </c>
      <c r="AH254" s="80">
        <v>0</v>
      </c>
      <c r="AI254" s="80">
        <v>0</v>
      </c>
      <c r="AJ254" s="80">
        <v>0</v>
      </c>
      <c r="AK254" s="80">
        <v>0</v>
      </c>
      <c r="AL254" s="80">
        <v>0</v>
      </c>
      <c r="AM254" s="80">
        <v>0</v>
      </c>
      <c r="AN254" s="7"/>
    </row>
    <row r="255" spans="1:42">
      <c r="D255" t="s">
        <v>136</v>
      </c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>
        <v>0</v>
      </c>
      <c r="V255" s="80">
        <f>65-0.47</f>
        <v>64.53</v>
      </c>
      <c r="W255" s="80">
        <f>162.446-0.082</f>
        <v>162.364</v>
      </c>
      <c r="X255" s="80">
        <v>0</v>
      </c>
      <c r="Y255" s="80">
        <v>0</v>
      </c>
      <c r="Z255" s="80">
        <v>0</v>
      </c>
      <c r="AA255" s="80">
        <v>0</v>
      </c>
      <c r="AB255" s="80">
        <v>0</v>
      </c>
      <c r="AC255" s="80">
        <v>0</v>
      </c>
      <c r="AD255" s="80">
        <v>0</v>
      </c>
      <c r="AE255" s="80">
        <v>0</v>
      </c>
      <c r="AF255" s="80">
        <v>0</v>
      </c>
      <c r="AG255" s="80">
        <v>0</v>
      </c>
      <c r="AH255" s="80">
        <v>0</v>
      </c>
      <c r="AI255" s="80">
        <v>0</v>
      </c>
      <c r="AJ255" s="80">
        <v>0</v>
      </c>
      <c r="AK255" s="80">
        <v>0</v>
      </c>
      <c r="AL255" s="80">
        <v>0</v>
      </c>
      <c r="AM255" s="80">
        <v>0</v>
      </c>
      <c r="AN255" s="7"/>
    </row>
    <row r="256" spans="1:42">
      <c r="D256" t="s">
        <v>230</v>
      </c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>
        <v>22.242999999999999</v>
      </c>
      <c r="V256" s="80">
        <v>0</v>
      </c>
      <c r="W256" s="80">
        <v>-0.39800000000000002</v>
      </c>
      <c r="X256" s="80">
        <f>206.198+98.682+0.048-0.704</f>
        <v>304.22399999999999</v>
      </c>
      <c r="Y256" s="80">
        <f>172.287-0.012+0.795-2.509-4.619</f>
        <v>165.94200000000001</v>
      </c>
      <c r="Z256" s="80">
        <f>297.611+1.696+-5.83</f>
        <v>293.47700000000003</v>
      </c>
      <c r="AA256" s="80">
        <f>1058.94+5.419-23.145</f>
        <v>1041.2140000000002</v>
      </c>
      <c r="AB256" s="179">
        <v>400</v>
      </c>
      <c r="AC256" s="179">
        <v>600</v>
      </c>
      <c r="AD256" s="179">
        <v>500</v>
      </c>
      <c r="AE256" s="179">
        <v>400</v>
      </c>
      <c r="AF256" s="179">
        <v>0</v>
      </c>
      <c r="AG256" s="179">
        <v>0</v>
      </c>
      <c r="AH256" s="179">
        <v>0</v>
      </c>
      <c r="AI256" s="179">
        <v>0</v>
      </c>
      <c r="AJ256" s="179">
        <v>0</v>
      </c>
      <c r="AK256" s="179">
        <v>0</v>
      </c>
      <c r="AL256" s="179">
        <v>0</v>
      </c>
      <c r="AM256" s="179">
        <v>0</v>
      </c>
      <c r="AN256" s="80"/>
      <c r="AO256" s="80"/>
      <c r="AP256" s="80"/>
    </row>
    <row r="257" spans="1:41">
      <c r="D257" t="s">
        <v>137</v>
      </c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>
        <v>0</v>
      </c>
      <c r="V257" s="80">
        <v>0</v>
      </c>
      <c r="W257" s="80">
        <v>0</v>
      </c>
      <c r="X257" s="80">
        <v>0</v>
      </c>
      <c r="Y257" s="80">
        <v>0</v>
      </c>
      <c r="Z257" s="80">
        <v>0</v>
      </c>
      <c r="AA257" s="80">
        <v>0</v>
      </c>
      <c r="AB257" s="80">
        <v>0</v>
      </c>
      <c r="AC257" s="80">
        <v>0</v>
      </c>
      <c r="AD257" s="80">
        <v>0</v>
      </c>
      <c r="AE257" s="80">
        <v>0</v>
      </c>
      <c r="AF257" s="80">
        <v>0</v>
      </c>
      <c r="AG257" s="80">
        <v>0</v>
      </c>
      <c r="AH257" s="80">
        <v>0</v>
      </c>
      <c r="AI257" s="80">
        <v>0</v>
      </c>
      <c r="AJ257" s="80">
        <v>0</v>
      </c>
      <c r="AK257" s="80">
        <v>0</v>
      </c>
      <c r="AL257" s="80">
        <v>0</v>
      </c>
      <c r="AM257" s="80">
        <v>0</v>
      </c>
      <c r="AN257" s="7"/>
    </row>
    <row r="258" spans="1:41">
      <c r="D258" t="s">
        <v>138</v>
      </c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>
        <v>0</v>
      </c>
      <c r="V258" s="80">
        <v>-33.533000000000001</v>
      </c>
      <c r="W258" s="80">
        <v>0</v>
      </c>
      <c r="X258" s="80">
        <v>0</v>
      </c>
      <c r="Y258" s="80">
        <v>0</v>
      </c>
      <c r="Z258" s="80">
        <v>0</v>
      </c>
      <c r="AA258" s="80">
        <v>0</v>
      </c>
      <c r="AB258" s="80">
        <v>0</v>
      </c>
      <c r="AC258" s="80">
        <v>0</v>
      </c>
      <c r="AD258" s="80">
        <v>0</v>
      </c>
      <c r="AE258" s="80">
        <v>0</v>
      </c>
      <c r="AF258" s="80">
        <v>0</v>
      </c>
      <c r="AG258" s="80">
        <v>0</v>
      </c>
      <c r="AH258" s="80">
        <v>0</v>
      </c>
      <c r="AI258" s="80">
        <v>0</v>
      </c>
      <c r="AJ258" s="80">
        <v>0</v>
      </c>
      <c r="AK258" s="80">
        <v>0</v>
      </c>
      <c r="AL258" s="80">
        <v>0</v>
      </c>
      <c r="AM258" s="80">
        <v>0</v>
      </c>
      <c r="AN258" s="7"/>
    </row>
    <row r="259" spans="1:41">
      <c r="D259" t="s">
        <v>128</v>
      </c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>
        <v>0</v>
      </c>
      <c r="V259" s="80">
        <v>0</v>
      </c>
      <c r="W259" s="80">
        <v>0</v>
      </c>
      <c r="X259" s="80">
        <v>0</v>
      </c>
      <c r="Y259" s="80">
        <v>0</v>
      </c>
      <c r="Z259" s="80">
        <v>0</v>
      </c>
      <c r="AA259" s="80">
        <v>0</v>
      </c>
      <c r="AB259" s="80">
        <v>0</v>
      </c>
      <c r="AC259" s="80">
        <v>0</v>
      </c>
      <c r="AD259" s="80">
        <v>0</v>
      </c>
      <c r="AE259" s="80">
        <v>0</v>
      </c>
      <c r="AF259" s="80">
        <v>0</v>
      </c>
      <c r="AG259" s="80">
        <v>0</v>
      </c>
      <c r="AH259" s="80">
        <v>0</v>
      </c>
      <c r="AI259" s="80">
        <v>0</v>
      </c>
      <c r="AJ259" s="80">
        <v>0</v>
      </c>
      <c r="AK259" s="80">
        <v>0</v>
      </c>
      <c r="AL259" s="80">
        <v>0</v>
      </c>
      <c r="AM259" s="80">
        <v>0</v>
      </c>
      <c r="AN259" s="7"/>
    </row>
    <row r="260" spans="1:41" s="3" customFormat="1">
      <c r="A260" s="117" t="s">
        <v>193</v>
      </c>
      <c r="B260" s="155"/>
      <c r="D260" s="2" t="s">
        <v>139</v>
      </c>
      <c r="E260" s="2"/>
      <c r="F260" s="2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>
        <f t="shared" ref="U260" si="391">SUM(U253:U259)</f>
        <v>39.614000000000004</v>
      </c>
      <c r="V260" s="8">
        <f t="shared" ref="V260:X260" si="392">SUM(V253:V259)</f>
        <v>105.77799999999998</v>
      </c>
      <c r="W260" s="8">
        <f t="shared" si="392"/>
        <v>283.94099999999997</v>
      </c>
      <c r="X260" s="8">
        <f t="shared" si="392"/>
        <v>416.08700000000005</v>
      </c>
      <c r="Y260" s="8">
        <f>SUM(Y253:Y259)</f>
        <v>466.26399999999984</v>
      </c>
      <c r="Z260" s="8">
        <f>SUM(Z253:Z259)</f>
        <v>1014.6230000000003</v>
      </c>
      <c r="AA260" s="8">
        <f>SUM(AA253:AA259)</f>
        <v>1164.9900000000007</v>
      </c>
      <c r="AB260" s="8">
        <f t="shared" ref="AB260:AK260" ca="1" si="393">SUM(AB253:AB259)</f>
        <v>1446.1203165483353</v>
      </c>
      <c r="AC260" s="8">
        <f t="shared" ca="1" si="393"/>
        <v>1267.8895443982599</v>
      </c>
      <c r="AD260" s="8">
        <f t="shared" ca="1" si="393"/>
        <v>1019.0230171181141</v>
      </c>
      <c r="AE260" s="8">
        <f t="shared" ca="1" si="393"/>
        <v>973.89458398320198</v>
      </c>
      <c r="AF260" s="8">
        <f t="shared" ca="1" si="393"/>
        <v>650.32114126368879</v>
      </c>
      <c r="AG260" s="8">
        <f t="shared" ca="1" si="393"/>
        <v>469.58543003783626</v>
      </c>
      <c r="AH260" s="8">
        <f t="shared" ca="1" si="393"/>
        <v>1302.5644297585729</v>
      </c>
      <c r="AI260" s="8">
        <f t="shared" ca="1" si="393"/>
        <v>1102.228147895102</v>
      </c>
      <c r="AJ260" s="8">
        <f t="shared" ca="1" si="393"/>
        <v>901.4519212241546</v>
      </c>
      <c r="AK260" s="8">
        <f t="shared" ca="1" si="393"/>
        <v>1478.3975284368798</v>
      </c>
      <c r="AL260" s="8">
        <f t="shared" ref="AL260:AM260" ca="1" si="394">SUM(AL253:AL259)</f>
        <v>776.72486132037614</v>
      </c>
      <c r="AM260" s="8">
        <f t="shared" ca="1" si="394"/>
        <v>770.88398416701898</v>
      </c>
      <c r="AN260" s="64"/>
    </row>
    <row r="261" spans="1:41"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</row>
    <row r="262" spans="1:41">
      <c r="D262" t="s">
        <v>141</v>
      </c>
      <c r="G262" s="7"/>
      <c r="H262" s="7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>
        <v>0</v>
      </c>
      <c r="V262" s="80">
        <v>0</v>
      </c>
      <c r="W262" s="80">
        <v>0</v>
      </c>
      <c r="X262" s="80">
        <v>0</v>
      </c>
      <c r="Y262" s="80">
        <v>0</v>
      </c>
      <c r="Z262" s="80">
        <v>0</v>
      </c>
      <c r="AA262" s="80">
        <v>0</v>
      </c>
      <c r="AB262" s="80">
        <v>0</v>
      </c>
      <c r="AC262" s="80">
        <v>0</v>
      </c>
      <c r="AD262" s="80">
        <v>0</v>
      </c>
      <c r="AE262" s="80">
        <v>0</v>
      </c>
      <c r="AF262" s="80">
        <v>0</v>
      </c>
      <c r="AG262" s="80">
        <v>0</v>
      </c>
      <c r="AH262" s="80">
        <v>0</v>
      </c>
      <c r="AI262" s="80">
        <v>0</v>
      </c>
      <c r="AJ262" s="80">
        <v>0</v>
      </c>
      <c r="AK262" s="80">
        <v>0</v>
      </c>
      <c r="AL262" s="80">
        <v>0</v>
      </c>
      <c r="AM262" s="80">
        <v>0</v>
      </c>
      <c r="AN262" s="7"/>
    </row>
    <row r="263" spans="1:41">
      <c r="D263" t="s">
        <v>142</v>
      </c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>
        <f t="shared" ref="U263" si="395">SUM(U262,U260,U251,U244)</f>
        <v>5.6850000000000023</v>
      </c>
      <c r="V263" s="7">
        <f t="shared" ref="V263:X263" si="396">SUM(V262,V260,V251,V244)</f>
        <v>36.204999999999977</v>
      </c>
      <c r="W263" s="7">
        <f t="shared" si="396"/>
        <v>-3.974000000000018</v>
      </c>
      <c r="X263" s="7">
        <f t="shared" si="396"/>
        <v>133.49600000000007</v>
      </c>
      <c r="Y263" s="7">
        <f t="shared" ref="Y263:AE263" si="397">SUM(Y262,Y260,Y251,Y244)</f>
        <v>-98.414000000000158</v>
      </c>
      <c r="Z263" s="7">
        <f t="shared" si="397"/>
        <v>29.750000000000227</v>
      </c>
      <c r="AA263" s="7">
        <f t="shared" si="397"/>
        <v>210.65200000000073</v>
      </c>
      <c r="AB263" s="7">
        <f t="shared" ca="1" si="397"/>
        <v>129.04842011950461</v>
      </c>
      <c r="AC263" s="7">
        <f t="shared" ca="1" si="397"/>
        <v>-173.32379568434885</v>
      </c>
      <c r="AD263" s="7">
        <f t="shared" ca="1" si="397"/>
        <v>-181.85261250466453</v>
      </c>
      <c r="AE263" s="7">
        <f t="shared" ca="1" si="397"/>
        <v>9.7236288761248488</v>
      </c>
      <c r="AF263" s="7">
        <f t="shared" ref="AF263:AK263" ca="1" si="398">SUM(AF262,AF260,AF251,AF244)</f>
        <v>-28.18620335712933</v>
      </c>
      <c r="AG263" s="7">
        <f t="shared" ca="1" si="398"/>
        <v>86.166995396545872</v>
      </c>
      <c r="AH263" s="7">
        <f t="shared" ca="1" si="398"/>
        <v>1269.1784308600056</v>
      </c>
      <c r="AI263" s="7">
        <f t="shared" ca="1" si="398"/>
        <v>1488.5235690603013</v>
      </c>
      <c r="AJ263" s="7">
        <f t="shared" ca="1" si="398"/>
        <v>1767.8934005680032</v>
      </c>
      <c r="AK263" s="7">
        <f t="shared" ca="1" si="398"/>
        <v>2925.4702503749077</v>
      </c>
      <c r="AL263" s="7">
        <f t="shared" ref="AL263:AM263" ca="1" si="399">SUM(AL262,AL260,AL251,AL244)</f>
        <v>2739.477122517837</v>
      </c>
      <c r="AM263" s="7">
        <f t="shared" ca="1" si="399"/>
        <v>2970.6658654275634</v>
      </c>
      <c r="AN263" s="7"/>
    </row>
    <row r="264" spans="1:41">
      <c r="G264" s="7"/>
      <c r="H264" s="7"/>
      <c r="I264" s="7"/>
      <c r="J264" s="7"/>
      <c r="K264" s="7"/>
      <c r="L264" s="7"/>
      <c r="M264" s="7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</row>
    <row r="265" spans="1:41">
      <c r="C265" s="111"/>
      <c r="D265" s="112" t="s">
        <v>143</v>
      </c>
      <c r="E265" s="111"/>
      <c r="F265" s="111"/>
      <c r="G265" s="111"/>
      <c r="H265" s="111"/>
      <c r="I265" s="111"/>
      <c r="J265" s="111"/>
      <c r="K265" s="111"/>
      <c r="L265" s="111"/>
      <c r="M265" s="111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  <c r="Z265" s="200"/>
      <c r="AA265" s="200"/>
      <c r="AB265" s="200"/>
      <c r="AC265" s="200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</row>
    <row r="266" spans="1:41" ht="5.15" customHeight="1">
      <c r="B266" s="154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7"/>
      <c r="AO266" s="1"/>
    </row>
    <row r="267" spans="1:41">
      <c r="A267" s="117" t="s">
        <v>196</v>
      </c>
      <c r="D267" t="s">
        <v>144</v>
      </c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>
        <v>43.134</v>
      </c>
      <c r="W267" s="80">
        <v>39.183999999999997</v>
      </c>
      <c r="X267" s="80">
        <v>172.68</v>
      </c>
      <c r="Y267" s="80">
        <v>78.861000000000004</v>
      </c>
      <c r="Z267" s="80">
        <v>76.016000000000005</v>
      </c>
      <c r="AA267" s="80">
        <v>300.81</v>
      </c>
      <c r="AB267" s="7">
        <f ca="1">+AA267+AB263</f>
        <v>429.85842011950461</v>
      </c>
      <c r="AC267" s="7">
        <f t="shared" ref="AC267:AM267" ca="1" si="400">+AB267+AC263</f>
        <v>256.53462443515576</v>
      </c>
      <c r="AD267" s="7">
        <f t="shared" ca="1" si="400"/>
        <v>74.682011930491228</v>
      </c>
      <c r="AE267" s="7">
        <f t="shared" ca="1" si="400"/>
        <v>84.405640806616077</v>
      </c>
      <c r="AF267" s="7">
        <f t="shared" ca="1" si="400"/>
        <v>56.219437449486747</v>
      </c>
      <c r="AG267" s="7">
        <f t="shared" ca="1" si="400"/>
        <v>142.38643284603262</v>
      </c>
      <c r="AH267" s="7">
        <f t="shared" ca="1" si="400"/>
        <v>1411.5648637060383</v>
      </c>
      <c r="AI267" s="7">
        <f t="shared" ca="1" si="400"/>
        <v>2900.0884327663398</v>
      </c>
      <c r="AJ267" s="7">
        <f t="shared" ca="1" si="400"/>
        <v>4667.9818333343428</v>
      </c>
      <c r="AK267" s="7">
        <f t="shared" ca="1" si="400"/>
        <v>7593.4520837092505</v>
      </c>
      <c r="AL267" s="7">
        <f t="shared" ca="1" si="400"/>
        <v>10332.929206227087</v>
      </c>
      <c r="AM267" s="7">
        <f t="shared" ca="1" si="400"/>
        <v>13303.59507165465</v>
      </c>
      <c r="AN267" s="7"/>
    </row>
    <row r="268" spans="1:41">
      <c r="D268" t="s">
        <v>234</v>
      </c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>
        <v>2.1150000000000002</v>
      </c>
      <c r="W268" s="80">
        <v>10.266</v>
      </c>
      <c r="X268" s="80">
        <v>14.443</v>
      </c>
      <c r="Y268" s="80">
        <v>9.8480000000000008</v>
      </c>
      <c r="Z268" s="80">
        <v>42.442999999999998</v>
      </c>
      <c r="AA268" s="80">
        <v>28.300999999999998</v>
      </c>
      <c r="AB268" s="75">
        <f>+AB$305*(AA268/SUM(AA$268:AA$269,AA$271,AA$273))+AA268</f>
        <v>37.87409707192495</v>
      </c>
      <c r="AC268" s="75">
        <f t="shared" ref="AC268:AM268" si="401">+AC$305*(AB268/SUM(AB$268:AB$269,AB$271,AB$273))+AB268</f>
        <v>50.007855930376522</v>
      </c>
      <c r="AD268" s="75">
        <f t="shared" ca="1" si="401"/>
        <v>61.170238897936002</v>
      </c>
      <c r="AE268" s="75">
        <f t="shared" ca="1" si="401"/>
        <v>72.675165089906884</v>
      </c>
      <c r="AF268" s="75">
        <f t="shared" ca="1" si="401"/>
        <v>84.54436597492284</v>
      </c>
      <c r="AG268" s="75">
        <f t="shared" ca="1" si="401"/>
        <v>95.544690859361623</v>
      </c>
      <c r="AH268" s="75">
        <f t="shared" ca="1" si="401"/>
        <v>106.9329421804474</v>
      </c>
      <c r="AI268" s="75">
        <f t="shared" ca="1" si="401"/>
        <v>118.67189428212663</v>
      </c>
      <c r="AJ268" s="75">
        <f t="shared" ca="1" si="401"/>
        <v>130.81387230522114</v>
      </c>
      <c r="AK268" s="75">
        <f t="shared" ca="1" si="401"/>
        <v>143.38619889415935</v>
      </c>
      <c r="AL268" s="75">
        <f t="shared" ca="1" si="401"/>
        <v>152.01586036385186</v>
      </c>
      <c r="AM268" s="75">
        <f t="shared" ca="1" si="401"/>
        <v>161.19463008583043</v>
      </c>
      <c r="AN268" s="7"/>
    </row>
    <row r="269" spans="1:41">
      <c r="D269" t="s">
        <v>145</v>
      </c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>
        <v>2.8610000000000002</v>
      </c>
      <c r="W269" s="80">
        <v>5.6920000000000002</v>
      </c>
      <c r="X269" s="80">
        <v>14.105</v>
      </c>
      <c r="Y269" s="80">
        <v>33.119999999999997</v>
      </c>
      <c r="Z269" s="80">
        <v>39.863999999999997</v>
      </c>
      <c r="AA269" s="80">
        <v>78.563000000000002</v>
      </c>
      <c r="AB269" s="75">
        <f>+AB$305*(AA269/SUM(AA$268:AA$269,AA$271,AA$273))+AA269</f>
        <v>105.13772263388715</v>
      </c>
      <c r="AC269" s="75">
        <f t="shared" ref="AC269:AM269" si="402">+AC$305*(AB269/SUM(AB$268:AB$269,AB$271,AB$273))+AB269</f>
        <v>138.82079027095054</v>
      </c>
      <c r="AD269" s="75">
        <f t="shared" ca="1" si="402"/>
        <v>169.80733820495908</v>
      </c>
      <c r="AE269" s="75">
        <f t="shared" ca="1" si="402"/>
        <v>201.74477915827552</v>
      </c>
      <c r="AF269" s="75">
        <f t="shared" ca="1" si="402"/>
        <v>234.69343924553422</v>
      </c>
      <c r="AG269" s="75">
        <f t="shared" ca="1" si="402"/>
        <v>265.23011723910918</v>
      </c>
      <c r="AH269" s="75">
        <f t="shared" ca="1" si="402"/>
        <v>296.84367112548995</v>
      </c>
      <c r="AI269" s="75">
        <f t="shared" ca="1" si="402"/>
        <v>329.43076324111223</v>
      </c>
      <c r="AJ269" s="75">
        <f t="shared" ca="1" si="402"/>
        <v>363.13664711194281</v>
      </c>
      <c r="AK269" s="75">
        <f t="shared" ca="1" si="402"/>
        <v>398.03716984282698</v>
      </c>
      <c r="AL269" s="75">
        <f t="shared" ca="1" si="402"/>
        <v>421.99293444631991</v>
      </c>
      <c r="AM269" s="75">
        <f t="shared" ca="1" si="402"/>
        <v>447.47301238235758</v>
      </c>
      <c r="AN269" s="7"/>
    </row>
    <row r="270" spans="1:41">
      <c r="D270" t="s">
        <v>278</v>
      </c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>
        <v>1.5309999999999999</v>
      </c>
      <c r="W270" s="80">
        <v>24.771000000000001</v>
      </c>
      <c r="X270" s="80">
        <v>45.564</v>
      </c>
      <c r="Y270" s="80">
        <v>105.2</v>
      </c>
      <c r="Z270" s="80">
        <v>286.96899999999999</v>
      </c>
      <c r="AA270" s="80">
        <v>274.94099999999997</v>
      </c>
      <c r="AB270" s="7">
        <f t="shared" ref="AB270:AM270" si="403">+AB151</f>
        <v>430.15018702433491</v>
      </c>
      <c r="AC270" s="7">
        <f t="shared" si="403"/>
        <v>644.00055256513713</v>
      </c>
      <c r="AD270" s="7">
        <f t="shared" si="403"/>
        <v>850.05286320778589</v>
      </c>
      <c r="AE270" s="7">
        <f t="shared" si="403"/>
        <v>1014.5509732242755</v>
      </c>
      <c r="AF270" s="7">
        <f t="shared" si="403"/>
        <v>1128.0011199674509</v>
      </c>
      <c r="AG270" s="7">
        <f t="shared" ca="1" si="403"/>
        <v>1261.8541327261323</v>
      </c>
      <c r="AH270" s="7">
        <f t="shared" ca="1" si="403"/>
        <v>1420.0284623651683</v>
      </c>
      <c r="AI270" s="7">
        <f t="shared" ca="1" si="403"/>
        <v>1565.0954922374997</v>
      </c>
      <c r="AJ270" s="7">
        <f t="shared" ca="1" si="403"/>
        <v>1713.1331258991984</v>
      </c>
      <c r="AK270" s="7">
        <f t="shared" ca="1" si="403"/>
        <v>1844.4947258342568</v>
      </c>
      <c r="AL270" s="7">
        <f t="shared" ca="1" si="403"/>
        <v>1957.9215026162333</v>
      </c>
      <c r="AM270" s="7">
        <f t="shared" ca="1" si="403"/>
        <v>2040.6185943067499</v>
      </c>
      <c r="AN270" s="7"/>
    </row>
    <row r="271" spans="1:41">
      <c r="D271" t="s">
        <v>216</v>
      </c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>
        <v>68.037999999999997</v>
      </c>
      <c r="W271" s="80">
        <v>185.506</v>
      </c>
      <c r="X271" s="80">
        <v>227.446</v>
      </c>
      <c r="Y271" s="80">
        <v>412.24299999999999</v>
      </c>
      <c r="Z271" s="80">
        <v>762.69600000000003</v>
      </c>
      <c r="AA271" s="80">
        <v>1036.2349999999999</v>
      </c>
      <c r="AB271" s="75">
        <f>+AB$305*(AA271/SUM(AA$268:AA$269,AA$271,AA$273))+AA271</f>
        <v>1386.7518808284567</v>
      </c>
      <c r="AC271" s="75">
        <f t="shared" ref="AC271:AM271" si="404">+AC$305*(AB271/SUM(AB$268:AB$269,AB$271,AB$273))+AB271</f>
        <v>1831.0268396881283</v>
      </c>
      <c r="AD271" s="75">
        <f t="shared" ca="1" si="404"/>
        <v>2239.7350801880752</v>
      </c>
      <c r="AE271" s="75">
        <f t="shared" ca="1" si="404"/>
        <v>2660.985466836496</v>
      </c>
      <c r="AF271" s="75">
        <f t="shared" ca="1" si="404"/>
        <v>3095.5736926618915</v>
      </c>
      <c r="AG271" s="75">
        <f t="shared" ca="1" si="404"/>
        <v>3498.3482114642811</v>
      </c>
      <c r="AH271" s="75">
        <f t="shared" ca="1" si="404"/>
        <v>3915.3265729251948</v>
      </c>
      <c r="AI271" s="75">
        <f t="shared" ca="1" si="404"/>
        <v>4345.1457676915843</v>
      </c>
      <c r="AJ271" s="75">
        <f t="shared" ca="1" si="404"/>
        <v>4789.721669488742</v>
      </c>
      <c r="AK271" s="75">
        <f t="shared" ca="1" si="404"/>
        <v>5250.0546910388066</v>
      </c>
      <c r="AL271" s="75">
        <f t="shared" ca="1" si="404"/>
        <v>5566.0278811397511</v>
      </c>
      <c r="AM271" s="75">
        <f t="shared" ca="1" si="404"/>
        <v>5902.1065512522719</v>
      </c>
      <c r="AN271" s="7"/>
    </row>
    <row r="272" spans="1:41">
      <c r="D272" t="s">
        <v>279</v>
      </c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>
        <v>0</v>
      </c>
      <c r="W272" s="80">
        <v>0</v>
      </c>
      <c r="X272" s="80">
        <v>0</v>
      </c>
      <c r="Y272" s="80">
        <v>0</v>
      </c>
      <c r="Z272" s="80">
        <v>98.78</v>
      </c>
      <c r="AA272" s="80">
        <v>131.274</v>
      </c>
      <c r="AB272" s="91">
        <f t="shared" ref="AB272:AM272" si="405">+AB133</f>
        <v>173.44781784880306</v>
      </c>
      <c r="AC272" s="91">
        <f t="shared" si="405"/>
        <v>237.98466219763233</v>
      </c>
      <c r="AD272" s="91">
        <f t="shared" si="405"/>
        <v>317.43945273209647</v>
      </c>
      <c r="AE272" s="91">
        <f t="shared" si="405"/>
        <v>409.85748040278565</v>
      </c>
      <c r="AF272" s="91">
        <f t="shared" si="405"/>
        <v>513.84943980025287</v>
      </c>
      <c r="AG272" s="91">
        <f t="shared" ca="1" si="405"/>
        <v>623.82316719619803</v>
      </c>
      <c r="AH272" s="91">
        <f t="shared" ca="1" si="405"/>
        <v>739.76290488483892</v>
      </c>
      <c r="AI272" s="91">
        <f t="shared" ca="1" si="405"/>
        <v>861.71107739278523</v>
      </c>
      <c r="AJ272" s="91">
        <f t="shared" ca="1" si="405"/>
        <v>989.75553947393587</v>
      </c>
      <c r="AK272" s="91">
        <f t="shared" ca="1" si="405"/>
        <v>1124.020068038622</v>
      </c>
      <c r="AL272" s="91">
        <f t="shared" ca="1" si="405"/>
        <v>1253.8961179137175</v>
      </c>
      <c r="AM272" s="91">
        <f t="shared" ca="1" si="405"/>
        <v>1382.7111672933929</v>
      </c>
      <c r="AN272" s="7"/>
    </row>
    <row r="273" spans="1:40">
      <c r="D273" t="s">
        <v>235</v>
      </c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>
        <v>1.5389999999999999</v>
      </c>
      <c r="W273" s="80">
        <v>9.8219999999999992</v>
      </c>
      <c r="X273" s="80">
        <v>15.48</v>
      </c>
      <c r="Y273" s="80">
        <v>23.582000000000001</v>
      </c>
      <c r="Z273" s="80">
        <v>52.654000000000003</v>
      </c>
      <c r="AA273" s="80">
        <v>73.022999999999996</v>
      </c>
      <c r="AB273" s="75">
        <f>+AB$305*(AA273/SUM(AA$268:AA$269,AA$271,AA$273))+AA273</f>
        <v>97.723762074950571</v>
      </c>
      <c r="AC273" s="75">
        <f t="shared" ref="AC273:AM273" si="406">+AC$305*(AB273/SUM(AB$268:AB$269,AB$271,AB$273))+AB273</f>
        <v>129.03161243786033</v>
      </c>
      <c r="AD273" s="75">
        <f t="shared" ca="1" si="406"/>
        <v>157.83309264845698</v>
      </c>
      <c r="AE273" s="75">
        <f t="shared" ca="1" si="406"/>
        <v>187.51841208297486</v>
      </c>
      <c r="AF273" s="75">
        <f t="shared" ca="1" si="406"/>
        <v>218.14364286020961</v>
      </c>
      <c r="AG273" s="75">
        <f t="shared" ca="1" si="406"/>
        <v>246.52697645394741</v>
      </c>
      <c r="AH273" s="75">
        <f t="shared" ca="1" si="406"/>
        <v>275.91124825422469</v>
      </c>
      <c r="AI273" s="75">
        <f t="shared" ca="1" si="406"/>
        <v>306.2004076238909</v>
      </c>
      <c r="AJ273" s="75">
        <f t="shared" ca="1" si="406"/>
        <v>337.52946529607323</v>
      </c>
      <c r="AK273" s="75">
        <f t="shared" ca="1" si="406"/>
        <v>369.96891989145979</v>
      </c>
      <c r="AL273" s="75">
        <f t="shared" ca="1" si="406"/>
        <v>392.23540409701286</v>
      </c>
      <c r="AM273" s="75">
        <f t="shared" ca="1" si="406"/>
        <v>415.91871215708284</v>
      </c>
      <c r="AN273" s="7"/>
    </row>
    <row r="274" spans="1:40" s="3" customFormat="1">
      <c r="A274" s="117" t="s">
        <v>195</v>
      </c>
      <c r="B274" s="155"/>
      <c r="D274" s="2" t="s">
        <v>147</v>
      </c>
      <c r="E274" s="2"/>
      <c r="F274" s="2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>
        <f t="shared" ref="V274:AM274" si="407">SUM(V267:V273)</f>
        <v>119.218</v>
      </c>
      <c r="W274" s="8">
        <f t="shared" si="407"/>
        <v>275.24099999999999</v>
      </c>
      <c r="X274" s="8">
        <f t="shared" si="407"/>
        <v>489.71800000000002</v>
      </c>
      <c r="Y274" s="8">
        <f t="shared" si="407"/>
        <v>662.85399999999993</v>
      </c>
      <c r="Z274" s="8">
        <f t="shared" si="407"/>
        <v>1359.422</v>
      </c>
      <c r="AA274" s="8">
        <f t="shared" si="407"/>
        <v>1923.1469999999997</v>
      </c>
      <c r="AB274" s="8">
        <f t="shared" ca="1" si="407"/>
        <v>2660.9438876018621</v>
      </c>
      <c r="AC274" s="8">
        <f t="shared" ca="1" si="407"/>
        <v>3287.4069375252411</v>
      </c>
      <c r="AD274" s="8">
        <f t="shared" ca="1" si="407"/>
        <v>3870.7200778098008</v>
      </c>
      <c r="AE274" s="8">
        <f t="shared" ca="1" si="407"/>
        <v>4631.7379176013301</v>
      </c>
      <c r="AF274" s="8">
        <f t="shared" ca="1" si="407"/>
        <v>5331.0251379597485</v>
      </c>
      <c r="AG274" s="8">
        <f t="shared" ca="1" si="407"/>
        <v>6133.7137287850628</v>
      </c>
      <c r="AH274" s="8">
        <f t="shared" ca="1" si="407"/>
        <v>8166.3706654414027</v>
      </c>
      <c r="AI274" s="8">
        <f t="shared" ca="1" si="407"/>
        <v>10426.343835235341</v>
      </c>
      <c r="AJ274" s="8">
        <f t="shared" ca="1" si="407"/>
        <v>12992.072152909455</v>
      </c>
      <c r="AK274" s="8">
        <f t="shared" ca="1" si="407"/>
        <v>16723.413857249383</v>
      </c>
      <c r="AL274" s="8">
        <f t="shared" ca="1" si="407"/>
        <v>20077.018906803973</v>
      </c>
      <c r="AM274" s="8">
        <f t="shared" ca="1" si="407"/>
        <v>23653.617739132336</v>
      </c>
      <c r="AN274" s="64"/>
    </row>
    <row r="275" spans="1:40">
      <c r="A275" s="117" t="s">
        <v>148</v>
      </c>
      <c r="D275" t="s">
        <v>148</v>
      </c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>
        <v>16.794</v>
      </c>
      <c r="W275" s="80">
        <v>60.591999999999999</v>
      </c>
      <c r="X275" s="80">
        <v>148.68100000000001</v>
      </c>
      <c r="Y275" s="80">
        <v>296.839</v>
      </c>
      <c r="Z275" s="80">
        <v>543.471</v>
      </c>
      <c r="AA275" s="80">
        <v>909.16600000000005</v>
      </c>
      <c r="AB275" s="92">
        <f>AB438</f>
        <v>1241.327703712888</v>
      </c>
      <c r="AC275" s="92">
        <f t="shared" ref="AC275:AM275" si="408">AC438</f>
        <v>1631.5492156445964</v>
      </c>
      <c r="AD275" s="92">
        <f t="shared" ca="1" si="408"/>
        <v>1956.9418543895601</v>
      </c>
      <c r="AE275" s="92">
        <f t="shared" ca="1" si="408"/>
        <v>2298.3867021529809</v>
      </c>
      <c r="AF275" s="92">
        <f t="shared" ca="1" si="408"/>
        <v>2619.4755905463303</v>
      </c>
      <c r="AG275" s="92">
        <f t="shared" ca="1" si="408"/>
        <v>2982.8610610467081</v>
      </c>
      <c r="AH275" s="92">
        <f t="shared" ca="1" si="408"/>
        <v>3338.689280677675</v>
      </c>
      <c r="AI275" s="92">
        <f t="shared" ca="1" si="408"/>
        <v>3698.7902190768004</v>
      </c>
      <c r="AJ275" s="92">
        <f t="shared" ca="1" si="408"/>
        <v>4064.6601119269826</v>
      </c>
      <c r="AK275" s="92">
        <f t="shared" ca="1" si="408"/>
        <v>4436.9086891248116</v>
      </c>
      <c r="AL275" s="92">
        <f t="shared" ca="1" si="408"/>
        <v>4672.9194468512787</v>
      </c>
      <c r="AM275" s="92">
        <f t="shared" ca="1" si="408"/>
        <v>4921.3982949937163</v>
      </c>
      <c r="AN275" s="7"/>
    </row>
    <row r="276" spans="1:40">
      <c r="A276" s="117" t="s">
        <v>149</v>
      </c>
      <c r="D276" t="s">
        <v>149</v>
      </c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60"/>
      <c r="T276" s="80"/>
      <c r="U276" s="80"/>
      <c r="V276" s="80">
        <v>0</v>
      </c>
      <c r="W276" s="80">
        <v>0</v>
      </c>
      <c r="X276" s="80">
        <v>0</v>
      </c>
      <c r="Y276" s="80">
        <v>9.3529999999999998</v>
      </c>
      <c r="Z276" s="80">
        <v>9.3529999999999998</v>
      </c>
      <c r="AA276" s="80">
        <v>9.3529999999999998</v>
      </c>
      <c r="AB276" s="7">
        <f>+AA276</f>
        <v>9.3529999999999998</v>
      </c>
      <c r="AC276" s="7">
        <f t="shared" ref="AC276:AM276" si="409">+AB276</f>
        <v>9.3529999999999998</v>
      </c>
      <c r="AD276" s="7">
        <f t="shared" si="409"/>
        <v>9.3529999999999998</v>
      </c>
      <c r="AE276" s="7">
        <f t="shared" si="409"/>
        <v>9.3529999999999998</v>
      </c>
      <c r="AF276" s="7">
        <f t="shared" si="409"/>
        <v>9.3529999999999998</v>
      </c>
      <c r="AG276" s="7">
        <f t="shared" si="409"/>
        <v>9.3529999999999998</v>
      </c>
      <c r="AH276" s="7">
        <f t="shared" si="409"/>
        <v>9.3529999999999998</v>
      </c>
      <c r="AI276" s="7">
        <f t="shared" si="409"/>
        <v>9.3529999999999998</v>
      </c>
      <c r="AJ276" s="7">
        <f t="shared" si="409"/>
        <v>9.3529999999999998</v>
      </c>
      <c r="AK276" s="7">
        <f t="shared" si="409"/>
        <v>9.3529999999999998</v>
      </c>
      <c r="AL276" s="7">
        <f t="shared" si="409"/>
        <v>9.3529999999999998</v>
      </c>
      <c r="AM276" s="7">
        <f t="shared" si="409"/>
        <v>9.3529999999999998</v>
      </c>
      <c r="AN276" s="7"/>
    </row>
    <row r="277" spans="1:40">
      <c r="A277" s="117" t="s">
        <v>150</v>
      </c>
      <c r="D277" t="s">
        <v>150</v>
      </c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60"/>
      <c r="T277" s="80"/>
      <c r="U277" s="80"/>
      <c r="V277" s="80">
        <v>0</v>
      </c>
      <c r="W277" s="80">
        <v>0</v>
      </c>
      <c r="X277" s="80">
        <v>0</v>
      </c>
      <c r="Y277" s="80">
        <v>8.8689999999999998</v>
      </c>
      <c r="Z277" s="80">
        <v>7.2320000000000002</v>
      </c>
      <c r="AA277" s="80">
        <v>5.6429999999999998</v>
      </c>
      <c r="AB277" s="7">
        <f>AB455</f>
        <v>4.0398749999999994</v>
      </c>
      <c r="AC277" s="7">
        <f t="shared" ref="AC277:AM277" si="410">AC455</f>
        <v>2.4367499999999991</v>
      </c>
      <c r="AD277" s="7">
        <f t="shared" si="410"/>
        <v>0.83362499999999917</v>
      </c>
      <c r="AE277" s="7">
        <f t="shared" si="410"/>
        <v>0</v>
      </c>
      <c r="AF277" s="7">
        <f t="shared" si="410"/>
        <v>0</v>
      </c>
      <c r="AG277" s="7">
        <f t="shared" si="410"/>
        <v>0</v>
      </c>
      <c r="AH277" s="7">
        <f t="shared" si="410"/>
        <v>0</v>
      </c>
      <c r="AI277" s="7">
        <f t="shared" si="410"/>
        <v>0</v>
      </c>
      <c r="AJ277" s="7">
        <f t="shared" si="410"/>
        <v>0</v>
      </c>
      <c r="AK277" s="7">
        <f t="shared" si="410"/>
        <v>0</v>
      </c>
      <c r="AL277" s="7">
        <f t="shared" si="410"/>
        <v>0</v>
      </c>
      <c r="AM277" s="7">
        <f t="shared" si="410"/>
        <v>0</v>
      </c>
      <c r="AN277" s="7"/>
    </row>
    <row r="278" spans="1:40">
      <c r="A278" s="117" t="s">
        <v>146</v>
      </c>
      <c r="D278" t="s">
        <v>146</v>
      </c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>
        <v>0</v>
      </c>
      <c r="W278" s="80">
        <v>0</v>
      </c>
      <c r="X278" s="80">
        <v>0</v>
      </c>
      <c r="Y278" s="80">
        <v>0</v>
      </c>
      <c r="Z278" s="80">
        <v>0</v>
      </c>
      <c r="AA278" s="80">
        <v>0</v>
      </c>
      <c r="AB278" s="75">
        <f>+AA278</f>
        <v>0</v>
      </c>
      <c r="AC278" s="75">
        <f t="shared" ref="AC278:AM278" si="411">+AB278</f>
        <v>0</v>
      </c>
      <c r="AD278" s="75">
        <f t="shared" si="411"/>
        <v>0</v>
      </c>
      <c r="AE278" s="75">
        <f t="shared" si="411"/>
        <v>0</v>
      </c>
      <c r="AF278" s="75">
        <f t="shared" si="411"/>
        <v>0</v>
      </c>
      <c r="AG278" s="75">
        <f t="shared" si="411"/>
        <v>0</v>
      </c>
      <c r="AH278" s="75">
        <f t="shared" si="411"/>
        <v>0</v>
      </c>
      <c r="AI278" s="75">
        <f t="shared" si="411"/>
        <v>0</v>
      </c>
      <c r="AJ278" s="75">
        <f t="shared" si="411"/>
        <v>0</v>
      </c>
      <c r="AK278" s="75">
        <f t="shared" si="411"/>
        <v>0</v>
      </c>
      <c r="AL278" s="75">
        <f t="shared" si="411"/>
        <v>0</v>
      </c>
      <c r="AM278" s="75">
        <f t="shared" si="411"/>
        <v>0</v>
      </c>
      <c r="AN278" s="7"/>
    </row>
    <row r="279" spans="1:40">
      <c r="A279" s="117"/>
      <c r="D279" t="s">
        <v>126</v>
      </c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>
        <v>0</v>
      </c>
      <c r="W279" s="80">
        <v>0</v>
      </c>
      <c r="X279" s="80">
        <v>0</v>
      </c>
      <c r="Y279" s="80">
        <v>0</v>
      </c>
      <c r="Z279" s="80">
        <v>0</v>
      </c>
      <c r="AA279" s="80">
        <v>0</v>
      </c>
      <c r="AB279" s="7">
        <f>+AA279</f>
        <v>0</v>
      </c>
      <c r="AC279" s="7">
        <f t="shared" ref="AC279:AM279" si="412">+AB279</f>
        <v>0</v>
      </c>
      <c r="AD279" s="7">
        <f t="shared" si="412"/>
        <v>0</v>
      </c>
      <c r="AE279" s="7">
        <f t="shared" si="412"/>
        <v>0</v>
      </c>
      <c r="AF279" s="7">
        <f t="shared" si="412"/>
        <v>0</v>
      </c>
      <c r="AG279" s="7">
        <f t="shared" si="412"/>
        <v>0</v>
      </c>
      <c r="AH279" s="7">
        <f t="shared" si="412"/>
        <v>0</v>
      </c>
      <c r="AI279" s="7">
        <f t="shared" si="412"/>
        <v>0</v>
      </c>
      <c r="AJ279" s="7">
        <f t="shared" si="412"/>
        <v>0</v>
      </c>
      <c r="AK279" s="7">
        <f t="shared" si="412"/>
        <v>0</v>
      </c>
      <c r="AL279" s="7">
        <f t="shared" si="412"/>
        <v>0</v>
      </c>
      <c r="AM279" s="7">
        <f t="shared" si="412"/>
        <v>0</v>
      </c>
      <c r="AN279" s="7"/>
    </row>
    <row r="280" spans="1:40">
      <c r="D280" t="s">
        <v>280</v>
      </c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>
        <v>0</v>
      </c>
      <c r="W280" s="80">
        <v>0</v>
      </c>
      <c r="X280" s="80">
        <v>0</v>
      </c>
      <c r="Y280" s="80">
        <v>0</v>
      </c>
      <c r="Z280" s="80">
        <v>123.42</v>
      </c>
      <c r="AA280" s="80">
        <v>155.464</v>
      </c>
      <c r="AB280" s="75">
        <f>AB465</f>
        <v>175.02258315621731</v>
      </c>
      <c r="AC280" s="75">
        <f t="shared" ref="AC280:AM280" si="413">AC465</f>
        <v>197.41137872669543</v>
      </c>
      <c r="AD280" s="75">
        <f t="shared" ca="1" si="413"/>
        <v>217.21325761361757</v>
      </c>
      <c r="AE280" s="75">
        <f t="shared" ca="1" si="413"/>
        <v>232.12849705338502</v>
      </c>
      <c r="AF280" s="75">
        <f t="shared" ca="1" si="413"/>
        <v>238.36252304675176</v>
      </c>
      <c r="AG280" s="75">
        <f t="shared" ca="1" si="413"/>
        <v>241.60063689808268</v>
      </c>
      <c r="AH280" s="75">
        <f t="shared" ca="1" si="413"/>
        <v>237.03450467308963</v>
      </c>
      <c r="AI280" s="75">
        <f t="shared" ca="1" si="413"/>
        <v>225.61242798748097</v>
      </c>
      <c r="AJ280" s="75">
        <f t="shared" ca="1" si="413"/>
        <v>207.28252772562064</v>
      </c>
      <c r="AK280" s="75">
        <f t="shared" ca="1" si="413"/>
        <v>221.84543445624058</v>
      </c>
      <c r="AL280" s="75">
        <f t="shared" ca="1" si="413"/>
        <v>233.64597234256394</v>
      </c>
      <c r="AM280" s="75">
        <f t="shared" ca="1" si="413"/>
        <v>246.06991474968584</v>
      </c>
      <c r="AN280" s="7"/>
    </row>
    <row r="281" spans="1:40">
      <c r="D281" t="s">
        <v>128</v>
      </c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>
        <v>0</v>
      </c>
      <c r="W281" s="80">
        <v>0</v>
      </c>
      <c r="X281" s="80">
        <v>2.738</v>
      </c>
      <c r="Y281" s="80">
        <v>13.098000000000001</v>
      </c>
      <c r="Z281" s="80">
        <v>14.85</v>
      </c>
      <c r="AA281" s="80">
        <v>31.757999999999999</v>
      </c>
      <c r="AB281" s="75">
        <f>+AA281</f>
        <v>31.757999999999999</v>
      </c>
      <c r="AC281" s="75">
        <f t="shared" ref="AC281:AM281" si="414">+AB281</f>
        <v>31.757999999999999</v>
      </c>
      <c r="AD281" s="75">
        <f t="shared" si="414"/>
        <v>31.757999999999999</v>
      </c>
      <c r="AE281" s="75">
        <f t="shared" si="414"/>
        <v>31.757999999999999</v>
      </c>
      <c r="AF281" s="75">
        <f t="shared" si="414"/>
        <v>31.757999999999999</v>
      </c>
      <c r="AG281" s="75">
        <f t="shared" si="414"/>
        <v>31.757999999999999</v>
      </c>
      <c r="AH281" s="75">
        <f t="shared" si="414"/>
        <v>31.757999999999999</v>
      </c>
      <c r="AI281" s="75">
        <f t="shared" si="414"/>
        <v>31.757999999999999</v>
      </c>
      <c r="AJ281" s="75">
        <f t="shared" si="414"/>
        <v>31.757999999999999</v>
      </c>
      <c r="AK281" s="75">
        <f t="shared" si="414"/>
        <v>31.757999999999999</v>
      </c>
      <c r="AL281" s="75">
        <f t="shared" si="414"/>
        <v>31.757999999999999</v>
      </c>
      <c r="AM281" s="75">
        <f t="shared" si="414"/>
        <v>31.757999999999999</v>
      </c>
      <c r="AN281" s="7"/>
    </row>
    <row r="282" spans="1:40" s="3" customFormat="1">
      <c r="A282" s="117" t="s">
        <v>197</v>
      </c>
      <c r="B282" s="155"/>
      <c r="D282" s="2" t="s">
        <v>151</v>
      </c>
      <c r="E282" s="2"/>
      <c r="F282" s="2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>
        <f t="shared" ref="V282:AA282" si="415">SUM(V274:V281)</f>
        <v>136.012</v>
      </c>
      <c r="W282" s="8">
        <f t="shared" si="415"/>
        <v>335.83299999999997</v>
      </c>
      <c r="X282" s="8">
        <f t="shared" si="415"/>
        <v>641.13700000000006</v>
      </c>
      <c r="Y282" s="8">
        <f t="shared" si="415"/>
        <v>991.01299999999992</v>
      </c>
      <c r="Z282" s="8">
        <f t="shared" si="415"/>
        <v>2057.748</v>
      </c>
      <c r="AA282" s="8">
        <f t="shared" si="415"/>
        <v>3034.5309999999995</v>
      </c>
      <c r="AB282" s="8">
        <f t="shared" ref="AB282" ca="1" si="416">SUM(AB274:AB281)</f>
        <v>4122.4450494709681</v>
      </c>
      <c r="AC282" s="8">
        <f t="shared" ref="AC282:AK282" ca="1" si="417">SUM(AC274:AC281)</f>
        <v>5159.9152818965322</v>
      </c>
      <c r="AD282" s="8">
        <f t="shared" ca="1" si="417"/>
        <v>6086.8198148129786</v>
      </c>
      <c r="AE282" s="8">
        <f t="shared" ca="1" si="417"/>
        <v>7203.3641168076965</v>
      </c>
      <c r="AF282" s="8">
        <f t="shared" ca="1" si="417"/>
        <v>8229.9742515528305</v>
      </c>
      <c r="AG282" s="8">
        <f t="shared" ca="1" si="417"/>
        <v>9399.2864267298537</v>
      </c>
      <c r="AH282" s="8">
        <f t="shared" ca="1" si="417"/>
        <v>11783.205450792166</v>
      </c>
      <c r="AI282" s="8">
        <f t="shared" ca="1" si="417"/>
        <v>14391.85748229962</v>
      </c>
      <c r="AJ282" s="8">
        <f t="shared" ca="1" si="417"/>
        <v>17305.125792562059</v>
      </c>
      <c r="AK282" s="8">
        <f t="shared" ca="1" si="417"/>
        <v>21423.278980830437</v>
      </c>
      <c r="AL282" s="8">
        <f t="shared" ref="AL282:AM282" ca="1" si="418">SUM(AL274:AL281)</f>
        <v>25024.695325997818</v>
      </c>
      <c r="AM282" s="8">
        <f t="shared" ca="1" si="418"/>
        <v>28862.196948875739</v>
      </c>
      <c r="AN282" s="64"/>
    </row>
    <row r="283" spans="1:40"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56"/>
      <c r="V283" s="56"/>
      <c r="W283" s="7"/>
      <c r="X283" s="7"/>
      <c r="Y283" s="68"/>
      <c r="Z283" s="68"/>
      <c r="AA283" s="68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</row>
    <row r="284" spans="1:40">
      <c r="A284" s="117" t="s">
        <v>198</v>
      </c>
      <c r="D284" t="s">
        <v>152</v>
      </c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>
        <v>42.302</v>
      </c>
      <c r="W284" s="80">
        <f>165.313+1.057</f>
        <v>166.36999999999998</v>
      </c>
      <c r="X284" s="80">
        <f>248.792+5.131</f>
        <v>253.923</v>
      </c>
      <c r="Y284" s="80">
        <f>11.133+196.963</f>
        <v>208.096</v>
      </c>
      <c r="Z284" s="80">
        <f>568.84+48.731</f>
        <v>617.57100000000003</v>
      </c>
      <c r="AA284" s="80">
        <f>39.82+65.497</f>
        <v>105.31700000000001</v>
      </c>
      <c r="AB284" s="75">
        <f>AA284</f>
        <v>105.31700000000001</v>
      </c>
      <c r="AC284" s="75">
        <f t="shared" ref="AC284:AM284" si="419">AB284</f>
        <v>105.31700000000001</v>
      </c>
      <c r="AD284" s="75">
        <f t="shared" si="419"/>
        <v>105.31700000000001</v>
      </c>
      <c r="AE284" s="75">
        <f t="shared" si="419"/>
        <v>105.31700000000001</v>
      </c>
      <c r="AF284" s="75">
        <f t="shared" si="419"/>
        <v>105.31700000000001</v>
      </c>
      <c r="AG284" s="75">
        <f t="shared" si="419"/>
        <v>105.31700000000001</v>
      </c>
      <c r="AH284" s="75">
        <f t="shared" si="419"/>
        <v>105.31700000000001</v>
      </c>
      <c r="AI284" s="75">
        <f t="shared" si="419"/>
        <v>105.31700000000001</v>
      </c>
      <c r="AJ284" s="75">
        <f t="shared" si="419"/>
        <v>105.31700000000001</v>
      </c>
      <c r="AK284" s="75">
        <f t="shared" si="419"/>
        <v>105.31700000000001</v>
      </c>
      <c r="AL284" s="75">
        <f t="shared" si="419"/>
        <v>105.31700000000001</v>
      </c>
      <c r="AM284" s="75">
        <f t="shared" si="419"/>
        <v>105.31700000000001</v>
      </c>
      <c r="AN284" s="7"/>
    </row>
    <row r="285" spans="1:40">
      <c r="D285" t="s">
        <v>153</v>
      </c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>
        <f>21.436+7.07</f>
        <v>28.506</v>
      </c>
      <c r="W285" s="80">
        <f>28.164+1.884</f>
        <v>30.048000000000002</v>
      </c>
      <c r="X285" s="80">
        <f>50.306+1.802</f>
        <v>52.107999999999997</v>
      </c>
      <c r="Y285" s="80">
        <v>121.41500000000001</v>
      </c>
      <c r="Z285" s="80">
        <v>234.44300000000001</v>
      </c>
      <c r="AA285" s="80">
        <v>342.31400000000002</v>
      </c>
      <c r="AB285" s="75">
        <f>+AA285</f>
        <v>342.31400000000002</v>
      </c>
      <c r="AC285" s="75">
        <f t="shared" ref="AC285:AM285" si="420">+AB285</f>
        <v>342.31400000000002</v>
      </c>
      <c r="AD285" s="75">
        <f t="shared" si="420"/>
        <v>342.31400000000002</v>
      </c>
      <c r="AE285" s="75">
        <f t="shared" si="420"/>
        <v>342.31400000000002</v>
      </c>
      <c r="AF285" s="75">
        <f t="shared" si="420"/>
        <v>342.31400000000002</v>
      </c>
      <c r="AG285" s="75">
        <f t="shared" si="420"/>
        <v>342.31400000000002</v>
      </c>
      <c r="AH285" s="75">
        <f t="shared" si="420"/>
        <v>342.31400000000002</v>
      </c>
      <c r="AI285" s="75">
        <f t="shared" si="420"/>
        <v>342.31400000000002</v>
      </c>
      <c r="AJ285" s="75">
        <f t="shared" si="420"/>
        <v>342.31400000000002</v>
      </c>
      <c r="AK285" s="75">
        <f t="shared" si="420"/>
        <v>342.31400000000002</v>
      </c>
      <c r="AL285" s="75">
        <f t="shared" si="420"/>
        <v>342.31400000000002</v>
      </c>
      <c r="AM285" s="75">
        <f t="shared" si="420"/>
        <v>342.31400000000002</v>
      </c>
      <c r="AN285" s="7"/>
    </row>
    <row r="286" spans="1:40">
      <c r="D286" t="s">
        <v>154</v>
      </c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>
        <v>0</v>
      </c>
      <c r="W286" s="80">
        <v>0</v>
      </c>
      <c r="X286" s="80">
        <v>0</v>
      </c>
      <c r="Y286" s="80">
        <v>0</v>
      </c>
      <c r="Z286" s="80">
        <v>0</v>
      </c>
      <c r="AA286" s="80">
        <v>0</v>
      </c>
      <c r="AB286" s="75">
        <f>+AA286</f>
        <v>0</v>
      </c>
      <c r="AC286" s="75">
        <f t="shared" ref="AC286:AM286" si="421">+AB286</f>
        <v>0</v>
      </c>
      <c r="AD286" s="75">
        <f t="shared" si="421"/>
        <v>0</v>
      </c>
      <c r="AE286" s="75">
        <f t="shared" si="421"/>
        <v>0</v>
      </c>
      <c r="AF286" s="75">
        <f t="shared" si="421"/>
        <v>0</v>
      </c>
      <c r="AG286" s="75">
        <f t="shared" si="421"/>
        <v>0</v>
      </c>
      <c r="AH286" s="75">
        <f t="shared" si="421"/>
        <v>0</v>
      </c>
      <c r="AI286" s="75">
        <f t="shared" si="421"/>
        <v>0</v>
      </c>
      <c r="AJ286" s="75">
        <f t="shared" si="421"/>
        <v>0</v>
      </c>
      <c r="AK286" s="75">
        <f t="shared" si="421"/>
        <v>0</v>
      </c>
      <c r="AL286" s="75">
        <f t="shared" si="421"/>
        <v>0</v>
      </c>
      <c r="AM286" s="75">
        <f t="shared" si="421"/>
        <v>0</v>
      </c>
      <c r="AN286" s="7"/>
    </row>
    <row r="287" spans="1:40">
      <c r="D287" t="s">
        <v>221</v>
      </c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>
        <v>0</v>
      </c>
      <c r="W287" s="80">
        <v>0</v>
      </c>
      <c r="X287" s="80">
        <v>0</v>
      </c>
      <c r="Y287" s="80">
        <v>0</v>
      </c>
      <c r="Z287" s="80">
        <v>0</v>
      </c>
      <c r="AA287" s="80">
        <v>0</v>
      </c>
      <c r="AB287" s="75">
        <f>+AA287</f>
        <v>0</v>
      </c>
      <c r="AC287" s="75">
        <f t="shared" ref="AC287:AM287" si="422">+AB287</f>
        <v>0</v>
      </c>
      <c r="AD287" s="75">
        <f t="shared" si="422"/>
        <v>0</v>
      </c>
      <c r="AE287" s="75">
        <f t="shared" si="422"/>
        <v>0</v>
      </c>
      <c r="AF287" s="75">
        <f t="shared" si="422"/>
        <v>0</v>
      </c>
      <c r="AG287" s="75">
        <f t="shared" si="422"/>
        <v>0</v>
      </c>
      <c r="AH287" s="75">
        <f t="shared" si="422"/>
        <v>0</v>
      </c>
      <c r="AI287" s="75">
        <f t="shared" si="422"/>
        <v>0</v>
      </c>
      <c r="AJ287" s="75">
        <f t="shared" si="422"/>
        <v>0</v>
      </c>
      <c r="AK287" s="75">
        <f t="shared" si="422"/>
        <v>0</v>
      </c>
      <c r="AL287" s="75">
        <f t="shared" si="422"/>
        <v>0</v>
      </c>
      <c r="AM287" s="75">
        <f t="shared" si="422"/>
        <v>0</v>
      </c>
      <c r="AN287" s="7"/>
    </row>
    <row r="288" spans="1:40">
      <c r="D288" t="s">
        <v>280</v>
      </c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>
        <v>0</v>
      </c>
      <c r="W288" s="80">
        <v>0</v>
      </c>
      <c r="X288" s="80">
        <v>0</v>
      </c>
      <c r="Y288" s="80">
        <v>0</v>
      </c>
      <c r="Z288" s="80">
        <v>12.856</v>
      </c>
      <c r="AA288" s="80">
        <v>19.506</v>
      </c>
      <c r="AB288" s="75">
        <f>+AA288</f>
        <v>19.506</v>
      </c>
      <c r="AC288" s="75">
        <f t="shared" ref="AC288:AM288" si="423">+AB288</f>
        <v>19.506</v>
      </c>
      <c r="AD288" s="75">
        <f t="shared" si="423"/>
        <v>19.506</v>
      </c>
      <c r="AE288" s="75">
        <f t="shared" si="423"/>
        <v>19.506</v>
      </c>
      <c r="AF288" s="75">
        <f t="shared" si="423"/>
        <v>19.506</v>
      </c>
      <c r="AG288" s="75">
        <f t="shared" si="423"/>
        <v>19.506</v>
      </c>
      <c r="AH288" s="75">
        <f t="shared" si="423"/>
        <v>19.506</v>
      </c>
      <c r="AI288" s="75">
        <f t="shared" si="423"/>
        <v>19.506</v>
      </c>
      <c r="AJ288" s="75">
        <f t="shared" si="423"/>
        <v>19.506</v>
      </c>
      <c r="AK288" s="75">
        <f t="shared" si="423"/>
        <v>19.506</v>
      </c>
      <c r="AL288" s="75">
        <f t="shared" si="423"/>
        <v>19.506</v>
      </c>
      <c r="AM288" s="75">
        <f t="shared" si="423"/>
        <v>19.506</v>
      </c>
      <c r="AN288" s="7"/>
    </row>
    <row r="289" spans="1:42" s="3" customFormat="1">
      <c r="A289" s="117" t="s">
        <v>199</v>
      </c>
      <c r="B289" s="155"/>
      <c r="D289" s="2" t="s">
        <v>155</v>
      </c>
      <c r="E289" s="2"/>
      <c r="F289" s="2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>
        <f t="shared" ref="V289:Z289" si="424">SUM(V284:V288)</f>
        <v>70.807999999999993</v>
      </c>
      <c r="W289" s="8">
        <f t="shared" si="424"/>
        <v>196.41799999999998</v>
      </c>
      <c r="X289" s="8">
        <f t="shared" si="424"/>
        <v>306.03100000000001</v>
      </c>
      <c r="Y289" s="8">
        <f t="shared" si="424"/>
        <v>329.51100000000002</v>
      </c>
      <c r="Z289" s="8">
        <f t="shared" si="424"/>
        <v>864.87</v>
      </c>
      <c r="AA289" s="8">
        <f>SUM(AA284:AA288)</f>
        <v>467.13700000000006</v>
      </c>
      <c r="AB289" s="8">
        <f t="shared" ref="AB289" si="425">SUM(AB284:AB288)</f>
        <v>467.13700000000006</v>
      </c>
      <c r="AC289" s="8">
        <f t="shared" ref="AC289:AK289" si="426">SUM(AC284:AC288)</f>
        <v>467.13700000000006</v>
      </c>
      <c r="AD289" s="8">
        <f t="shared" si="426"/>
        <v>467.13700000000006</v>
      </c>
      <c r="AE289" s="8">
        <f t="shared" si="426"/>
        <v>467.13700000000006</v>
      </c>
      <c r="AF289" s="8">
        <f t="shared" si="426"/>
        <v>467.13700000000006</v>
      </c>
      <c r="AG289" s="8">
        <f t="shared" si="426"/>
        <v>467.13700000000006</v>
      </c>
      <c r="AH289" s="8">
        <f t="shared" si="426"/>
        <v>467.13700000000006</v>
      </c>
      <c r="AI289" s="8">
        <f t="shared" si="426"/>
        <v>467.13700000000006</v>
      </c>
      <c r="AJ289" s="8">
        <f t="shared" si="426"/>
        <v>467.13700000000006</v>
      </c>
      <c r="AK289" s="8">
        <f t="shared" si="426"/>
        <v>467.13700000000006</v>
      </c>
      <c r="AL289" s="8">
        <f t="shared" ref="AL289:AM289" si="427">SUM(AL284:AL288)</f>
        <v>467.13700000000006</v>
      </c>
      <c r="AM289" s="8">
        <f t="shared" si="427"/>
        <v>467.13700000000006</v>
      </c>
      <c r="AN289" s="64"/>
    </row>
    <row r="290" spans="1:42">
      <c r="A290" s="117" t="s">
        <v>201</v>
      </c>
      <c r="D290" t="s">
        <v>156</v>
      </c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>
        <v>0</v>
      </c>
      <c r="W290" s="80">
        <v>4.4039999999999999</v>
      </c>
      <c r="X290" s="80">
        <v>48.469000000000001</v>
      </c>
      <c r="Y290" s="80">
        <v>425.34899999999999</v>
      </c>
      <c r="Z290" s="80">
        <v>883.06</v>
      </c>
      <c r="AA290" s="80">
        <v>1617.002</v>
      </c>
      <c r="AB290" s="92">
        <f t="shared" ref="AB290:AM290" si="428">AB354-AB284</f>
        <v>2741.808767605944</v>
      </c>
      <c r="AC290" s="92">
        <f t="shared" si="428"/>
        <v>3506.1476452352945</v>
      </c>
      <c r="AD290" s="92">
        <f t="shared" ca="1" si="428"/>
        <v>4119.3986228281947</v>
      </c>
      <c r="AE290" s="92">
        <f t="shared" ca="1" si="428"/>
        <v>4797.8368348719141</v>
      </c>
      <c r="AF290" s="92">
        <f t="shared" ca="1" si="428"/>
        <v>5557.0699548322036</v>
      </c>
      <c r="AG290" s="92">
        <f t="shared" ca="1" si="428"/>
        <v>6151.1573834374194</v>
      </c>
      <c r="AH290" s="92">
        <f t="shared" ca="1" si="428"/>
        <v>7586.3931008122136</v>
      </c>
      <c r="AI290" s="92">
        <f t="shared" ca="1" si="428"/>
        <v>8831.5961531841058</v>
      </c>
      <c r="AJ290" s="92">
        <f t="shared" ca="1" si="428"/>
        <v>9886.960070246434</v>
      </c>
      <c r="AK290" s="92">
        <f t="shared" ca="1" si="428"/>
        <v>11530.739420641457</v>
      </c>
      <c r="AL290" s="92">
        <f t="shared" ca="1" si="428"/>
        <v>12458.430827248034</v>
      </c>
      <c r="AM290" s="92">
        <f t="shared" ca="1" si="428"/>
        <v>13388.296746551787</v>
      </c>
      <c r="AN290" s="7"/>
    </row>
    <row r="291" spans="1:42">
      <c r="A291" s="117" t="s">
        <v>203</v>
      </c>
      <c r="D291" t="s">
        <v>202</v>
      </c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>
        <v>0</v>
      </c>
      <c r="W291" s="80">
        <v>0</v>
      </c>
      <c r="X291" s="80">
        <v>0</v>
      </c>
      <c r="Y291" s="80">
        <v>0</v>
      </c>
      <c r="Z291" s="80">
        <v>0</v>
      </c>
      <c r="AA291" s="80">
        <v>0</v>
      </c>
      <c r="AB291" s="75">
        <f>+AA291+AB254</f>
        <v>0</v>
      </c>
      <c r="AC291" s="75">
        <f t="shared" ref="AC291:AM291" si="429">+AB291+AC254</f>
        <v>0</v>
      </c>
      <c r="AD291" s="75">
        <f t="shared" si="429"/>
        <v>0</v>
      </c>
      <c r="AE291" s="75">
        <f t="shared" si="429"/>
        <v>0</v>
      </c>
      <c r="AF291" s="75">
        <f t="shared" si="429"/>
        <v>0</v>
      </c>
      <c r="AG291" s="75">
        <f t="shared" si="429"/>
        <v>0</v>
      </c>
      <c r="AH291" s="75">
        <f t="shared" si="429"/>
        <v>0</v>
      </c>
      <c r="AI291" s="75">
        <f t="shared" si="429"/>
        <v>0</v>
      </c>
      <c r="AJ291" s="75">
        <f t="shared" si="429"/>
        <v>0</v>
      </c>
      <c r="AK291" s="75">
        <f t="shared" si="429"/>
        <v>0</v>
      </c>
      <c r="AL291" s="75">
        <f t="shared" si="429"/>
        <v>0</v>
      </c>
      <c r="AM291" s="75">
        <f t="shared" si="429"/>
        <v>0</v>
      </c>
      <c r="AN291" s="7"/>
    </row>
    <row r="292" spans="1:42">
      <c r="D292" t="s">
        <v>126</v>
      </c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>
        <v>0</v>
      </c>
      <c r="W292" s="80">
        <v>0</v>
      </c>
      <c r="X292" s="80">
        <v>0</v>
      </c>
      <c r="Y292" s="80">
        <v>0</v>
      </c>
      <c r="Z292" s="80">
        <v>0</v>
      </c>
      <c r="AA292" s="80">
        <v>0</v>
      </c>
      <c r="AB292" s="7">
        <f t="shared" ref="AB292:AM292" ca="1" si="430">+AA292-AB221</f>
        <v>0</v>
      </c>
      <c r="AC292" s="7">
        <f t="shared" ca="1" si="430"/>
        <v>0</v>
      </c>
      <c r="AD292" s="7">
        <f t="shared" ca="1" si="430"/>
        <v>0</v>
      </c>
      <c r="AE292" s="7">
        <f t="shared" ca="1" si="430"/>
        <v>0</v>
      </c>
      <c r="AF292" s="7">
        <f t="shared" ca="1" si="430"/>
        <v>0</v>
      </c>
      <c r="AG292" s="7">
        <f t="shared" ca="1" si="430"/>
        <v>0</v>
      </c>
      <c r="AH292" s="7">
        <f t="shared" ca="1" si="430"/>
        <v>0</v>
      </c>
      <c r="AI292" s="7">
        <f t="shared" ca="1" si="430"/>
        <v>0</v>
      </c>
      <c r="AJ292" s="7">
        <f t="shared" ca="1" si="430"/>
        <v>0</v>
      </c>
      <c r="AK292" s="7">
        <f t="shared" ca="1" si="430"/>
        <v>0</v>
      </c>
      <c r="AL292" s="7">
        <f t="shared" ca="1" si="430"/>
        <v>0</v>
      </c>
      <c r="AM292" s="7">
        <f t="shared" ca="1" si="430"/>
        <v>0</v>
      </c>
      <c r="AN292" s="7"/>
    </row>
    <row r="293" spans="1:42">
      <c r="D293" t="s">
        <v>280</v>
      </c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>
        <v>0</v>
      </c>
      <c r="W293" s="80">
        <v>0</v>
      </c>
      <c r="X293" s="80">
        <v>0</v>
      </c>
      <c r="Y293" s="80">
        <v>0</v>
      </c>
      <c r="Z293" s="80">
        <v>116.071</v>
      </c>
      <c r="AA293" s="80">
        <v>147.47800000000001</v>
      </c>
      <c r="AB293" s="7">
        <f>+AB280-AA280+AA293</f>
        <v>167.03658315621732</v>
      </c>
      <c r="AC293" s="7">
        <f t="shared" ref="AC293:AM293" si="431">+AC280-AB280+AB293</f>
        <v>189.42537872669544</v>
      </c>
      <c r="AD293" s="7">
        <f t="shared" ca="1" si="431"/>
        <v>209.22725761361758</v>
      </c>
      <c r="AE293" s="7">
        <f t="shared" ca="1" si="431"/>
        <v>224.14249705338503</v>
      </c>
      <c r="AF293" s="7">
        <f t="shared" ca="1" si="431"/>
        <v>230.37652304675177</v>
      </c>
      <c r="AG293" s="7">
        <f t="shared" ca="1" si="431"/>
        <v>233.61463689808269</v>
      </c>
      <c r="AH293" s="7">
        <f t="shared" ca="1" si="431"/>
        <v>229.04850467308964</v>
      </c>
      <c r="AI293" s="7">
        <f t="shared" ca="1" si="431"/>
        <v>217.62642798748098</v>
      </c>
      <c r="AJ293" s="7">
        <f t="shared" ca="1" si="431"/>
        <v>199.29652772562065</v>
      </c>
      <c r="AK293" s="7">
        <f t="shared" ca="1" si="431"/>
        <v>213.85943445624059</v>
      </c>
      <c r="AL293" s="7">
        <f t="shared" ca="1" si="431"/>
        <v>225.65997234256395</v>
      </c>
      <c r="AM293" s="7">
        <f t="shared" ca="1" si="431"/>
        <v>238.08391474968585</v>
      </c>
      <c r="AN293" s="7"/>
    </row>
    <row r="294" spans="1:42">
      <c r="D294" t="s">
        <v>128</v>
      </c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>
        <v>0</v>
      </c>
      <c r="W294" s="80">
        <v>0</v>
      </c>
      <c r="X294" s="80">
        <v>7.093</v>
      </c>
      <c r="Y294" s="80">
        <v>8.7249999999999996</v>
      </c>
      <c r="Z294" s="80">
        <v>1.8080000000000001</v>
      </c>
      <c r="AA294" s="80">
        <v>1.411</v>
      </c>
      <c r="AB294" s="75">
        <f>+AA294</f>
        <v>1.411</v>
      </c>
      <c r="AC294" s="75">
        <f t="shared" ref="AC294:AM294" si="432">+AB294</f>
        <v>1.411</v>
      </c>
      <c r="AD294" s="75">
        <f t="shared" si="432"/>
        <v>1.411</v>
      </c>
      <c r="AE294" s="75">
        <f t="shared" si="432"/>
        <v>1.411</v>
      </c>
      <c r="AF294" s="75">
        <f t="shared" si="432"/>
        <v>1.411</v>
      </c>
      <c r="AG294" s="75">
        <f t="shared" si="432"/>
        <v>1.411</v>
      </c>
      <c r="AH294" s="75">
        <f t="shared" si="432"/>
        <v>1.411</v>
      </c>
      <c r="AI294" s="75">
        <f t="shared" si="432"/>
        <v>1.411</v>
      </c>
      <c r="AJ294" s="75">
        <f t="shared" si="432"/>
        <v>1.411</v>
      </c>
      <c r="AK294" s="75">
        <f t="shared" si="432"/>
        <v>1.411</v>
      </c>
      <c r="AL294" s="75">
        <f t="shared" si="432"/>
        <v>1.411</v>
      </c>
      <c r="AM294" s="75">
        <f t="shared" si="432"/>
        <v>1.411</v>
      </c>
      <c r="AN294" s="7"/>
    </row>
    <row r="295" spans="1:42" s="3" customFormat="1">
      <c r="A295" s="117" t="s">
        <v>200</v>
      </c>
      <c r="B295" s="155"/>
      <c r="D295" s="2" t="s">
        <v>157</v>
      </c>
      <c r="E295" s="2"/>
      <c r="F295" s="2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>
        <f t="shared" ref="V295:Y295" si="433">SUM(V289:V294)</f>
        <v>70.807999999999993</v>
      </c>
      <c r="W295" s="8">
        <f t="shared" si="433"/>
        <v>200.82199999999997</v>
      </c>
      <c r="X295" s="8">
        <f t="shared" si="433"/>
        <v>361.59300000000002</v>
      </c>
      <c r="Y295" s="8">
        <f t="shared" si="433"/>
        <v>763.58500000000004</v>
      </c>
      <c r="Z295" s="8">
        <f>SUM(Z289:Z294)</f>
        <v>1865.8089999999997</v>
      </c>
      <c r="AA295" s="8">
        <f>SUM(AA289:AA294)</f>
        <v>2233.0280000000002</v>
      </c>
      <c r="AB295" s="8">
        <f t="shared" ref="AB295" ca="1" si="434">SUM(AB289:AB294)</f>
        <v>3377.3933507621614</v>
      </c>
      <c r="AC295" s="8">
        <f t="shared" ref="AC295:AK295" ca="1" si="435">SUM(AC289:AC294)</f>
        <v>4164.1210239619904</v>
      </c>
      <c r="AD295" s="8">
        <f t="shared" ca="1" si="435"/>
        <v>4797.1738804418119</v>
      </c>
      <c r="AE295" s="8">
        <f t="shared" ca="1" si="435"/>
        <v>5490.5273319252992</v>
      </c>
      <c r="AF295" s="8">
        <f t="shared" ca="1" si="435"/>
        <v>6255.994477878955</v>
      </c>
      <c r="AG295" s="8">
        <f t="shared" ca="1" si="435"/>
        <v>6853.3200203355018</v>
      </c>
      <c r="AH295" s="8">
        <f t="shared" ca="1" si="435"/>
        <v>8283.9896054853034</v>
      </c>
      <c r="AI295" s="8">
        <f t="shared" ca="1" si="435"/>
        <v>9517.7705811715878</v>
      </c>
      <c r="AJ295" s="8">
        <f t="shared" ca="1" si="435"/>
        <v>10554.804597972055</v>
      </c>
      <c r="AK295" s="8">
        <f t="shared" ca="1" si="435"/>
        <v>12213.146855097699</v>
      </c>
      <c r="AL295" s="8">
        <f t="shared" ref="AL295:AM295" ca="1" si="436">SUM(AL289:AL294)</f>
        <v>13152.638799590599</v>
      </c>
      <c r="AM295" s="8">
        <f t="shared" ca="1" si="436"/>
        <v>14094.928661301474</v>
      </c>
      <c r="AN295" s="64"/>
    </row>
    <row r="296" spans="1:42">
      <c r="A296" s="117" t="s">
        <v>204</v>
      </c>
      <c r="D296" t="s">
        <v>158</v>
      </c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60"/>
      <c r="S296" s="80"/>
      <c r="T296" s="80"/>
      <c r="U296" s="80"/>
      <c r="V296" s="80">
        <v>0</v>
      </c>
      <c r="W296" s="80">
        <v>0</v>
      </c>
      <c r="X296" s="80">
        <f>97.127+0.018+0.115+41.375</f>
        <v>138.63499999999999</v>
      </c>
      <c r="Y296" s="80">
        <f>0.041+0.104+147.916</f>
        <v>148.06100000000001</v>
      </c>
      <c r="Z296" s="80">
        <f>0.051+0.101+280.994</f>
        <v>281.14600000000002</v>
      </c>
      <c r="AA296" s="80">
        <f>0.077+0.096+741.601</f>
        <v>741.774</v>
      </c>
      <c r="AB296" s="7">
        <f t="shared" ref="AB296:AM296" si="437">+AA296+AB256*AB334</f>
        <v>937.41477933846852</v>
      </c>
      <c r="AC296" s="7">
        <f t="shared" ca="1" si="437"/>
        <v>1259.7654047934418</v>
      </c>
      <c r="AD296" s="7">
        <f t="shared" ca="1" si="437"/>
        <v>1549.4266384912585</v>
      </c>
      <c r="AE296" s="7">
        <f t="shared" ca="1" si="437"/>
        <v>1795.9794892381342</v>
      </c>
      <c r="AF296" s="7">
        <f t="shared" ca="1" si="437"/>
        <v>1795.9794892381342</v>
      </c>
      <c r="AG296" s="7">
        <f t="shared" ca="1" si="437"/>
        <v>1795.9794892381342</v>
      </c>
      <c r="AH296" s="7">
        <f t="shared" ca="1" si="437"/>
        <v>1795.9794892381342</v>
      </c>
      <c r="AI296" s="7">
        <f t="shared" ca="1" si="437"/>
        <v>1795.9794892381342</v>
      </c>
      <c r="AJ296" s="7">
        <f t="shared" ca="1" si="437"/>
        <v>1795.9794892381342</v>
      </c>
      <c r="AK296" s="7">
        <f t="shared" ca="1" si="437"/>
        <v>1795.9794892381342</v>
      </c>
      <c r="AL296" s="7">
        <f t="shared" ca="1" si="437"/>
        <v>1795.9794892381342</v>
      </c>
      <c r="AM296" s="7">
        <f t="shared" ca="1" si="437"/>
        <v>1795.9794892381342</v>
      </c>
      <c r="AN296" s="7"/>
    </row>
    <row r="297" spans="1:42">
      <c r="A297" s="117" t="s">
        <v>159</v>
      </c>
      <c r="D297" t="s">
        <v>159</v>
      </c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>
        <v>68.025000000000006</v>
      </c>
      <c r="W297" s="80">
        <v>250.97200000000001</v>
      </c>
      <c r="X297" s="80">
        <v>0</v>
      </c>
      <c r="Y297" s="80">
        <v>0</v>
      </c>
      <c r="Z297" s="80">
        <v>0</v>
      </c>
      <c r="AA297" s="80">
        <v>0</v>
      </c>
      <c r="AB297" s="75">
        <f>+AA297+AB255</f>
        <v>0</v>
      </c>
      <c r="AC297" s="75">
        <f t="shared" ref="AC297:AM297" si="438">+AB297+AC255</f>
        <v>0</v>
      </c>
      <c r="AD297" s="75">
        <f t="shared" si="438"/>
        <v>0</v>
      </c>
      <c r="AE297" s="75">
        <f t="shared" si="438"/>
        <v>0</v>
      </c>
      <c r="AF297" s="75">
        <f t="shared" si="438"/>
        <v>0</v>
      </c>
      <c r="AG297" s="75">
        <f t="shared" si="438"/>
        <v>0</v>
      </c>
      <c r="AH297" s="75">
        <f t="shared" si="438"/>
        <v>0</v>
      </c>
      <c r="AI297" s="75">
        <f t="shared" si="438"/>
        <v>0</v>
      </c>
      <c r="AJ297" s="75">
        <f t="shared" si="438"/>
        <v>0</v>
      </c>
      <c r="AK297" s="75">
        <f t="shared" si="438"/>
        <v>0</v>
      </c>
      <c r="AL297" s="75">
        <f t="shared" si="438"/>
        <v>0</v>
      </c>
      <c r="AM297" s="75">
        <f t="shared" si="438"/>
        <v>0</v>
      </c>
      <c r="AN297" s="7"/>
    </row>
    <row r="298" spans="1:42">
      <c r="A298" s="117" t="s">
        <v>160</v>
      </c>
      <c r="D298" t="s">
        <v>160</v>
      </c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>
        <v>-2.8210000000000002</v>
      </c>
      <c r="W298" s="80">
        <v>-115.961</v>
      </c>
      <c r="X298" s="80">
        <v>-12.898999999999999</v>
      </c>
      <c r="Y298" s="80">
        <v>-68.375</v>
      </c>
      <c r="Z298" s="80">
        <v>-183.03399999999999</v>
      </c>
      <c r="AA298" s="80">
        <v>-354.17399999999998</v>
      </c>
      <c r="AB298" s="92">
        <f t="shared" ref="AB298:AM298" ca="1" si="439">+AA298+AB227</f>
        <v>-577.42522078666821</v>
      </c>
      <c r="AC298" s="92">
        <f t="shared" ca="1" si="439"/>
        <v>-765.06414491731312</v>
      </c>
      <c r="AD298" s="92">
        <f t="shared" ca="1" si="439"/>
        <v>-884.49050037352163</v>
      </c>
      <c r="AE298" s="92">
        <f t="shared" ca="1" si="439"/>
        <v>-870.19607461155022</v>
      </c>
      <c r="AF298" s="92">
        <f t="shared" ca="1" si="439"/>
        <v>-701.21787437790363</v>
      </c>
      <c r="AG298" s="92">
        <f t="shared" ca="1" si="439"/>
        <v>-314.95196557447832</v>
      </c>
      <c r="AH298" s="92">
        <f t="shared" ca="1" si="439"/>
        <v>353.54410224316302</v>
      </c>
      <c r="AI298" s="92">
        <f t="shared" ca="1" si="439"/>
        <v>1350.5715213221456</v>
      </c>
      <c r="AJ298" s="92">
        <f t="shared" ca="1" si="439"/>
        <v>2752.4272675879993</v>
      </c>
      <c r="AK298" s="92">
        <f t="shared" ca="1" si="439"/>
        <v>4640.0649806879082</v>
      </c>
      <c r="AL298" s="92">
        <f t="shared" ca="1" si="439"/>
        <v>6732.3377527678886</v>
      </c>
      <c r="AM298" s="92">
        <f t="shared" ca="1" si="439"/>
        <v>9057.5404155518008</v>
      </c>
      <c r="AN298" s="7"/>
    </row>
    <row r="299" spans="1:42">
      <c r="A299" s="117" t="s">
        <v>118</v>
      </c>
      <c r="D299" t="s">
        <v>118</v>
      </c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>
        <v>0</v>
      </c>
      <c r="W299" s="80">
        <v>0</v>
      </c>
      <c r="X299" s="80">
        <v>153.80799999999999</v>
      </c>
      <c r="Y299" s="80">
        <v>147.74199999999999</v>
      </c>
      <c r="Z299" s="80">
        <v>93.826999999999998</v>
      </c>
      <c r="AA299" s="80">
        <v>413.90300000000002</v>
      </c>
      <c r="AB299" s="75">
        <f t="shared" ref="AB299:AM299" ca="1" si="440">+AA299+AB256*AB335-AB225</f>
        <v>385.06214015700584</v>
      </c>
      <c r="AC299" s="75">
        <f t="shared" ca="1" si="440"/>
        <v>501.09299805841454</v>
      </c>
      <c r="AD299" s="75">
        <f t="shared" ca="1" si="440"/>
        <v>624.70979625343011</v>
      </c>
      <c r="AE299" s="75">
        <f t="shared" ca="1" si="440"/>
        <v>787.05337025581377</v>
      </c>
      <c r="AF299" s="75">
        <f t="shared" ca="1" si="440"/>
        <v>879.218158813645</v>
      </c>
      <c r="AG299" s="75">
        <f t="shared" ca="1" si="440"/>
        <v>1064.9388827306952</v>
      </c>
      <c r="AH299" s="75">
        <f t="shared" ca="1" si="440"/>
        <v>1349.6922538255671</v>
      </c>
      <c r="AI299" s="75">
        <f t="shared" ca="1" si="440"/>
        <v>1727.5358905677549</v>
      </c>
      <c r="AJ299" s="75">
        <f t="shared" ca="1" si="440"/>
        <v>2201.9144377638722</v>
      </c>
      <c r="AK299" s="75">
        <f t="shared" ca="1" si="440"/>
        <v>2774.0876558066952</v>
      </c>
      <c r="AL299" s="75">
        <f t="shared" ca="1" si="440"/>
        <v>3343.7392844011979</v>
      </c>
      <c r="AM299" s="75">
        <f t="shared" ca="1" si="440"/>
        <v>3913.7483827843307</v>
      </c>
      <c r="AN299" s="7"/>
      <c r="AO299" s="7"/>
      <c r="AP299" s="7"/>
    </row>
    <row r="300" spans="1:42" s="3" customFormat="1">
      <c r="A300" s="117"/>
      <c r="B300" s="155"/>
      <c r="D300" s="2" t="s">
        <v>161</v>
      </c>
      <c r="E300" s="2"/>
      <c r="F300" s="2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>
        <f t="shared" ref="V300:Y300" si="441">SUM(V295:V299)</f>
        <v>136.012</v>
      </c>
      <c r="W300" s="8">
        <f t="shared" si="441"/>
        <v>335.83299999999997</v>
      </c>
      <c r="X300" s="8">
        <f t="shared" si="441"/>
        <v>641.13699999999994</v>
      </c>
      <c r="Y300" s="8">
        <f t="shared" si="441"/>
        <v>991.01300000000003</v>
      </c>
      <c r="Z300" s="8">
        <f>SUM(Z295:Z299)</f>
        <v>2057.7479999999996</v>
      </c>
      <c r="AA300" s="8">
        <f>SUM(AA295:AA299)</f>
        <v>3034.5309999999999</v>
      </c>
      <c r="AB300" s="8">
        <f t="shared" ref="AB300" ca="1" si="442">SUM(AB295:AB299)</f>
        <v>4122.4450494709672</v>
      </c>
      <c r="AC300" s="8">
        <f t="shared" ref="AC300:AK300" ca="1" si="443">SUM(AC295:AC299)</f>
        <v>5159.9152818965331</v>
      </c>
      <c r="AD300" s="8">
        <f t="shared" ca="1" si="443"/>
        <v>6086.8198148129777</v>
      </c>
      <c r="AE300" s="8">
        <f t="shared" ca="1" si="443"/>
        <v>7203.3641168076974</v>
      </c>
      <c r="AF300" s="8">
        <f t="shared" ca="1" si="443"/>
        <v>8229.9742515528305</v>
      </c>
      <c r="AG300" s="8">
        <f t="shared" ca="1" si="443"/>
        <v>9399.2864267298537</v>
      </c>
      <c r="AH300" s="8">
        <f t="shared" ca="1" si="443"/>
        <v>11783.205450792168</v>
      </c>
      <c r="AI300" s="8">
        <f t="shared" ca="1" si="443"/>
        <v>14391.857482299622</v>
      </c>
      <c r="AJ300" s="8">
        <f t="shared" ca="1" si="443"/>
        <v>17305.125792562063</v>
      </c>
      <c r="AK300" s="8">
        <f t="shared" ca="1" si="443"/>
        <v>21423.278980830437</v>
      </c>
      <c r="AL300" s="8">
        <f t="shared" ref="AL300:AM300" ca="1" si="444">SUM(AL295:AL299)</f>
        <v>25024.695325997822</v>
      </c>
      <c r="AM300" s="8">
        <f t="shared" ca="1" si="444"/>
        <v>28862.196948875739</v>
      </c>
      <c r="AN300" s="64"/>
    </row>
    <row r="301" spans="1:42" s="98" customFormat="1">
      <c r="A301" s="119"/>
      <c r="B301" s="157"/>
      <c r="D301" s="85" t="s">
        <v>121</v>
      </c>
      <c r="E301" s="96"/>
      <c r="F301" s="96"/>
      <c r="G301" s="68"/>
      <c r="H301" s="68"/>
      <c r="I301" s="68"/>
      <c r="J301" s="68"/>
      <c r="K301" s="68"/>
      <c r="L301" s="86"/>
      <c r="M301" s="86"/>
      <c r="N301" s="86"/>
      <c r="O301" s="86"/>
      <c r="P301" s="86"/>
      <c r="Q301" s="86"/>
      <c r="R301" s="96"/>
      <c r="S301" s="96"/>
      <c r="T301" s="96"/>
      <c r="U301" s="96"/>
      <c r="V301" s="86" t="b">
        <f t="shared" ref="V301:Y301" si="445">ABS(V300-V282)&lt;1</f>
        <v>1</v>
      </c>
      <c r="W301" s="86" t="b">
        <f t="shared" si="445"/>
        <v>1</v>
      </c>
      <c r="X301" s="86" t="b">
        <f t="shared" si="445"/>
        <v>1</v>
      </c>
      <c r="Y301" s="86" t="b">
        <f t="shared" si="445"/>
        <v>1</v>
      </c>
      <c r="Z301" s="86" t="b">
        <f>ABS(Z300-Z282)&lt;1</f>
        <v>1</v>
      </c>
      <c r="AA301" s="86" t="b">
        <f t="shared" ref="AA301:AK301" si="446">ABS(AA300-AA282)&lt;1</f>
        <v>1</v>
      </c>
      <c r="AB301" s="86" t="b">
        <f ca="1">ABS(AB300-AB282)&lt;1</f>
        <v>1</v>
      </c>
      <c r="AC301" s="86" t="b">
        <f t="shared" ca="1" si="446"/>
        <v>1</v>
      </c>
      <c r="AD301" s="86" t="b">
        <f t="shared" ca="1" si="446"/>
        <v>1</v>
      </c>
      <c r="AE301" s="86" t="b">
        <f t="shared" ca="1" si="446"/>
        <v>1</v>
      </c>
      <c r="AF301" s="86" t="b">
        <f t="shared" ca="1" si="446"/>
        <v>1</v>
      </c>
      <c r="AG301" s="86" t="b">
        <f t="shared" ca="1" si="446"/>
        <v>1</v>
      </c>
      <c r="AH301" s="86" t="b">
        <f t="shared" ca="1" si="446"/>
        <v>1</v>
      </c>
      <c r="AI301" s="86" t="b">
        <f t="shared" ca="1" si="446"/>
        <v>1</v>
      </c>
      <c r="AJ301" s="86" t="b">
        <f t="shared" ca="1" si="446"/>
        <v>1</v>
      </c>
      <c r="AK301" s="86" t="b">
        <f t="shared" ca="1" si="446"/>
        <v>1</v>
      </c>
      <c r="AL301" s="86" t="b">
        <f t="shared" ref="AL301:AM301" ca="1" si="447">ABS(AL300-AL282)&lt;1</f>
        <v>1</v>
      </c>
      <c r="AM301" s="86" t="b">
        <f t="shared" ca="1" si="447"/>
        <v>1</v>
      </c>
      <c r="AN301" s="97"/>
    </row>
    <row r="302" spans="1:42">
      <c r="G302" s="7"/>
      <c r="H302" s="7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68"/>
      <c r="AP302" s="68"/>
    </row>
    <row r="303" spans="1:42">
      <c r="D303" t="s">
        <v>162</v>
      </c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>
        <f t="shared" ref="V303:Z303" si="448">SUM(V268:V269,V271,V273)-SUM(V285:V288)</f>
        <v>46.046999999999997</v>
      </c>
      <c r="W303" s="7">
        <f t="shared" si="448"/>
        <v>181.238</v>
      </c>
      <c r="X303" s="7">
        <f t="shared" si="448"/>
        <v>219.36599999999999</v>
      </c>
      <c r="Y303" s="7">
        <f t="shared" si="448"/>
        <v>357.37799999999999</v>
      </c>
      <c r="Z303" s="7">
        <f t="shared" si="448"/>
        <v>650.35800000000006</v>
      </c>
      <c r="AA303" s="7">
        <f>SUM(AA268:AA269,AA271,AA273)-SUM(AA285:AA288)</f>
        <v>854.30199999999979</v>
      </c>
      <c r="AB303" s="69">
        <f t="shared" ref="AB303:AM303" si="449">+AB304*AB204</f>
        <v>1265.6674626092192</v>
      </c>
      <c r="AC303" s="69">
        <f t="shared" si="449"/>
        <v>1787.0670983273155</v>
      </c>
      <c r="AD303" s="69">
        <f t="shared" ca="1" si="449"/>
        <v>2266.7257499394273</v>
      </c>
      <c r="AE303" s="69">
        <f t="shared" ca="1" si="449"/>
        <v>2761.103823167653</v>
      </c>
      <c r="AF303" s="69">
        <f t="shared" ca="1" si="449"/>
        <v>3271.1351407425577</v>
      </c>
      <c r="AG303" s="69">
        <f t="shared" ca="1" si="449"/>
        <v>3743.8299960166987</v>
      </c>
      <c r="AH303" s="69">
        <f t="shared" ca="1" si="449"/>
        <v>4233.1944344853564</v>
      </c>
      <c r="AI303" s="69">
        <f t="shared" ca="1" si="449"/>
        <v>4737.6288328387136</v>
      </c>
      <c r="AJ303" s="69">
        <f t="shared" ca="1" si="449"/>
        <v>5259.3816542019786</v>
      </c>
      <c r="AK303" s="69">
        <f t="shared" ca="1" si="449"/>
        <v>5799.6269796672523</v>
      </c>
      <c r="AL303" s="69">
        <f t="shared" ca="1" si="449"/>
        <v>6170.4520800469354</v>
      </c>
      <c r="AM303" s="69">
        <f t="shared" ca="1" si="449"/>
        <v>6564.8729058775425</v>
      </c>
      <c r="AN303" s="7"/>
    </row>
    <row r="304" spans="1:42">
      <c r="D304" t="s">
        <v>205</v>
      </c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90">
        <f t="shared" ref="V304:AA304" si="450">+AVERAGE(U303:V303)/V204</f>
        <v>0.35314283084851833</v>
      </c>
      <c r="W304" s="90">
        <f t="shared" si="450"/>
        <v>0.31122312048813089</v>
      </c>
      <c r="X304" s="90">
        <f t="shared" si="450"/>
        <v>0.23321573695669892</v>
      </c>
      <c r="Y304" s="90">
        <f t="shared" si="450"/>
        <v>0.14746963257370233</v>
      </c>
      <c r="Z304" s="90">
        <f t="shared" si="450"/>
        <v>0.12788865492896262</v>
      </c>
      <c r="AA304" s="90">
        <f t="shared" si="450"/>
        <v>0.13466772515848288</v>
      </c>
      <c r="AB304" s="230">
        <v>0.13</v>
      </c>
      <c r="AC304" s="230">
        <f>+AB304*0.99</f>
        <v>0.12870000000000001</v>
      </c>
      <c r="AD304" s="230">
        <f t="shared" ref="AD304:AM304" si="451">+AC304*0.99</f>
        <v>0.127413</v>
      </c>
      <c r="AE304" s="230">
        <f t="shared" si="451"/>
        <v>0.12613886999999999</v>
      </c>
      <c r="AF304" s="230">
        <f t="shared" si="451"/>
        <v>0.12487748129999998</v>
      </c>
      <c r="AG304" s="230">
        <f t="shared" si="451"/>
        <v>0.12362870648699999</v>
      </c>
      <c r="AH304" s="230">
        <f t="shared" si="451"/>
        <v>0.12239241942212999</v>
      </c>
      <c r="AI304" s="230">
        <f t="shared" si="451"/>
        <v>0.12116849522790868</v>
      </c>
      <c r="AJ304" s="230">
        <f t="shared" si="451"/>
        <v>0.11995681027562959</v>
      </c>
      <c r="AK304" s="230">
        <f t="shared" si="451"/>
        <v>0.11875724217287328</v>
      </c>
      <c r="AL304" s="230">
        <f t="shared" si="451"/>
        <v>0.11756966975114455</v>
      </c>
      <c r="AM304" s="230">
        <f t="shared" si="451"/>
        <v>0.11639397305363311</v>
      </c>
      <c r="AN304" s="7"/>
    </row>
    <row r="305" spans="1:41">
      <c r="D305" t="s">
        <v>217</v>
      </c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>
        <f t="shared" ref="V305:AK305" si="452">+V303-U303</f>
        <v>46.046999999999997</v>
      </c>
      <c r="W305" s="7">
        <f t="shared" si="452"/>
        <v>135.191</v>
      </c>
      <c r="X305" s="7">
        <f t="shared" si="452"/>
        <v>38.127999999999986</v>
      </c>
      <c r="Y305" s="7">
        <f t="shared" si="452"/>
        <v>138.012</v>
      </c>
      <c r="Z305" s="7">
        <f t="shared" si="452"/>
        <v>292.98000000000008</v>
      </c>
      <c r="AA305" s="7">
        <f t="shared" si="452"/>
        <v>203.94399999999973</v>
      </c>
      <c r="AB305" s="7">
        <f t="shared" si="452"/>
        <v>411.36546260921943</v>
      </c>
      <c r="AC305" s="7">
        <f t="shared" si="452"/>
        <v>521.39963571809631</v>
      </c>
      <c r="AD305" s="7">
        <f t="shared" ca="1" si="452"/>
        <v>479.65865161211173</v>
      </c>
      <c r="AE305" s="7">
        <f t="shared" ca="1" si="452"/>
        <v>494.37807322822573</v>
      </c>
      <c r="AF305" s="7">
        <f t="shared" ca="1" si="452"/>
        <v>510.03131757490473</v>
      </c>
      <c r="AG305" s="7">
        <f t="shared" ca="1" si="452"/>
        <v>472.69485527414099</v>
      </c>
      <c r="AH305" s="7">
        <f t="shared" ca="1" si="452"/>
        <v>489.36443846865768</v>
      </c>
      <c r="AI305" s="7">
        <f t="shared" ca="1" si="452"/>
        <v>504.43439835335721</v>
      </c>
      <c r="AJ305" s="7">
        <f t="shared" ca="1" si="452"/>
        <v>521.75282136326496</v>
      </c>
      <c r="AK305" s="7">
        <f t="shared" ca="1" si="452"/>
        <v>540.24532546527371</v>
      </c>
      <c r="AL305" s="7">
        <f t="shared" ref="AL305" ca="1" si="453">+AL303-AK303</f>
        <v>370.82510037968314</v>
      </c>
      <c r="AM305" s="7">
        <f t="shared" ref="AM305" ca="1" si="454">+AM303-AL303</f>
        <v>394.4208258306071</v>
      </c>
      <c r="AN305" s="7"/>
    </row>
    <row r="306" spans="1:41">
      <c r="D306" t="s">
        <v>440</v>
      </c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95">
        <f t="shared" ref="V306:AM306" si="455">AVERAGE(U271:V271)/V85*365</f>
        <v>198.71547226578755</v>
      </c>
      <c r="W306" s="95">
        <f t="shared" si="455"/>
        <v>135.30195415642024</v>
      </c>
      <c r="X306" s="95">
        <f t="shared" si="455"/>
        <v>94.569358087123462</v>
      </c>
      <c r="Y306" s="95">
        <f t="shared" si="455"/>
        <v>65.400727992851714</v>
      </c>
      <c r="Z306" s="95">
        <f t="shared" si="455"/>
        <v>62.686752269557317</v>
      </c>
      <c r="AA306" s="95">
        <f t="shared" si="455"/>
        <v>69.253945443557186</v>
      </c>
      <c r="AB306" s="95">
        <f t="shared" si="455"/>
        <v>54.851630090412733</v>
      </c>
      <c r="AC306" s="95">
        <f t="shared" si="455"/>
        <v>50.880364027717526</v>
      </c>
      <c r="AD306" s="95">
        <f t="shared" ca="1" si="455"/>
        <v>50.35508334003093</v>
      </c>
      <c r="AE306" s="95">
        <f t="shared" ca="1" si="455"/>
        <v>49.40033598007804</v>
      </c>
      <c r="AF306" s="95">
        <f t="shared" ca="1" si="455"/>
        <v>48.637331702287575</v>
      </c>
      <c r="AG306" s="95">
        <f t="shared" ca="1" si="455"/>
        <v>48.360542569490704</v>
      </c>
      <c r="AH306" s="95">
        <f t="shared" ca="1" si="455"/>
        <v>47.800803546006421</v>
      </c>
      <c r="AI306" s="95">
        <f t="shared" ca="1" si="455"/>
        <v>47.305519616637369</v>
      </c>
      <c r="AJ306" s="95">
        <f t="shared" ca="1" si="455"/>
        <v>46.857931561002687</v>
      </c>
      <c r="AK306" s="95">
        <f t="shared" ca="1" si="455"/>
        <v>46.457396965235453</v>
      </c>
      <c r="AL306" s="95">
        <f t="shared" ca="1" si="455"/>
        <v>46.61171934852446</v>
      </c>
      <c r="AM306" s="95">
        <f t="shared" ca="1" si="455"/>
        <v>46.0269502287329</v>
      </c>
      <c r="AN306" s="7"/>
    </row>
    <row r="307" spans="1:41"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68"/>
      <c r="S307" s="68"/>
      <c r="T307" s="68"/>
      <c r="U307" s="68"/>
      <c r="V307" s="95"/>
      <c r="W307" s="95"/>
      <c r="X307" s="95"/>
      <c r="Y307" s="95"/>
      <c r="Z307" s="95"/>
      <c r="AA307" s="95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7"/>
    </row>
    <row r="308" spans="1:41">
      <c r="C308" s="111"/>
      <c r="D308" s="112" t="s">
        <v>187</v>
      </c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204"/>
      <c r="AD308" s="204"/>
      <c r="AE308" s="204"/>
      <c r="AF308" s="111"/>
      <c r="AG308" s="111"/>
      <c r="AH308" s="111"/>
      <c r="AI308" s="111"/>
      <c r="AJ308" s="111"/>
      <c r="AK308" s="111"/>
      <c r="AL308" s="111"/>
      <c r="AM308" s="111"/>
    </row>
    <row r="309" spans="1:41" ht="5.15" customHeight="1">
      <c r="B309" s="154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7"/>
      <c r="AO309" s="1"/>
    </row>
    <row r="310" spans="1:41">
      <c r="D310" s="36" t="s">
        <v>140</v>
      </c>
      <c r="E310" s="36"/>
      <c r="F310" s="36"/>
      <c r="G310" s="174"/>
      <c r="H310" s="174"/>
      <c r="I310" s="147"/>
      <c r="J310" s="94"/>
      <c r="K310" s="94"/>
      <c r="L310" s="201"/>
      <c r="M310" s="201"/>
      <c r="N310" s="201"/>
      <c r="O310" s="201"/>
      <c r="P310" s="201"/>
      <c r="Q310" s="201"/>
      <c r="R310" s="201"/>
      <c r="S310" s="201"/>
      <c r="T310" s="201"/>
      <c r="U310" s="201"/>
      <c r="V310" s="201"/>
      <c r="W310" s="201"/>
      <c r="X310" s="201"/>
      <c r="Y310" s="201"/>
      <c r="Z310" s="201"/>
      <c r="AA310" s="201"/>
      <c r="AB310" s="201">
        <v>200</v>
      </c>
      <c r="AC310" s="193">
        <f t="shared" ref="AC310:AI310" ca="1" si="456">+AVERAGE(AD310,AB310)</f>
        <v>216.0912042263717</v>
      </c>
      <c r="AD310" s="193">
        <f t="shared" ca="1" si="456"/>
        <v>232.18240269617672</v>
      </c>
      <c r="AE310" s="193">
        <f t="shared" ca="1" si="456"/>
        <v>248.27359379286793</v>
      </c>
      <c r="AF310" s="193">
        <f t="shared" ca="1" si="456"/>
        <v>264.36477688508432</v>
      </c>
      <c r="AG310" s="193">
        <f t="shared" ca="1" si="456"/>
        <v>280.45595228787511</v>
      </c>
      <c r="AH310" s="193">
        <f t="shared" ca="1" si="456"/>
        <v>296.5471211244548</v>
      </c>
      <c r="AI310" s="193">
        <f t="shared" ca="1" si="456"/>
        <v>312.63828511454153</v>
      </c>
      <c r="AJ310" s="193">
        <f ca="1">+AVERAGE(AK310,AI310)</f>
        <v>328.72944632051986</v>
      </c>
      <c r="AK310" s="331">
        <f ca="1">+DCF!L82</f>
        <v>344.82060688386872</v>
      </c>
      <c r="AL310" s="201">
        <f ca="1">+AK310*1.08</f>
        <v>372.40625543457827</v>
      </c>
      <c r="AM310" s="201">
        <f ca="1">+AL310*1.08</f>
        <v>402.19875586934455</v>
      </c>
      <c r="AN310" s="76"/>
      <c r="AO310" s="76">
        <f ca="1">(AL310/AB310)^(1/10)-1</f>
        <v>6.4139825930704664E-2</v>
      </c>
    </row>
    <row r="311" spans="1:41">
      <c r="D311" s="36"/>
      <c r="E311" s="36"/>
      <c r="F311" s="36"/>
      <c r="G311" s="92"/>
      <c r="H311" s="92"/>
      <c r="I311" s="92"/>
      <c r="J311" s="7"/>
      <c r="K311" s="7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7"/>
    </row>
    <row r="312" spans="1:41" s="3" customFormat="1">
      <c r="A312" s="117"/>
      <c r="B312" s="36"/>
      <c r="C312"/>
      <c r="D312" s="160" t="s">
        <v>176</v>
      </c>
      <c r="E312" s="36"/>
      <c r="F312" s="36"/>
      <c r="G312" s="36"/>
      <c r="H312" s="36"/>
      <c r="I312" s="105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>
        <f t="shared" ref="V312:AM312" si="457">+V230</f>
        <v>0</v>
      </c>
      <c r="W312" s="88">
        <f t="shared" si="457"/>
        <v>0</v>
      </c>
      <c r="X312" s="88">
        <f t="shared" si="457"/>
        <v>-1.1955471478463331</v>
      </c>
      <c r="Y312" s="88">
        <f t="shared" si="457"/>
        <v>-1.7705379482902417</v>
      </c>
      <c r="Z312" s="88">
        <f t="shared" si="457"/>
        <v>-2.3832614379084975</v>
      </c>
      <c r="AA312" s="88">
        <f t="shared" si="457"/>
        <v>-2.7993095930232541</v>
      </c>
      <c r="AB312" s="88">
        <f t="shared" ca="1" si="457"/>
        <v>-2.5999732358805763</v>
      </c>
      <c r="AC312" s="88">
        <f t="shared" ca="1" si="457"/>
        <v>-1.9626904867110901</v>
      </c>
      <c r="AD312" s="88">
        <f t="shared" ca="1" si="457"/>
        <v>-1.1426445401256715</v>
      </c>
      <c r="AE312" s="88">
        <f t="shared" ca="1" si="457"/>
        <v>0.12721560193237913</v>
      </c>
      <c r="AF312" s="88">
        <f t="shared" ca="1" si="457"/>
        <v>1.4262220801895673</v>
      </c>
      <c r="AG312" s="88">
        <f t="shared" ca="1" si="457"/>
        <v>3.1238823212731939</v>
      </c>
      <c r="AH312" s="88">
        <f t="shared" ca="1" si="457"/>
        <v>5.2061340302790589</v>
      </c>
      <c r="AI312" s="88">
        <f t="shared" ca="1" si="457"/>
        <v>7.5088037906836185</v>
      </c>
      <c r="AJ312" s="88">
        <f t="shared" ca="1" si="457"/>
        <v>10.246979261164007</v>
      </c>
      <c r="AK312" s="88">
        <f t="shared" ca="1" si="457"/>
        <v>13.434159970033493</v>
      </c>
      <c r="AL312" s="88">
        <f t="shared" ca="1" si="457"/>
        <v>14.537994705483092</v>
      </c>
      <c r="AM312" s="88">
        <f t="shared" ca="1" si="457"/>
        <v>15.812084420027563</v>
      </c>
      <c r="AN312" s="64"/>
    </row>
    <row r="313" spans="1:41" s="3" customFormat="1">
      <c r="A313" s="117"/>
      <c r="B313" s="36"/>
      <c r="C313"/>
      <c r="D313" s="160"/>
      <c r="E313" s="36"/>
      <c r="F313" s="36"/>
      <c r="G313" s="36"/>
      <c r="H313" s="36"/>
      <c r="I313" s="36"/>
      <c r="J313"/>
      <c r="K313"/>
      <c r="L313"/>
      <c r="M313"/>
      <c r="N313"/>
      <c r="O313"/>
      <c r="P313"/>
      <c r="Q313"/>
      <c r="R313" s="7"/>
      <c r="S313" s="7"/>
      <c r="T313" s="7"/>
      <c r="U313" s="7"/>
      <c r="V313" s="7"/>
      <c r="W313" s="7"/>
      <c r="X313" s="7"/>
      <c r="Y313" s="7"/>
      <c r="Z313" s="7"/>
      <c r="AA313" s="339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64"/>
    </row>
    <row r="314" spans="1:41" s="3" customFormat="1">
      <c r="A314" s="117"/>
      <c r="B314" s="36"/>
      <c r="C314"/>
      <c r="D314" s="307" t="s">
        <v>424</v>
      </c>
      <c r="E314" s="155"/>
      <c r="F314" s="155"/>
      <c r="G314" s="155"/>
      <c r="H314" s="155"/>
      <c r="I314" s="155"/>
      <c r="R314" s="64"/>
      <c r="S314" s="64"/>
      <c r="T314" s="64"/>
      <c r="U314" s="64"/>
      <c r="V314" s="64"/>
      <c r="W314" s="64"/>
      <c r="X314" s="64"/>
      <c r="Y314" s="64">
        <f t="shared" ref="Y314:Z314" si="458">+X318</f>
        <v>18.096</v>
      </c>
      <c r="Z314" s="64">
        <f t="shared" si="458"/>
        <v>41.207999999999998</v>
      </c>
      <c r="AA314" s="64">
        <f>+Z318</f>
        <v>50.506999999999998</v>
      </c>
      <c r="AB314" s="64">
        <f t="shared" ref="AB314:AM314" si="459">+AA318</f>
        <v>76.512</v>
      </c>
      <c r="AC314" s="64">
        <f t="shared" si="459"/>
        <v>86.355840000000001</v>
      </c>
      <c r="AD314" s="64">
        <f t="shared" ca="1" si="459"/>
        <v>96.34877813742024</v>
      </c>
      <c r="AE314" s="64">
        <f t="shared" ca="1" si="459"/>
        <v>105.14128352186319</v>
      </c>
      <c r="AF314" s="64">
        <f t="shared" ca="1" si="459"/>
        <v>112.86031327412147</v>
      </c>
      <c r="AG314" s="64">
        <f t="shared" ca="1" si="459"/>
        <v>118.47958484957169</v>
      </c>
      <c r="AH314" s="64">
        <f t="shared" ca="1" si="459"/>
        <v>123.64931466244865</v>
      </c>
      <c r="AI314" s="64">
        <f t="shared" ca="1" si="459"/>
        <v>128.40546604926118</v>
      </c>
      <c r="AJ314" s="64">
        <f t="shared" ca="1" si="459"/>
        <v>132.78112527904403</v>
      </c>
      <c r="AK314" s="64">
        <f t="shared" ca="1" si="459"/>
        <v>136.80673171868744</v>
      </c>
      <c r="AL314" s="64">
        <f t="shared" ca="1" si="459"/>
        <v>140.51028958503244</v>
      </c>
      <c r="AM314" s="64">
        <f t="shared" ca="1" si="459"/>
        <v>143.91756275678861</v>
      </c>
      <c r="AN314" s="64"/>
    </row>
    <row r="315" spans="1:41" s="3" customFormat="1">
      <c r="A315" s="117"/>
      <c r="B315" s="36"/>
      <c r="C315"/>
      <c r="D315" s="160" t="s">
        <v>437</v>
      </c>
      <c r="E315" s="36"/>
      <c r="F315" s="36"/>
      <c r="G315" s="36"/>
      <c r="H315" s="36"/>
      <c r="I315" s="36"/>
      <c r="J315"/>
      <c r="K315"/>
      <c r="L315"/>
      <c r="M315"/>
      <c r="N315"/>
      <c r="O315"/>
      <c r="P315"/>
      <c r="Q315"/>
      <c r="R315" s="7"/>
      <c r="S315" s="7"/>
      <c r="T315" s="7"/>
      <c r="U315" s="7"/>
      <c r="V315" s="7"/>
      <c r="W315" s="7"/>
      <c r="X315" s="7"/>
      <c r="Y315" s="103">
        <v>6.6</v>
      </c>
      <c r="Z315" s="103">
        <v>4.83</v>
      </c>
      <c r="AA315" s="103">
        <v>18.332999999999998</v>
      </c>
      <c r="AB315" s="340">
        <f t="shared" ref="AB315:AM315" si="460">+AB256/AB310</f>
        <v>2</v>
      </c>
      <c r="AC315" s="340">
        <f t="shared" ca="1" si="460"/>
        <v>2.7766053789558929</v>
      </c>
      <c r="AD315" s="340">
        <f t="shared" ca="1" si="460"/>
        <v>2.153479308482638</v>
      </c>
      <c r="AE315" s="340">
        <f t="shared" ca="1" si="460"/>
        <v>1.6111258305372413</v>
      </c>
      <c r="AF315" s="340">
        <f t="shared" ca="1" si="460"/>
        <v>0</v>
      </c>
      <c r="AG315" s="340">
        <f t="shared" ca="1" si="460"/>
        <v>0</v>
      </c>
      <c r="AH315" s="340">
        <f t="shared" ca="1" si="460"/>
        <v>0</v>
      </c>
      <c r="AI315" s="340">
        <f t="shared" ca="1" si="460"/>
        <v>0</v>
      </c>
      <c r="AJ315" s="340">
        <f t="shared" ca="1" si="460"/>
        <v>0</v>
      </c>
      <c r="AK315" s="340">
        <f t="shared" ca="1" si="460"/>
        <v>0</v>
      </c>
      <c r="AL315" s="340">
        <f t="shared" ca="1" si="460"/>
        <v>0</v>
      </c>
      <c r="AM315" s="340">
        <f t="shared" ca="1" si="460"/>
        <v>0</v>
      </c>
      <c r="AN315" s="64"/>
    </row>
    <row r="316" spans="1:41" s="3" customFormat="1">
      <c r="A316" s="117"/>
      <c r="B316" s="36"/>
      <c r="C316"/>
      <c r="D316" s="160" t="s">
        <v>426</v>
      </c>
      <c r="E316" s="36"/>
      <c r="F316" s="36"/>
      <c r="G316" s="36"/>
      <c r="H316" s="36"/>
      <c r="I316" s="36"/>
      <c r="J316"/>
      <c r="K316"/>
      <c r="L316"/>
      <c r="M316"/>
      <c r="N316"/>
      <c r="O316"/>
      <c r="P316"/>
      <c r="Q316"/>
      <c r="R316" s="7"/>
      <c r="S316" s="7"/>
      <c r="T316" s="7"/>
      <c r="U316" s="7"/>
      <c r="V316" s="68"/>
      <c r="W316" s="7"/>
      <c r="X316" s="7"/>
      <c r="Y316" s="80">
        <v>11.331</v>
      </c>
      <c r="Z316" s="80">
        <v>4.3209999999999997</v>
      </c>
      <c r="AA316" s="80">
        <v>7.2809999999999997</v>
      </c>
      <c r="AB316" s="7">
        <f>+AB331/$F$333</f>
        <v>7.8438399999999984</v>
      </c>
      <c r="AC316" s="7">
        <f t="shared" ref="AC316:AM316" si="461">+AC331/$F$333</f>
        <v>7.2163327999999991</v>
      </c>
      <c r="AD316" s="7">
        <f t="shared" si="461"/>
        <v>6.6390261759999998</v>
      </c>
      <c r="AE316" s="7">
        <f t="shared" si="461"/>
        <v>6.1079040819199992</v>
      </c>
      <c r="AF316" s="7">
        <f t="shared" si="461"/>
        <v>5.6192717553663991</v>
      </c>
      <c r="AG316" s="7">
        <f t="shared" si="461"/>
        <v>5.1697300149370866</v>
      </c>
      <c r="AH316" s="7">
        <f t="shared" si="461"/>
        <v>4.7561516137421194</v>
      </c>
      <c r="AI316" s="7">
        <f t="shared" si="461"/>
        <v>4.3756594846427497</v>
      </c>
      <c r="AJ316" s="7">
        <f t="shared" si="461"/>
        <v>4.0256067258713291</v>
      </c>
      <c r="AK316" s="7">
        <f t="shared" si="461"/>
        <v>3.7035581878016233</v>
      </c>
      <c r="AL316" s="7">
        <f t="shared" si="461"/>
        <v>3.4072735327774937</v>
      </c>
      <c r="AM316" s="7">
        <f t="shared" si="461"/>
        <v>3.1346916501552942</v>
      </c>
      <c r="AN316" s="64"/>
    </row>
    <row r="317" spans="1:41" s="3" customFormat="1">
      <c r="A317" s="117"/>
      <c r="B317" s="36"/>
      <c r="C317"/>
      <c r="D317" s="160" t="s">
        <v>128</v>
      </c>
      <c r="E317" s="36"/>
      <c r="F317" s="36"/>
      <c r="G317" s="36"/>
      <c r="H317" s="36"/>
      <c r="I317" s="36"/>
      <c r="J317"/>
      <c r="K317"/>
      <c r="L317"/>
      <c r="M317"/>
      <c r="N317"/>
      <c r="O317"/>
      <c r="P317"/>
      <c r="Q317"/>
      <c r="R317" s="7"/>
      <c r="S317" s="7"/>
      <c r="T317" s="7"/>
      <c r="U317" s="7"/>
      <c r="V317" s="7"/>
      <c r="W317" s="7"/>
      <c r="X317" s="7"/>
      <c r="Y317" s="7">
        <f t="shared" ref="Y317" si="462">+Y318-SUM(Y314:Y316)</f>
        <v>5.1809999999999974</v>
      </c>
      <c r="Z317" s="7">
        <f t="shared" ref="Z317" si="463">+Z318-SUM(Z314:Z316)</f>
        <v>0.14800000000000324</v>
      </c>
      <c r="AA317" s="7">
        <f>+AA318-SUM(AA314:AA316)</f>
        <v>0.39099999999999113</v>
      </c>
      <c r="AB317" s="80">
        <v>0</v>
      </c>
      <c r="AC317" s="80">
        <v>0</v>
      </c>
      <c r="AD317" s="80">
        <v>0</v>
      </c>
      <c r="AE317" s="80">
        <v>0</v>
      </c>
      <c r="AF317" s="80">
        <v>0</v>
      </c>
      <c r="AG317" s="80">
        <v>0</v>
      </c>
      <c r="AH317" s="80">
        <v>0</v>
      </c>
      <c r="AI317" s="80">
        <v>0</v>
      </c>
      <c r="AJ317" s="80">
        <v>0</v>
      </c>
      <c r="AK317" s="80">
        <v>0</v>
      </c>
      <c r="AL317" s="80">
        <v>0</v>
      </c>
      <c r="AM317" s="80">
        <v>0</v>
      </c>
      <c r="AN317" s="64"/>
    </row>
    <row r="318" spans="1:41" s="3" customFormat="1">
      <c r="A318" s="117"/>
      <c r="B318" s="36"/>
      <c r="C318"/>
      <c r="D318" s="2" t="s">
        <v>425</v>
      </c>
      <c r="E318" s="2"/>
      <c r="F318" s="2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186">
        <v>18.096</v>
      </c>
      <c r="Y318" s="186">
        <v>41.207999999999998</v>
      </c>
      <c r="Z318" s="186">
        <v>50.506999999999998</v>
      </c>
      <c r="AA318" s="186">
        <v>76.512</v>
      </c>
      <c r="AB318" s="8">
        <f>SUM(AB314:AB317)</f>
        <v>86.355840000000001</v>
      </c>
      <c r="AC318" s="8">
        <f t="shared" ref="AC318:AM318" ca="1" si="464">SUM(AC314:AC317)</f>
        <v>96.348778178955897</v>
      </c>
      <c r="AD318" s="8">
        <f t="shared" ca="1" si="464"/>
        <v>105.14128362190289</v>
      </c>
      <c r="AE318" s="8">
        <f t="shared" ca="1" si="464"/>
        <v>112.86031343432043</v>
      </c>
      <c r="AF318" s="8">
        <f t="shared" ca="1" si="464"/>
        <v>118.47958502948786</v>
      </c>
      <c r="AG318" s="8">
        <f t="shared" ca="1" si="464"/>
        <v>123.64931486450878</v>
      </c>
      <c r="AH318" s="8">
        <f t="shared" ca="1" si="464"/>
        <v>128.40546627619077</v>
      </c>
      <c r="AI318" s="8">
        <f t="shared" ca="1" si="464"/>
        <v>132.78112553390392</v>
      </c>
      <c r="AJ318" s="8">
        <f t="shared" ca="1" si="464"/>
        <v>136.80673200491538</v>
      </c>
      <c r="AK318" s="8">
        <f t="shared" ca="1" si="464"/>
        <v>140.51028990648908</v>
      </c>
      <c r="AL318" s="8">
        <f t="shared" ca="1" si="464"/>
        <v>143.91756311780992</v>
      </c>
      <c r="AM318" s="8">
        <f t="shared" ca="1" si="464"/>
        <v>147.05225440694392</v>
      </c>
      <c r="AN318" s="64"/>
    </row>
    <row r="319" spans="1:41" s="3" customFormat="1">
      <c r="A319" s="117"/>
      <c r="B319" s="36"/>
      <c r="C319"/>
      <c r="D319" s="181" t="s">
        <v>441</v>
      </c>
      <c r="E319" s="181"/>
      <c r="F319" s="181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4">
        <f t="shared" ref="X319:Z319" si="465">+X318+X341/$F$333</f>
        <v>137.44</v>
      </c>
      <c r="Y319" s="184">
        <f t="shared" si="465"/>
        <v>150.32</v>
      </c>
      <c r="Z319" s="184">
        <f t="shared" si="465"/>
        <v>155.68</v>
      </c>
      <c r="AA319" s="184">
        <f>+AA318+AA341/$F$333</f>
        <v>174.56</v>
      </c>
      <c r="AB319" s="184">
        <f>+AB318+AB341/$F$333</f>
        <v>176.56</v>
      </c>
      <c r="AC319" s="184">
        <f t="shared" ref="AC319:AM319" ca="1" si="466">+AC318+AC341/$F$333</f>
        <v>179.33660537895588</v>
      </c>
      <c r="AD319" s="184">
        <f t="shared" ca="1" si="466"/>
        <v>181.49008464590287</v>
      </c>
      <c r="AE319" s="184">
        <f t="shared" ca="1" si="466"/>
        <v>183.10121037640042</v>
      </c>
      <c r="AF319" s="184">
        <f t="shared" ca="1" si="466"/>
        <v>183.10121021620145</v>
      </c>
      <c r="AG319" s="184">
        <f t="shared" ca="1" si="466"/>
        <v>183.10121003628527</v>
      </c>
      <c r="AH319" s="184">
        <f t="shared" ca="1" si="466"/>
        <v>183.10120983422513</v>
      </c>
      <c r="AI319" s="184">
        <f t="shared" ca="1" si="466"/>
        <v>183.10120960729554</v>
      </c>
      <c r="AJ319" s="184">
        <f t="shared" ca="1" si="466"/>
        <v>183.10120935243566</v>
      </c>
      <c r="AK319" s="184">
        <f t="shared" ca="1" si="466"/>
        <v>183.10120906620773</v>
      </c>
      <c r="AL319" s="184">
        <f t="shared" ca="1" si="466"/>
        <v>183.10120874475109</v>
      </c>
      <c r="AM319" s="184">
        <f t="shared" ca="1" si="466"/>
        <v>183.10120838372978</v>
      </c>
      <c r="AN319" s="64"/>
    </row>
    <row r="320" spans="1:41" s="3" customFormat="1">
      <c r="A320" s="117"/>
      <c r="B320" s="36"/>
      <c r="C320"/>
      <c r="D320" s="313" t="s">
        <v>443</v>
      </c>
      <c r="E320" s="313"/>
      <c r="F320" s="313"/>
      <c r="G320" s="314"/>
      <c r="H320" s="314"/>
      <c r="I320" s="314"/>
      <c r="J320" s="314"/>
      <c r="K320" s="314"/>
      <c r="L320" s="314"/>
      <c r="M320" s="314"/>
      <c r="N320" s="314"/>
      <c r="O320" s="314"/>
      <c r="P320" s="314"/>
      <c r="Q320" s="314"/>
      <c r="R320" s="314"/>
      <c r="S320" s="314"/>
      <c r="T320" s="314"/>
      <c r="U320" s="314"/>
      <c r="V320" s="314"/>
      <c r="W320" s="314"/>
      <c r="X320" s="315">
        <f t="shared" ref="X320:X321" si="467">+AVERAGE(W318:X318)</f>
        <v>18.096</v>
      </c>
      <c r="Y320" s="315">
        <f t="shared" ref="Y320:AM320" si="468">+AVERAGE(X318:Y318)</f>
        <v>29.652000000000001</v>
      </c>
      <c r="Z320" s="315">
        <f t="shared" si="468"/>
        <v>45.857500000000002</v>
      </c>
      <c r="AA320" s="315">
        <f t="shared" si="468"/>
        <v>63.509500000000003</v>
      </c>
      <c r="AB320" s="315">
        <f>+AVERAGE(AA318:AB318)</f>
        <v>81.433920000000001</v>
      </c>
      <c r="AC320" s="315">
        <f t="shared" ca="1" si="468"/>
        <v>91.352309089477956</v>
      </c>
      <c r="AD320" s="315">
        <f t="shared" ca="1" si="468"/>
        <v>100.74503090042938</v>
      </c>
      <c r="AE320" s="315">
        <f t="shared" ca="1" si="468"/>
        <v>109.00079852811166</v>
      </c>
      <c r="AF320" s="315">
        <f t="shared" ca="1" si="468"/>
        <v>115.66994923190416</v>
      </c>
      <c r="AG320" s="315">
        <f t="shared" ca="1" si="468"/>
        <v>121.06444994699832</v>
      </c>
      <c r="AH320" s="315">
        <f t="shared" ca="1" si="468"/>
        <v>126.02739057034978</v>
      </c>
      <c r="AI320" s="315">
        <f t="shared" ca="1" si="468"/>
        <v>130.59329590504734</v>
      </c>
      <c r="AJ320" s="315">
        <f t="shared" ca="1" si="468"/>
        <v>134.79392876940966</v>
      </c>
      <c r="AK320" s="315">
        <f t="shared" ca="1" si="468"/>
        <v>138.65851095570224</v>
      </c>
      <c r="AL320" s="315">
        <f t="shared" ca="1" si="468"/>
        <v>142.2139265121495</v>
      </c>
      <c r="AM320" s="315">
        <f t="shared" ca="1" si="468"/>
        <v>145.4849087623769</v>
      </c>
      <c r="AN320" s="64"/>
    </row>
    <row r="321" spans="1:40" s="3" customFormat="1">
      <c r="A321" s="117"/>
      <c r="B321" s="36"/>
      <c r="C321"/>
      <c r="D321" s="313" t="s">
        <v>442</v>
      </c>
      <c r="E321" s="313"/>
      <c r="F321" s="313"/>
      <c r="G321" s="314"/>
      <c r="H321" s="314"/>
      <c r="I321" s="314"/>
      <c r="J321" s="314"/>
      <c r="K321" s="314"/>
      <c r="L321" s="314"/>
      <c r="M321" s="314"/>
      <c r="N321" s="314"/>
      <c r="O321" s="314"/>
      <c r="P321" s="314"/>
      <c r="Q321" s="314"/>
      <c r="R321" s="314"/>
      <c r="S321" s="314"/>
      <c r="T321" s="314"/>
      <c r="U321" s="314"/>
      <c r="V321" s="314"/>
      <c r="W321" s="314"/>
      <c r="X321" s="315">
        <f t="shared" si="467"/>
        <v>137.44</v>
      </c>
      <c r="Y321" s="315">
        <f t="shared" ref="Y321:AM321" si="469">+AVERAGE(X319:Y319)</f>
        <v>143.88</v>
      </c>
      <c r="Z321" s="315">
        <f t="shared" si="469"/>
        <v>153</v>
      </c>
      <c r="AA321" s="315">
        <f t="shared" si="469"/>
        <v>165.12</v>
      </c>
      <c r="AB321" s="315">
        <f>+AVERAGE(AA319:AB319)</f>
        <v>175.56</v>
      </c>
      <c r="AC321" s="315">
        <f t="shared" ca="1" si="469"/>
        <v>177.94830268947794</v>
      </c>
      <c r="AD321" s="315">
        <f t="shared" ca="1" si="469"/>
        <v>180.41334501242937</v>
      </c>
      <c r="AE321" s="315">
        <f t="shared" ca="1" si="469"/>
        <v>182.29564751115163</v>
      </c>
      <c r="AF321" s="315">
        <f t="shared" ca="1" si="469"/>
        <v>183.10121029630093</v>
      </c>
      <c r="AG321" s="315">
        <f t="shared" ca="1" si="469"/>
        <v>183.10121012624336</v>
      </c>
      <c r="AH321" s="315">
        <f t="shared" ca="1" si="469"/>
        <v>183.10120993525521</v>
      </c>
      <c r="AI321" s="315">
        <f t="shared" ca="1" si="469"/>
        <v>183.10120972076032</v>
      </c>
      <c r="AJ321" s="315">
        <f t="shared" ca="1" si="469"/>
        <v>183.10120947986559</v>
      </c>
      <c r="AK321" s="315">
        <f t="shared" ca="1" si="469"/>
        <v>183.10120920932169</v>
      </c>
      <c r="AL321" s="315">
        <f t="shared" ca="1" si="469"/>
        <v>183.10120890547941</v>
      </c>
      <c r="AM321" s="315">
        <f t="shared" ca="1" si="469"/>
        <v>183.10120856424044</v>
      </c>
      <c r="AN321" s="64"/>
    </row>
    <row r="322" spans="1:40" s="3" customFormat="1">
      <c r="A322" s="117"/>
      <c r="B322" s="36"/>
      <c r="C322"/>
      <c r="D322" s="160"/>
      <c r="E322" s="36"/>
      <c r="F322" s="36"/>
      <c r="G322" s="36"/>
      <c r="H322" s="36"/>
      <c r="I322" s="36"/>
      <c r="J322"/>
      <c r="K322"/>
      <c r="L322"/>
      <c r="M322"/>
      <c r="N322"/>
      <c r="O322"/>
      <c r="P322"/>
      <c r="Q322"/>
      <c r="R322" s="7"/>
      <c r="S322" s="7"/>
      <c r="T322" s="7"/>
      <c r="U322" s="7"/>
      <c r="V322" s="7"/>
      <c r="W322" s="7"/>
      <c r="X322" s="68"/>
      <c r="Y322" s="68"/>
      <c r="Z322" s="68"/>
      <c r="AA322" s="68"/>
      <c r="AB322" s="68"/>
      <c r="AC322" s="7"/>
      <c r="AD322" s="7"/>
      <c r="AE322" s="68"/>
      <c r="AF322" s="68"/>
      <c r="AG322" s="7"/>
      <c r="AH322" s="7"/>
      <c r="AI322" s="7"/>
      <c r="AJ322" s="7"/>
      <c r="AK322" s="7"/>
      <c r="AL322" s="7"/>
      <c r="AM322" s="7"/>
      <c r="AN322" s="64"/>
    </row>
    <row r="323" spans="1:40" s="3" customFormat="1">
      <c r="A323" s="117"/>
      <c r="B323" s="36"/>
      <c r="C323"/>
      <c r="D323" s="307" t="s">
        <v>427</v>
      </c>
      <c r="E323" s="155"/>
      <c r="F323" s="155"/>
      <c r="G323" s="155"/>
      <c r="H323" s="155"/>
      <c r="I323" s="155"/>
      <c r="R323" s="64"/>
      <c r="S323" s="64"/>
      <c r="T323" s="64"/>
      <c r="U323" s="64"/>
      <c r="V323" s="64"/>
      <c r="W323" s="64"/>
      <c r="X323" s="64"/>
      <c r="Y323" s="64">
        <f t="shared" ref="Y323:Z323" si="470">+X327</f>
        <v>114.664</v>
      </c>
      <c r="Z323" s="64">
        <f t="shared" si="470"/>
        <v>104.336</v>
      </c>
      <c r="AA323" s="64">
        <f>+Z327</f>
        <v>101.21899999999999</v>
      </c>
      <c r="AB323" s="64">
        <f>+AA327</f>
        <v>95.591999999999999</v>
      </c>
      <c r="AC323" s="64">
        <f t="shared" ref="AC323:AM323" si="471">+AB327</f>
        <v>87.944639999999993</v>
      </c>
      <c r="AD323" s="64">
        <f t="shared" si="471"/>
        <v>80.9090688</v>
      </c>
      <c r="AE323" s="64">
        <f t="shared" si="471"/>
        <v>74.436343296000004</v>
      </c>
      <c r="AF323" s="64">
        <f t="shared" si="471"/>
        <v>68.481435832320003</v>
      </c>
      <c r="AG323" s="64">
        <f t="shared" si="471"/>
        <v>63.002920965734404</v>
      </c>
      <c r="AH323" s="64">
        <f t="shared" si="471"/>
        <v>57.962687288475649</v>
      </c>
      <c r="AI323" s="64">
        <f t="shared" si="471"/>
        <v>53.325672305397596</v>
      </c>
      <c r="AJ323" s="64">
        <f t="shared" si="471"/>
        <v>49.059618520965785</v>
      </c>
      <c r="AK323" s="64">
        <f t="shared" si="471"/>
        <v>45.134849039288525</v>
      </c>
      <c r="AL323" s="64">
        <f t="shared" si="471"/>
        <v>41.524061116145447</v>
      </c>
      <c r="AM323" s="64">
        <f t="shared" si="471"/>
        <v>38.20213622685381</v>
      </c>
      <c r="AN323" s="64"/>
    </row>
    <row r="324" spans="1:40" s="3" customFormat="1">
      <c r="A324" s="117"/>
      <c r="B324" s="36"/>
      <c r="C324"/>
      <c r="D324" s="160" t="s">
        <v>437</v>
      </c>
      <c r="E324" s="36"/>
      <c r="F324" s="36"/>
      <c r="G324" s="36"/>
      <c r="H324" s="36"/>
      <c r="I324" s="36"/>
      <c r="J324"/>
      <c r="K324"/>
      <c r="L324"/>
      <c r="M324"/>
      <c r="N324"/>
      <c r="O324"/>
      <c r="P324"/>
      <c r="Q324"/>
      <c r="R324" s="7"/>
      <c r="S324" s="7"/>
      <c r="T324" s="68"/>
      <c r="U324" s="7"/>
      <c r="V324" s="7"/>
      <c r="W324" s="7"/>
      <c r="X324" s="7"/>
      <c r="Y324" s="80">
        <v>0</v>
      </c>
      <c r="Z324" s="80">
        <v>0</v>
      </c>
      <c r="AA324" s="80">
        <v>0</v>
      </c>
      <c r="AB324" s="80">
        <v>0</v>
      </c>
      <c r="AC324" s="80">
        <v>0</v>
      </c>
      <c r="AD324" s="80">
        <v>0</v>
      </c>
      <c r="AE324" s="80">
        <v>0</v>
      </c>
      <c r="AF324" s="80">
        <v>0</v>
      </c>
      <c r="AG324" s="80">
        <v>0</v>
      </c>
      <c r="AH324" s="80">
        <v>0</v>
      </c>
      <c r="AI324" s="80">
        <v>0</v>
      </c>
      <c r="AJ324" s="80">
        <v>0</v>
      </c>
      <c r="AK324" s="80">
        <v>0</v>
      </c>
      <c r="AL324" s="80">
        <v>0</v>
      </c>
      <c r="AM324" s="80">
        <v>0</v>
      </c>
      <c r="AN324" s="64"/>
    </row>
    <row r="325" spans="1:40" s="3" customFormat="1">
      <c r="A325" s="117"/>
      <c r="B325" s="36"/>
      <c r="C325"/>
      <c r="D325" s="160" t="s">
        <v>428</v>
      </c>
      <c r="E325" s="36"/>
      <c r="F325" s="36"/>
      <c r="G325" s="36"/>
      <c r="H325" s="36"/>
      <c r="I325" s="36"/>
      <c r="J325"/>
      <c r="K325"/>
      <c r="L325"/>
      <c r="M325"/>
      <c r="N325"/>
      <c r="O325"/>
      <c r="P325"/>
      <c r="Q325"/>
      <c r="R325" s="7"/>
      <c r="S325" s="7"/>
      <c r="T325" s="68"/>
      <c r="U325" s="7"/>
      <c r="V325" s="7"/>
      <c r="W325" s="7"/>
      <c r="X325" s="7"/>
      <c r="Y325" s="80">
        <v>-10.327999999999999</v>
      </c>
      <c r="Z325" s="80">
        <v>-3.117</v>
      </c>
      <c r="AA325" s="80">
        <v>-5.6269999999999998</v>
      </c>
      <c r="AB325" s="7">
        <f>+AB339/AA341*AB323</f>
        <v>-7.6473599999999999</v>
      </c>
      <c r="AC325" s="7">
        <f t="shared" ref="AC325:AM325" si="472">+AC339/AB341*AC323</f>
        <v>-7.0355711999999997</v>
      </c>
      <c r="AD325" s="7">
        <f t="shared" si="472"/>
        <v>-6.4727255040000014</v>
      </c>
      <c r="AE325" s="7">
        <f t="shared" si="472"/>
        <v>-5.9549074636800006</v>
      </c>
      <c r="AF325" s="7">
        <f t="shared" si="472"/>
        <v>-5.4785148665856003</v>
      </c>
      <c r="AG325" s="7">
        <f t="shared" si="472"/>
        <v>-5.0402336772587528</v>
      </c>
      <c r="AH325" s="7">
        <f t="shared" si="472"/>
        <v>-4.6370149830780525</v>
      </c>
      <c r="AI325" s="7">
        <f t="shared" si="472"/>
        <v>-4.2660537844318078</v>
      </c>
      <c r="AJ325" s="7">
        <f t="shared" si="472"/>
        <v>-3.9247694816772629</v>
      </c>
      <c r="AK325" s="7">
        <f t="shared" si="472"/>
        <v>-3.6107879231430822</v>
      </c>
      <c r="AL325" s="7">
        <f t="shared" si="472"/>
        <v>-3.321924889291636</v>
      </c>
      <c r="AM325" s="7">
        <f t="shared" si="472"/>
        <v>-3.0561708981483049</v>
      </c>
      <c r="AN325" s="64"/>
    </row>
    <row r="326" spans="1:40" s="3" customFormat="1">
      <c r="A326" s="117"/>
      <c r="B326" s="36"/>
      <c r="C326"/>
      <c r="D326" s="160" t="s">
        <v>128</v>
      </c>
      <c r="E326" s="36"/>
      <c r="F326" s="36"/>
      <c r="G326" s="36"/>
      <c r="H326" s="36"/>
      <c r="I326" s="36"/>
      <c r="J326"/>
      <c r="K326"/>
      <c r="L326"/>
      <c r="M326"/>
      <c r="N326"/>
      <c r="O326"/>
      <c r="P326"/>
      <c r="Q326"/>
      <c r="R326" s="7"/>
      <c r="S326" s="7"/>
      <c r="T326" s="7"/>
      <c r="U326" s="7"/>
      <c r="V326" s="7"/>
      <c r="W326" s="7"/>
      <c r="X326" s="7"/>
      <c r="Y326" s="7">
        <f t="shared" ref="Y326:Z326" si="473">+Y327-SUM(Y323:Y325)</f>
        <v>0</v>
      </c>
      <c r="Z326" s="7">
        <f t="shared" si="473"/>
        <v>0</v>
      </c>
      <c r="AA326" s="7">
        <f>+AA327-SUM(AA323:AA325)</f>
        <v>0</v>
      </c>
      <c r="AB326" s="80">
        <v>0</v>
      </c>
      <c r="AC326" s="80">
        <v>0</v>
      </c>
      <c r="AD326" s="80">
        <v>0</v>
      </c>
      <c r="AE326" s="80">
        <v>0</v>
      </c>
      <c r="AF326" s="80">
        <v>0</v>
      </c>
      <c r="AG326" s="80">
        <v>0</v>
      </c>
      <c r="AH326" s="80">
        <v>0</v>
      </c>
      <c r="AI326" s="80">
        <v>0</v>
      </c>
      <c r="AJ326" s="80">
        <v>0</v>
      </c>
      <c r="AK326" s="80">
        <v>0</v>
      </c>
      <c r="AL326" s="80">
        <v>0</v>
      </c>
      <c r="AM326" s="80">
        <v>0</v>
      </c>
      <c r="AN326" s="64"/>
    </row>
    <row r="327" spans="1:40" s="3" customFormat="1">
      <c r="A327" s="117"/>
      <c r="B327" s="36"/>
      <c r="C327"/>
      <c r="D327" s="2" t="s">
        <v>429</v>
      </c>
      <c r="E327" s="2"/>
      <c r="F327" s="2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186">
        <v>114.664</v>
      </c>
      <c r="Y327" s="186">
        <v>104.336</v>
      </c>
      <c r="Z327" s="186">
        <v>101.21899999999999</v>
      </c>
      <c r="AA327" s="186">
        <v>95.591999999999999</v>
      </c>
      <c r="AB327" s="8">
        <f>SUM(AB323:AB326)</f>
        <v>87.944639999999993</v>
      </c>
      <c r="AC327" s="8">
        <f t="shared" ref="AC327" si="474">SUM(AC323:AC326)</f>
        <v>80.9090688</v>
      </c>
      <c r="AD327" s="8">
        <f t="shared" ref="AD327" si="475">SUM(AD323:AD326)</f>
        <v>74.436343296000004</v>
      </c>
      <c r="AE327" s="8">
        <f t="shared" ref="AE327" si="476">SUM(AE323:AE326)</f>
        <v>68.481435832320003</v>
      </c>
      <c r="AF327" s="8">
        <f t="shared" ref="AF327" si="477">SUM(AF323:AF326)</f>
        <v>63.002920965734404</v>
      </c>
      <c r="AG327" s="8">
        <f t="shared" ref="AG327" si="478">SUM(AG323:AG326)</f>
        <v>57.962687288475649</v>
      </c>
      <c r="AH327" s="8">
        <f t="shared" ref="AH327" si="479">SUM(AH323:AH326)</f>
        <v>53.325672305397596</v>
      </c>
      <c r="AI327" s="8">
        <f t="shared" ref="AI327" si="480">SUM(AI323:AI326)</f>
        <v>49.059618520965785</v>
      </c>
      <c r="AJ327" s="8">
        <f t="shared" ref="AJ327" si="481">SUM(AJ323:AJ326)</f>
        <v>45.134849039288525</v>
      </c>
      <c r="AK327" s="8">
        <f t="shared" ref="AK327" si="482">SUM(AK323:AK326)</f>
        <v>41.524061116145447</v>
      </c>
      <c r="AL327" s="8">
        <f t="shared" ref="AL327" si="483">SUM(AL323:AL326)</f>
        <v>38.20213622685381</v>
      </c>
      <c r="AM327" s="8">
        <f t="shared" ref="AM327" si="484">SUM(AM323:AM326)</f>
        <v>35.145965328705508</v>
      </c>
      <c r="AN327" s="316"/>
    </row>
    <row r="328" spans="1:40" s="3" customFormat="1">
      <c r="A328" s="117"/>
      <c r="B328" s="36"/>
      <c r="C328"/>
      <c r="D328" s="160"/>
      <c r="E328" s="36"/>
      <c r="F328" s="36"/>
      <c r="G328" s="36"/>
      <c r="H328" s="36"/>
      <c r="I328" s="36"/>
      <c r="J328"/>
      <c r="K328"/>
      <c r="L328"/>
      <c r="M328"/>
      <c r="N328"/>
      <c r="O328"/>
      <c r="P328"/>
      <c r="Q328"/>
      <c r="R328" s="7"/>
      <c r="S328" s="7"/>
      <c r="T328" s="7"/>
      <c r="U328" s="7"/>
      <c r="V328" s="7"/>
      <c r="W328" s="7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4"/>
    </row>
    <row r="329" spans="1:40" s="3" customFormat="1">
      <c r="A329" s="117"/>
      <c r="B329" s="36"/>
      <c r="C329"/>
      <c r="D329" s="307" t="s">
        <v>430</v>
      </c>
      <c r="E329" s="155"/>
      <c r="F329" s="155"/>
      <c r="G329" s="155"/>
      <c r="H329" s="155"/>
      <c r="I329" s="155"/>
      <c r="R329" s="64"/>
      <c r="S329" s="64"/>
      <c r="T329" s="64"/>
      <c r="U329" s="64"/>
      <c r="V329" s="64"/>
      <c r="W329" s="64"/>
      <c r="X329" s="64"/>
      <c r="Y329" s="64">
        <f t="shared" ref="Y329:Z329" si="485">+X333</f>
        <v>22.62</v>
      </c>
      <c r="Z329" s="64">
        <f t="shared" si="485"/>
        <v>51.51</v>
      </c>
      <c r="AA329" s="64">
        <f>+Z333</f>
        <v>63.133749999999999</v>
      </c>
      <c r="AB329" s="64">
        <f t="shared" ref="AB329:AM329" si="486">+AA333</f>
        <v>95.64</v>
      </c>
      <c r="AC329" s="64">
        <f t="shared" si="486"/>
        <v>107.9448</v>
      </c>
      <c r="AD329" s="64">
        <f t="shared" ca="1" si="486"/>
        <v>120.43597267177529</v>
      </c>
      <c r="AE329" s="64">
        <f t="shared" ca="1" si="486"/>
        <v>131.42660440232899</v>
      </c>
      <c r="AF329" s="64">
        <f t="shared" ca="1" si="486"/>
        <v>141.07539159265181</v>
      </c>
      <c r="AG329" s="64">
        <f t="shared" ca="1" si="486"/>
        <v>148.09948106196458</v>
      </c>
      <c r="AH329" s="64">
        <f t="shared" ca="1" si="486"/>
        <v>154.5616433280608</v>
      </c>
      <c r="AI329" s="64">
        <f t="shared" ca="1" si="486"/>
        <v>160.50683256157649</v>
      </c>
      <c r="AJ329" s="64">
        <f t="shared" ca="1" si="486"/>
        <v>165.97640659880503</v>
      </c>
      <c r="AK329" s="64">
        <f t="shared" ca="1" si="486"/>
        <v>171.00841464835929</v>
      </c>
      <c r="AL329" s="64">
        <f t="shared" ca="1" si="486"/>
        <v>175.63786198129054</v>
      </c>
      <c r="AM329" s="64">
        <f t="shared" ca="1" si="486"/>
        <v>179.89695344598576</v>
      </c>
      <c r="AN329" s="64"/>
    </row>
    <row r="330" spans="1:40" s="3" customFormat="1">
      <c r="A330" s="117"/>
      <c r="B330" s="36"/>
      <c r="C330"/>
      <c r="D330" s="160" t="s">
        <v>437</v>
      </c>
      <c r="E330" s="36"/>
      <c r="F330" s="36"/>
      <c r="G330" s="36"/>
      <c r="H330" s="36"/>
      <c r="I330" s="36"/>
      <c r="J330"/>
      <c r="K330"/>
      <c r="L330"/>
      <c r="M330"/>
      <c r="N330"/>
      <c r="O330"/>
      <c r="P330"/>
      <c r="Q330"/>
      <c r="R330" s="7"/>
      <c r="S330" s="7"/>
      <c r="T330" s="7"/>
      <c r="U330" s="7"/>
      <c r="V330" s="7"/>
      <c r="W330" s="7"/>
      <c r="X330" s="7"/>
      <c r="Y330" s="309">
        <f t="shared" ref="Y330:AM330" si="487">+Y315*$F$333</f>
        <v>8.25</v>
      </c>
      <c r="Z330" s="309">
        <f t="shared" si="487"/>
        <v>6.0374999999999996</v>
      </c>
      <c r="AA330" s="309">
        <f t="shared" si="487"/>
        <v>22.916249999999998</v>
      </c>
      <c r="AB330" s="309">
        <f t="shared" si="487"/>
        <v>2.5</v>
      </c>
      <c r="AC330" s="309">
        <f t="shared" ca="1" si="487"/>
        <v>3.470756723694866</v>
      </c>
      <c r="AD330" s="309">
        <f t="shared" ca="1" si="487"/>
        <v>2.6918491356032974</v>
      </c>
      <c r="AE330" s="309">
        <f t="shared" ca="1" si="487"/>
        <v>2.0139072881715516</v>
      </c>
      <c r="AF330" s="309">
        <f t="shared" ca="1" si="487"/>
        <v>0</v>
      </c>
      <c r="AG330" s="309">
        <f t="shared" ca="1" si="487"/>
        <v>0</v>
      </c>
      <c r="AH330" s="309">
        <f t="shared" ca="1" si="487"/>
        <v>0</v>
      </c>
      <c r="AI330" s="309">
        <f t="shared" ca="1" si="487"/>
        <v>0</v>
      </c>
      <c r="AJ330" s="309">
        <f t="shared" ca="1" si="487"/>
        <v>0</v>
      </c>
      <c r="AK330" s="309">
        <f t="shared" ca="1" si="487"/>
        <v>0</v>
      </c>
      <c r="AL330" s="309">
        <f t="shared" ca="1" si="487"/>
        <v>0</v>
      </c>
      <c r="AM330" s="309">
        <f t="shared" ca="1" si="487"/>
        <v>0</v>
      </c>
      <c r="AN330" s="64"/>
    </row>
    <row r="331" spans="1:40" s="3" customFormat="1">
      <c r="A331" s="117"/>
      <c r="B331" s="36"/>
      <c r="C331"/>
      <c r="D331" s="160" t="s">
        <v>432</v>
      </c>
      <c r="E331" s="36"/>
      <c r="F331" s="36"/>
      <c r="G331" s="36"/>
      <c r="H331" s="36"/>
      <c r="I331" s="36"/>
      <c r="J331"/>
      <c r="K331"/>
      <c r="L331"/>
      <c r="M331"/>
      <c r="N331"/>
      <c r="O331"/>
      <c r="P331"/>
      <c r="Q331"/>
      <c r="R331" s="7"/>
      <c r="S331" s="7"/>
      <c r="T331" s="7"/>
      <c r="U331" s="7"/>
      <c r="V331" s="7"/>
      <c r="W331" s="7"/>
      <c r="X331" s="7"/>
      <c r="Y331" s="275">
        <f>+Y316*$F$333</f>
        <v>14.16375</v>
      </c>
      <c r="Z331" s="275">
        <f>+Z316*$F$333</f>
        <v>5.4012499999999992</v>
      </c>
      <c r="AA331" s="275">
        <f>+AA316*$F$333</f>
        <v>9.1012500000000003</v>
      </c>
      <c r="AB331" s="309">
        <f>+-AB339</f>
        <v>9.8047999999999984</v>
      </c>
      <c r="AC331" s="309">
        <f t="shared" ref="AC331:AM331" si="488">+-AC339</f>
        <v>9.0204159999999991</v>
      </c>
      <c r="AD331" s="309">
        <f t="shared" si="488"/>
        <v>8.2987827200000002</v>
      </c>
      <c r="AE331" s="309">
        <f t="shared" si="488"/>
        <v>7.6348801023999986</v>
      </c>
      <c r="AF331" s="309">
        <f t="shared" si="488"/>
        <v>7.0240896942079987</v>
      </c>
      <c r="AG331" s="309">
        <f t="shared" si="488"/>
        <v>6.4621625186713585</v>
      </c>
      <c r="AH331" s="309">
        <f t="shared" si="488"/>
        <v>5.9451895171776492</v>
      </c>
      <c r="AI331" s="309">
        <f t="shared" si="488"/>
        <v>5.4695743558034371</v>
      </c>
      <c r="AJ331" s="309">
        <f t="shared" si="488"/>
        <v>5.0320084073391618</v>
      </c>
      <c r="AK331" s="309">
        <f t="shared" si="488"/>
        <v>4.6294477347520289</v>
      </c>
      <c r="AL331" s="309">
        <f t="shared" si="488"/>
        <v>4.259091915971867</v>
      </c>
      <c r="AM331" s="309">
        <f t="shared" si="488"/>
        <v>3.9183645626941179</v>
      </c>
      <c r="AN331" s="64"/>
    </row>
    <row r="332" spans="1:40" s="3" customFormat="1">
      <c r="A332" s="117"/>
      <c r="B332" s="36"/>
      <c r="C332"/>
      <c r="D332" s="160" t="s">
        <v>128</v>
      </c>
      <c r="E332" s="36"/>
      <c r="F332" s="36"/>
      <c r="G332" s="36"/>
      <c r="H332" s="36"/>
      <c r="I332" s="36"/>
      <c r="J332"/>
      <c r="K332"/>
      <c r="L332"/>
      <c r="M332"/>
      <c r="N332"/>
      <c r="O332"/>
      <c r="P332"/>
      <c r="Q332"/>
      <c r="R332" s="7"/>
      <c r="S332" s="7"/>
      <c r="T332" s="7"/>
      <c r="U332" s="7"/>
      <c r="V332" s="7"/>
      <c r="W332" s="7"/>
      <c r="X332" s="7"/>
      <c r="Y332" s="7">
        <f t="shared" ref="Y332" si="489">+Y333-SUM(Y329:Y331)</f>
        <v>6.4762500000000003</v>
      </c>
      <c r="Z332" s="7">
        <f t="shared" ref="Z332" si="490">+Z333-SUM(Z329:Z331)</f>
        <v>0.18500000000000227</v>
      </c>
      <c r="AA332" s="7">
        <f>+AA333-SUM(AA329:AA331)</f>
        <v>0.48874999999999602</v>
      </c>
      <c r="AB332" s="80">
        <v>0</v>
      </c>
      <c r="AC332" s="80">
        <v>0</v>
      </c>
      <c r="AD332" s="80">
        <v>0</v>
      </c>
      <c r="AE332" s="80">
        <v>0</v>
      </c>
      <c r="AF332" s="80">
        <v>0</v>
      </c>
      <c r="AG332" s="80">
        <v>0</v>
      </c>
      <c r="AH332" s="80">
        <v>0</v>
      </c>
      <c r="AI332" s="80">
        <v>0</v>
      </c>
      <c r="AJ332" s="80">
        <v>0</v>
      </c>
      <c r="AK332" s="80">
        <v>0</v>
      </c>
      <c r="AL332" s="80">
        <v>0</v>
      </c>
      <c r="AM332" s="80">
        <v>0</v>
      </c>
      <c r="AN332" s="64"/>
    </row>
    <row r="333" spans="1:40" s="3" customFormat="1">
      <c r="A333" s="117"/>
      <c r="B333" s="36"/>
      <c r="C333"/>
      <c r="D333" s="2" t="s">
        <v>431</v>
      </c>
      <c r="E333" s="2"/>
      <c r="F333" s="308">
        <v>1.25</v>
      </c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101">
        <f>+X318*$F$333</f>
        <v>22.62</v>
      </c>
      <c r="Y333" s="101">
        <f t="shared" ref="Y333:AA333" si="491">+Y318*$F$333</f>
        <v>51.51</v>
      </c>
      <c r="Z333" s="101">
        <f t="shared" si="491"/>
        <v>63.133749999999999</v>
      </c>
      <c r="AA333" s="101">
        <f t="shared" si="491"/>
        <v>95.64</v>
      </c>
      <c r="AB333" s="8">
        <f>SUM(AB329:AB332)</f>
        <v>107.9448</v>
      </c>
      <c r="AC333" s="8">
        <f t="shared" ref="AC333" ca="1" si="492">SUM(AC329:AC332)</f>
        <v>120.43597272369486</v>
      </c>
      <c r="AD333" s="8">
        <f t="shared" ref="AD333" ca="1" si="493">SUM(AD329:AD332)</f>
        <v>131.42660452737857</v>
      </c>
      <c r="AE333" s="8">
        <f t="shared" ref="AE333" ca="1" si="494">SUM(AE329:AE332)</f>
        <v>141.07539179290052</v>
      </c>
      <c r="AF333" s="8">
        <f t="shared" ref="AF333" ca="1" si="495">SUM(AF329:AF332)</f>
        <v>148.0994812868598</v>
      </c>
      <c r="AG333" s="8">
        <f t="shared" ref="AG333" ca="1" si="496">SUM(AG329:AG332)</f>
        <v>154.56164358063594</v>
      </c>
      <c r="AH333" s="8">
        <f t="shared" ref="AH333" ca="1" si="497">SUM(AH329:AH332)</f>
        <v>160.50683284523845</v>
      </c>
      <c r="AI333" s="8">
        <f t="shared" ref="AI333" ca="1" si="498">SUM(AI329:AI332)</f>
        <v>165.97640691737993</v>
      </c>
      <c r="AJ333" s="8">
        <f t="shared" ref="AJ333" ca="1" si="499">SUM(AJ329:AJ332)</f>
        <v>171.00841500614419</v>
      </c>
      <c r="AK333" s="8">
        <f t="shared" ref="AK333" ca="1" si="500">SUM(AK329:AK332)</f>
        <v>175.63786238311133</v>
      </c>
      <c r="AL333" s="8">
        <f t="shared" ref="AL333" ca="1" si="501">SUM(AL329:AL332)</f>
        <v>179.89695389726242</v>
      </c>
      <c r="AM333" s="8">
        <f t="shared" ref="AM333" ca="1" si="502">SUM(AM329:AM332)</f>
        <v>183.81531800867987</v>
      </c>
      <c r="AN333" s="64"/>
    </row>
    <row r="334" spans="1:40" s="3" customFormat="1">
      <c r="A334" s="117"/>
      <c r="B334" s="36"/>
      <c r="C334"/>
      <c r="D334" s="311" t="s">
        <v>438</v>
      </c>
      <c r="E334" s="247"/>
      <c r="F334" s="247"/>
      <c r="G334" s="247"/>
      <c r="H334" s="247"/>
      <c r="I334" s="247"/>
      <c r="J334" s="247"/>
      <c r="K334" s="247"/>
      <c r="L334" s="247"/>
      <c r="M334" s="247"/>
      <c r="N334" s="247"/>
      <c r="O334" s="247"/>
      <c r="P334" s="247"/>
      <c r="Q334" s="247"/>
      <c r="R334" s="241"/>
      <c r="S334" s="241"/>
      <c r="T334" s="241"/>
      <c r="U334" s="241"/>
      <c r="V334" s="241"/>
      <c r="W334" s="241"/>
      <c r="X334" s="243">
        <f t="shared" ref="X334:AM334" si="503">+X333/X346</f>
        <v>0.13166472642607682</v>
      </c>
      <c r="Y334" s="243">
        <f t="shared" si="503"/>
        <v>0.2741351782863225</v>
      </c>
      <c r="Z334" s="243">
        <f t="shared" si="503"/>
        <v>0.32442831449126414</v>
      </c>
      <c r="AA334" s="243">
        <f t="shared" si="503"/>
        <v>0.43831347387717695</v>
      </c>
      <c r="AB334" s="243">
        <f t="shared" si="503"/>
        <v>0.48910194834617132</v>
      </c>
      <c r="AC334" s="243">
        <f t="shared" ca="1" si="503"/>
        <v>0.53725104251681643</v>
      </c>
      <c r="AD334" s="243">
        <f t="shared" ca="1" si="503"/>
        <v>0.57932246758821304</v>
      </c>
      <c r="AE334" s="243">
        <f t="shared" ca="1" si="503"/>
        <v>0.61638212713644924</v>
      </c>
      <c r="AF334" s="243">
        <f t="shared" ca="1" si="503"/>
        <v>0.64707155679642236</v>
      </c>
      <c r="AG334" s="243">
        <f t="shared" ca="1" si="503"/>
        <v>0.67530583209394124</v>
      </c>
      <c r="AH334" s="243">
        <f t="shared" ca="1" si="503"/>
        <v>0.70128136538031094</v>
      </c>
      <c r="AI334" s="243">
        <f t="shared" ca="1" si="503"/>
        <v>0.72517885601905041</v>
      </c>
      <c r="AJ334" s="243">
        <f t="shared" ca="1" si="503"/>
        <v>0.74716454742495586</v>
      </c>
      <c r="AK334" s="243">
        <f t="shared" ca="1" si="503"/>
        <v>0.76739138354004455</v>
      </c>
      <c r="AL334" s="243">
        <f t="shared" ca="1" si="503"/>
        <v>0.78600007279142747</v>
      </c>
      <c r="AM334" s="243">
        <f t="shared" ca="1" si="503"/>
        <v>0.80312006693255844</v>
      </c>
      <c r="AN334" s="64"/>
    </row>
    <row r="335" spans="1:40" s="3" customFormat="1">
      <c r="A335" s="117"/>
      <c r="B335" s="36"/>
      <c r="C335"/>
      <c r="D335" s="311" t="s">
        <v>439</v>
      </c>
      <c r="E335" s="247"/>
      <c r="F335" s="247"/>
      <c r="G335" s="247"/>
      <c r="H335" s="247"/>
      <c r="I335" s="247"/>
      <c r="J335" s="247"/>
      <c r="K335" s="247"/>
      <c r="L335" s="247"/>
      <c r="M335" s="247"/>
      <c r="N335" s="247"/>
      <c r="O335" s="247"/>
      <c r="P335" s="247"/>
      <c r="Q335" s="247"/>
      <c r="R335" s="241"/>
      <c r="S335" s="241"/>
      <c r="T335" s="241"/>
      <c r="U335" s="241"/>
      <c r="V335" s="241"/>
      <c r="W335" s="241"/>
      <c r="X335" s="243">
        <f t="shared" ref="X335:Z335" si="504">1-X334</f>
        <v>0.86833527357392315</v>
      </c>
      <c r="Y335" s="243">
        <f t="shared" si="504"/>
        <v>0.7258648217136775</v>
      </c>
      <c r="Z335" s="243">
        <f t="shared" si="504"/>
        <v>0.67557168550873592</v>
      </c>
      <c r="AA335" s="243">
        <f>1-AA334</f>
        <v>0.56168652612282299</v>
      </c>
      <c r="AB335" s="243">
        <f t="shared" ref="AB335:AM335" si="505">1-AB334</f>
        <v>0.51089805165382862</v>
      </c>
      <c r="AC335" s="243">
        <f t="shared" ca="1" si="505"/>
        <v>0.46274895748318357</v>
      </c>
      <c r="AD335" s="243">
        <f t="shared" ca="1" si="505"/>
        <v>0.42067753241178696</v>
      </c>
      <c r="AE335" s="243">
        <f t="shared" ca="1" si="505"/>
        <v>0.38361787286355076</v>
      </c>
      <c r="AF335" s="243">
        <f t="shared" ca="1" si="505"/>
        <v>0.35292844320357764</v>
      </c>
      <c r="AG335" s="243">
        <f t="shared" ca="1" si="505"/>
        <v>0.32469416790605876</v>
      </c>
      <c r="AH335" s="243">
        <f t="shared" ca="1" si="505"/>
        <v>0.29871863461968906</v>
      </c>
      <c r="AI335" s="243">
        <f t="shared" ca="1" si="505"/>
        <v>0.27482114398094959</v>
      </c>
      <c r="AJ335" s="243">
        <f t="shared" ca="1" si="505"/>
        <v>0.25283545257504414</v>
      </c>
      <c r="AK335" s="243">
        <f t="shared" ca="1" si="505"/>
        <v>0.23260861645995545</v>
      </c>
      <c r="AL335" s="243">
        <f t="shared" ca="1" si="505"/>
        <v>0.21399992720857253</v>
      </c>
      <c r="AM335" s="243">
        <f t="shared" ca="1" si="505"/>
        <v>0.19687993306744156</v>
      </c>
      <c r="AN335" s="64"/>
    </row>
    <row r="336" spans="1:40" s="3" customFormat="1">
      <c r="A336" s="117"/>
      <c r="B336" s="36"/>
      <c r="C336"/>
      <c r="D336" s="160"/>
      <c r="E336" s="36"/>
      <c r="F336" s="36"/>
      <c r="G336" s="36"/>
      <c r="H336" s="36"/>
      <c r="I336" s="36"/>
      <c r="J336"/>
      <c r="K336"/>
      <c r="L336"/>
      <c r="M336"/>
      <c r="N336"/>
      <c r="O336"/>
      <c r="P336"/>
      <c r="Q336"/>
      <c r="R336" s="7"/>
      <c r="S336" s="7"/>
      <c r="T336" s="7"/>
      <c r="U336" s="7"/>
      <c r="V336" s="7"/>
      <c r="W336" s="7"/>
      <c r="X336" s="68"/>
      <c r="Y336" s="68"/>
      <c r="Z336" s="68"/>
      <c r="AA336" s="68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64"/>
    </row>
    <row r="337" spans="1:40" s="3" customFormat="1">
      <c r="A337" s="117"/>
      <c r="B337" s="36"/>
      <c r="C337"/>
      <c r="D337" s="307" t="s">
        <v>433</v>
      </c>
      <c r="E337" s="155"/>
      <c r="F337" s="155"/>
      <c r="G337" s="155"/>
      <c r="H337" s="155"/>
      <c r="I337" s="155"/>
      <c r="R337" s="64"/>
      <c r="S337" s="64"/>
      <c r="T337" s="64"/>
      <c r="U337" s="64"/>
      <c r="V337" s="64"/>
      <c r="W337" s="64"/>
      <c r="X337" s="64"/>
      <c r="Y337" s="64">
        <f t="shared" ref="Y337:Z337" si="506">+X341</f>
        <v>149.18</v>
      </c>
      <c r="Z337" s="64">
        <f t="shared" si="506"/>
        <v>136.39000000000001</v>
      </c>
      <c r="AA337" s="64">
        <f>+Z341</f>
        <v>131.46625</v>
      </c>
      <c r="AB337" s="64">
        <f t="shared" ref="AB337:AM337" si="507">+AA341</f>
        <v>122.55999999999999</v>
      </c>
      <c r="AC337" s="64">
        <f t="shared" si="507"/>
        <v>112.75519999999999</v>
      </c>
      <c r="AD337" s="64">
        <f t="shared" si="507"/>
        <v>103.73478399999999</v>
      </c>
      <c r="AE337" s="64">
        <f t="shared" si="507"/>
        <v>95.436001279999985</v>
      </c>
      <c r="AF337" s="64">
        <f t="shared" si="507"/>
        <v>87.801121177599981</v>
      </c>
      <c r="AG337" s="64">
        <f t="shared" si="507"/>
        <v>80.77703148339198</v>
      </c>
      <c r="AH337" s="64">
        <f t="shared" si="507"/>
        <v>74.314868964720617</v>
      </c>
      <c r="AI337" s="64">
        <f t="shared" si="507"/>
        <v>68.369679447542964</v>
      </c>
      <c r="AJ337" s="64">
        <f t="shared" si="507"/>
        <v>62.900105091739526</v>
      </c>
      <c r="AK337" s="64">
        <f t="shared" si="507"/>
        <v>57.868096684400363</v>
      </c>
      <c r="AL337" s="64">
        <f t="shared" si="507"/>
        <v>53.238648949648336</v>
      </c>
      <c r="AM337" s="64">
        <f t="shared" si="507"/>
        <v>48.979557033676471</v>
      </c>
      <c r="AN337" s="64"/>
    </row>
    <row r="338" spans="1:40" s="3" customFormat="1">
      <c r="A338" s="117"/>
      <c r="B338" s="36"/>
      <c r="C338"/>
      <c r="D338" s="160" t="s">
        <v>437</v>
      </c>
      <c r="E338" s="36"/>
      <c r="F338" s="36"/>
      <c r="G338" s="36"/>
      <c r="H338" s="36"/>
      <c r="I338" s="36"/>
      <c r="J338"/>
      <c r="K338"/>
      <c r="L338"/>
      <c r="M338"/>
      <c r="N338"/>
      <c r="O338"/>
      <c r="P338"/>
      <c r="Q338"/>
      <c r="R338" s="7"/>
      <c r="S338" s="7"/>
      <c r="T338" s="7"/>
      <c r="U338" s="7"/>
      <c r="V338" s="7"/>
      <c r="W338" s="7"/>
      <c r="X338" s="7"/>
      <c r="Y338" s="80">
        <v>0</v>
      </c>
      <c r="Z338" s="80">
        <v>0</v>
      </c>
      <c r="AA338" s="80">
        <v>0</v>
      </c>
      <c r="AB338" s="80">
        <v>0</v>
      </c>
      <c r="AC338" s="80">
        <v>0</v>
      </c>
      <c r="AD338" s="80">
        <v>0</v>
      </c>
      <c r="AE338" s="80">
        <v>0</v>
      </c>
      <c r="AF338" s="80">
        <v>0</v>
      </c>
      <c r="AG338" s="80">
        <v>0</v>
      </c>
      <c r="AH338" s="80">
        <v>0</v>
      </c>
      <c r="AI338" s="80">
        <v>0</v>
      </c>
      <c r="AJ338" s="80">
        <v>0</v>
      </c>
      <c r="AK338" s="80">
        <v>0</v>
      </c>
      <c r="AL338" s="80">
        <v>0</v>
      </c>
      <c r="AM338" s="80">
        <v>0</v>
      </c>
      <c r="AN338" s="64"/>
    </row>
    <row r="339" spans="1:40" s="3" customFormat="1">
      <c r="A339" s="117"/>
      <c r="B339" s="36"/>
      <c r="C339"/>
      <c r="D339" s="160" t="s">
        <v>432</v>
      </c>
      <c r="E339" s="36"/>
      <c r="F339" s="36"/>
      <c r="G339" s="36"/>
      <c r="H339" s="36"/>
      <c r="I339" s="36"/>
      <c r="J339"/>
      <c r="K339"/>
      <c r="L339"/>
      <c r="M339"/>
      <c r="N339"/>
      <c r="O339"/>
      <c r="P339"/>
      <c r="Q339"/>
      <c r="R339" s="7"/>
      <c r="S339" s="7"/>
      <c r="T339" s="7"/>
      <c r="U339" s="7"/>
      <c r="V339" s="7"/>
      <c r="W339" s="7"/>
      <c r="X339" s="7"/>
      <c r="Y339" s="75">
        <f>-Y331</f>
        <v>-14.16375</v>
      </c>
      <c r="Z339" s="75">
        <f>-Z331</f>
        <v>-5.4012499999999992</v>
      </c>
      <c r="AA339" s="75">
        <f>-AA331</f>
        <v>-9.1012500000000003</v>
      </c>
      <c r="AB339" s="80">
        <f>-AA341*0.08</f>
        <v>-9.8047999999999984</v>
      </c>
      <c r="AC339" s="80">
        <f t="shared" ref="AC339:AM339" si="508">-AB341*0.08</f>
        <v>-9.0204159999999991</v>
      </c>
      <c r="AD339" s="80">
        <f t="shared" si="508"/>
        <v>-8.2987827200000002</v>
      </c>
      <c r="AE339" s="80">
        <f t="shared" si="508"/>
        <v>-7.6348801023999986</v>
      </c>
      <c r="AF339" s="80">
        <f t="shared" si="508"/>
        <v>-7.0240896942079987</v>
      </c>
      <c r="AG339" s="80">
        <f t="shared" si="508"/>
        <v>-6.4621625186713585</v>
      </c>
      <c r="AH339" s="80">
        <f t="shared" si="508"/>
        <v>-5.9451895171776492</v>
      </c>
      <c r="AI339" s="80">
        <f t="shared" si="508"/>
        <v>-5.4695743558034371</v>
      </c>
      <c r="AJ339" s="80">
        <f t="shared" si="508"/>
        <v>-5.0320084073391618</v>
      </c>
      <c r="AK339" s="80">
        <f t="shared" si="508"/>
        <v>-4.6294477347520289</v>
      </c>
      <c r="AL339" s="80">
        <f t="shared" si="508"/>
        <v>-4.259091915971867</v>
      </c>
      <c r="AM339" s="80">
        <f t="shared" si="508"/>
        <v>-3.9183645626941179</v>
      </c>
      <c r="AN339" s="64"/>
    </row>
    <row r="340" spans="1:40" s="3" customFormat="1">
      <c r="A340" s="117"/>
      <c r="B340" s="36"/>
      <c r="C340"/>
      <c r="D340" s="160" t="s">
        <v>128</v>
      </c>
      <c r="E340" s="36"/>
      <c r="F340" s="36"/>
      <c r="G340" s="36"/>
      <c r="H340" s="36"/>
      <c r="I340" s="36"/>
      <c r="J340"/>
      <c r="K340"/>
      <c r="L340"/>
      <c r="M340"/>
      <c r="N340"/>
      <c r="O340"/>
      <c r="P340"/>
      <c r="Q340"/>
      <c r="R340" s="7"/>
      <c r="S340" s="7"/>
      <c r="T340" s="7"/>
      <c r="U340" s="7"/>
      <c r="V340" s="7"/>
      <c r="W340" s="7"/>
      <c r="X340" s="7"/>
      <c r="Y340" s="7">
        <f t="shared" ref="Y340" si="509">+Y341-SUM(Y337:Y339)</f>
        <v>1.3737500000000011</v>
      </c>
      <c r="Z340" s="7">
        <f t="shared" ref="Z340" si="510">+Z341-SUM(Z337:Z339)</f>
        <v>0.47749999999999204</v>
      </c>
      <c r="AA340" s="7">
        <f>+AA341-SUM(AA337:AA339)</f>
        <v>0.19499999999997897</v>
      </c>
      <c r="AB340" s="80">
        <v>0</v>
      </c>
      <c r="AC340" s="80">
        <v>0</v>
      </c>
      <c r="AD340" s="80">
        <v>0</v>
      </c>
      <c r="AE340" s="80">
        <v>0</v>
      </c>
      <c r="AF340" s="80">
        <v>0</v>
      </c>
      <c r="AG340" s="80">
        <v>0</v>
      </c>
      <c r="AH340" s="80">
        <v>0</v>
      </c>
      <c r="AI340" s="80">
        <v>0</v>
      </c>
      <c r="AJ340" s="80">
        <v>0</v>
      </c>
      <c r="AK340" s="80">
        <v>0</v>
      </c>
      <c r="AL340" s="80">
        <v>0</v>
      </c>
      <c r="AM340" s="80">
        <v>0</v>
      </c>
      <c r="AN340" s="64"/>
    </row>
    <row r="341" spans="1:40" s="3" customFormat="1">
      <c r="A341" s="117"/>
      <c r="B341" s="36"/>
      <c r="C341"/>
      <c r="D341" s="2" t="s">
        <v>434</v>
      </c>
      <c r="E341" s="2"/>
      <c r="F341" s="2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186">
        <f>+X346-X333</f>
        <v>149.18</v>
      </c>
      <c r="Y341" s="186">
        <f>+Y346-Y333</f>
        <v>136.39000000000001</v>
      </c>
      <c r="Z341" s="186">
        <f>+Z346-Z333</f>
        <v>131.46625</v>
      </c>
      <c r="AA341" s="186">
        <f>+AA346-AA333</f>
        <v>122.55999999999999</v>
      </c>
      <c r="AB341" s="8">
        <f>SUM(AB337:AB340)</f>
        <v>112.75519999999999</v>
      </c>
      <c r="AC341" s="8">
        <f t="shared" ref="AC341" si="511">SUM(AC337:AC340)</f>
        <v>103.73478399999999</v>
      </c>
      <c r="AD341" s="8">
        <f t="shared" ref="AD341" si="512">SUM(AD337:AD340)</f>
        <v>95.436001279999985</v>
      </c>
      <c r="AE341" s="8">
        <f t="shared" ref="AE341" si="513">SUM(AE337:AE340)</f>
        <v>87.801121177599981</v>
      </c>
      <c r="AF341" s="8">
        <f t="shared" ref="AF341" si="514">SUM(AF337:AF340)</f>
        <v>80.77703148339198</v>
      </c>
      <c r="AG341" s="8">
        <f t="shared" ref="AG341" si="515">SUM(AG337:AG340)</f>
        <v>74.314868964720617</v>
      </c>
      <c r="AH341" s="8">
        <f t="shared" ref="AH341" si="516">SUM(AH337:AH340)</f>
        <v>68.369679447542964</v>
      </c>
      <c r="AI341" s="8">
        <f t="shared" ref="AI341" si="517">SUM(AI337:AI340)</f>
        <v>62.900105091739526</v>
      </c>
      <c r="AJ341" s="8">
        <f t="shared" ref="AJ341" si="518">SUM(AJ337:AJ340)</f>
        <v>57.868096684400363</v>
      </c>
      <c r="AK341" s="8">
        <f t="shared" ref="AK341" si="519">SUM(AK337:AK340)</f>
        <v>53.238648949648336</v>
      </c>
      <c r="AL341" s="8">
        <f t="shared" ref="AL341" si="520">SUM(AL337:AL340)</f>
        <v>48.979557033676471</v>
      </c>
      <c r="AM341" s="8">
        <f t="shared" ref="AM341" si="521">SUM(AM337:AM340)</f>
        <v>45.061192470982355</v>
      </c>
      <c r="AN341" s="316"/>
    </row>
    <row r="342" spans="1:40" s="3" customFormat="1">
      <c r="A342" s="117"/>
      <c r="B342" s="36"/>
      <c r="C342"/>
      <c r="D342" s="160"/>
      <c r="E342" s="36"/>
      <c r="F342" s="36"/>
      <c r="G342" s="36"/>
      <c r="H342" s="36"/>
      <c r="I342" s="36"/>
      <c r="J342"/>
      <c r="K342"/>
      <c r="L342"/>
      <c r="M342"/>
      <c r="N342"/>
      <c r="O342"/>
      <c r="P342"/>
      <c r="Q342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64"/>
    </row>
    <row r="343" spans="1:40" s="3" customFormat="1">
      <c r="A343" s="117"/>
      <c r="B343" s="36"/>
      <c r="C343"/>
      <c r="D343" s="307" t="s">
        <v>435</v>
      </c>
      <c r="E343" s="155"/>
      <c r="F343" s="155"/>
      <c r="G343" s="155"/>
      <c r="H343" s="155"/>
      <c r="I343" s="155"/>
      <c r="R343" s="64"/>
      <c r="S343" s="64"/>
      <c r="T343" s="64"/>
      <c r="U343" s="64"/>
      <c r="V343" s="64"/>
      <c r="W343" s="64"/>
      <c r="X343" s="64"/>
      <c r="Y343" s="64">
        <f>+X346</f>
        <v>171.8</v>
      </c>
      <c r="Z343" s="64">
        <f>+Y346</f>
        <v>187.9</v>
      </c>
      <c r="AA343" s="64">
        <f>+Z346</f>
        <v>194.6</v>
      </c>
      <c r="AB343" s="64">
        <f t="shared" ref="AB343:AM343" si="522">+AA346</f>
        <v>218.2</v>
      </c>
      <c r="AC343" s="64">
        <f t="shared" si="522"/>
        <v>220.7</v>
      </c>
      <c r="AD343" s="64">
        <f t="shared" ca="1" si="522"/>
        <v>224.17075667177528</v>
      </c>
      <c r="AE343" s="64">
        <f t="shared" ca="1" si="522"/>
        <v>226.86260568232896</v>
      </c>
      <c r="AF343" s="64">
        <f t="shared" ca="1" si="522"/>
        <v>228.87651277025182</v>
      </c>
      <c r="AG343" s="64">
        <f t="shared" ca="1" si="522"/>
        <v>228.87651254535663</v>
      </c>
      <c r="AH343" s="64">
        <f t="shared" ca="1" si="522"/>
        <v>228.87651229278146</v>
      </c>
      <c r="AI343" s="64">
        <f t="shared" ca="1" si="522"/>
        <v>228.87651200911949</v>
      </c>
      <c r="AJ343" s="64">
        <f t="shared" ca="1" si="522"/>
        <v>228.87651169054459</v>
      </c>
      <c r="AK343" s="64">
        <f t="shared" ca="1" si="522"/>
        <v>228.87651133275972</v>
      </c>
      <c r="AL343" s="64">
        <f t="shared" ca="1" si="522"/>
        <v>228.87651093093891</v>
      </c>
      <c r="AM343" s="64">
        <f t="shared" ca="1" si="522"/>
        <v>228.87651047966222</v>
      </c>
      <c r="AN343" s="64"/>
    </row>
    <row r="344" spans="1:40" s="3" customFormat="1">
      <c r="A344" s="117"/>
      <c r="B344" s="36"/>
      <c r="C344"/>
      <c r="D344" s="160" t="s">
        <v>437</v>
      </c>
      <c r="E344" s="36"/>
      <c r="F344" s="36"/>
      <c r="G344" s="36"/>
      <c r="H344" s="36"/>
      <c r="I344" s="36"/>
      <c r="J344"/>
      <c r="K344"/>
      <c r="L344"/>
      <c r="M344"/>
      <c r="N344"/>
      <c r="O344"/>
      <c r="P344"/>
      <c r="Q344"/>
      <c r="R344" s="7"/>
      <c r="S344" s="7"/>
      <c r="T344" s="7"/>
      <c r="U344" s="7"/>
      <c r="V344" s="7"/>
      <c r="W344" s="7"/>
      <c r="X344" s="7"/>
      <c r="Y344" s="310">
        <f>Y315*$F$333</f>
        <v>8.25</v>
      </c>
      <c r="Z344" s="310">
        <f>Z315*$F$333</f>
        <v>6.0374999999999996</v>
      </c>
      <c r="AA344" s="310">
        <f>AA315*$F$333</f>
        <v>22.916249999999998</v>
      </c>
      <c r="AB344" s="310">
        <f t="shared" ref="AB344:AM344" si="523">AB315*$F$333</f>
        <v>2.5</v>
      </c>
      <c r="AC344" s="310">
        <f t="shared" ca="1" si="523"/>
        <v>3.470756723694866</v>
      </c>
      <c r="AD344" s="310">
        <f t="shared" ca="1" si="523"/>
        <v>2.6918491356032974</v>
      </c>
      <c r="AE344" s="310">
        <f t="shared" ca="1" si="523"/>
        <v>2.0139072881715516</v>
      </c>
      <c r="AF344" s="310">
        <f t="shared" ca="1" si="523"/>
        <v>0</v>
      </c>
      <c r="AG344" s="310">
        <f t="shared" ca="1" si="523"/>
        <v>0</v>
      </c>
      <c r="AH344" s="310">
        <f t="shared" ca="1" si="523"/>
        <v>0</v>
      </c>
      <c r="AI344" s="310">
        <f t="shared" ca="1" si="523"/>
        <v>0</v>
      </c>
      <c r="AJ344" s="310">
        <f t="shared" ca="1" si="523"/>
        <v>0</v>
      </c>
      <c r="AK344" s="310">
        <f t="shared" ca="1" si="523"/>
        <v>0</v>
      </c>
      <c r="AL344" s="310">
        <f t="shared" ca="1" si="523"/>
        <v>0</v>
      </c>
      <c r="AM344" s="310">
        <f t="shared" ca="1" si="523"/>
        <v>0</v>
      </c>
      <c r="AN344" s="64"/>
    </row>
    <row r="345" spans="1:40" s="3" customFormat="1">
      <c r="A345" s="117"/>
      <c r="B345" s="36"/>
      <c r="C345"/>
      <c r="D345" s="160" t="s">
        <v>128</v>
      </c>
      <c r="E345" s="36"/>
      <c r="F345" s="36"/>
      <c r="G345" s="36"/>
      <c r="H345" s="36"/>
      <c r="I345" s="36"/>
      <c r="J345"/>
      <c r="K345"/>
      <c r="L345"/>
      <c r="M345"/>
      <c r="N345"/>
      <c r="O345"/>
      <c r="P345"/>
      <c r="Q345"/>
      <c r="R345" s="7"/>
      <c r="S345" s="7"/>
      <c r="T345" s="7"/>
      <c r="U345" s="7"/>
      <c r="V345" s="7"/>
      <c r="W345" s="7"/>
      <c r="X345" s="7"/>
      <c r="Y345" s="7">
        <f>+Y346-SUM(Y343:Y344)</f>
        <v>7.8499999999999943</v>
      </c>
      <c r="Z345" s="7">
        <f>+Z346-SUM(Z343:Z344)</f>
        <v>0.66249999999999432</v>
      </c>
      <c r="AA345" s="7">
        <f>+AA346-SUM(AA343:AA344)</f>
        <v>0.68375000000000341</v>
      </c>
      <c r="AB345" s="80">
        <v>0</v>
      </c>
      <c r="AC345" s="80">
        <v>0</v>
      </c>
      <c r="AD345" s="80">
        <v>0</v>
      </c>
      <c r="AE345" s="80">
        <v>0</v>
      </c>
      <c r="AF345" s="80">
        <v>0</v>
      </c>
      <c r="AG345" s="80">
        <v>0</v>
      </c>
      <c r="AH345" s="80">
        <v>0</v>
      </c>
      <c r="AI345" s="80">
        <v>0</v>
      </c>
      <c r="AJ345" s="80">
        <v>0</v>
      </c>
      <c r="AK345" s="80">
        <v>0</v>
      </c>
      <c r="AL345" s="80">
        <v>0</v>
      </c>
      <c r="AM345" s="80">
        <v>0</v>
      </c>
      <c r="AN345" s="64"/>
    </row>
    <row r="346" spans="1:40" s="3" customFormat="1">
      <c r="A346" s="117"/>
      <c r="B346" s="36"/>
      <c r="C346"/>
      <c r="D346" s="2" t="s">
        <v>436</v>
      </c>
      <c r="E346" s="2"/>
      <c r="F346" s="2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186">
        <f>165.8+6</f>
        <v>171.8</v>
      </c>
      <c r="Y346" s="186">
        <f>182.3+5.6</f>
        <v>187.9</v>
      </c>
      <c r="Z346" s="186">
        <f>189.7+4.9</f>
        <v>194.6</v>
      </c>
      <c r="AA346" s="186">
        <f>215.1+3.1</f>
        <v>218.2</v>
      </c>
      <c r="AB346" s="8">
        <f t="shared" ref="AB346:AM346" si="524">SUM(AB343:AB345)</f>
        <v>220.7</v>
      </c>
      <c r="AC346" s="8">
        <f t="shared" ca="1" si="524"/>
        <v>224.17075672369486</v>
      </c>
      <c r="AD346" s="8">
        <f t="shared" ca="1" si="524"/>
        <v>226.86260580737857</v>
      </c>
      <c r="AE346" s="8">
        <f t="shared" ca="1" si="524"/>
        <v>228.8765129705005</v>
      </c>
      <c r="AF346" s="8">
        <f t="shared" ca="1" si="524"/>
        <v>228.87651277025182</v>
      </c>
      <c r="AG346" s="8">
        <f t="shared" ca="1" si="524"/>
        <v>228.87651254535663</v>
      </c>
      <c r="AH346" s="8">
        <f t="shared" ca="1" si="524"/>
        <v>228.87651229278146</v>
      </c>
      <c r="AI346" s="8">
        <f t="shared" ca="1" si="524"/>
        <v>228.87651200911949</v>
      </c>
      <c r="AJ346" s="8">
        <f t="shared" ca="1" si="524"/>
        <v>228.87651169054459</v>
      </c>
      <c r="AK346" s="8">
        <f t="shared" ca="1" si="524"/>
        <v>228.87651133275972</v>
      </c>
      <c r="AL346" s="8">
        <f t="shared" ca="1" si="524"/>
        <v>228.87651093093891</v>
      </c>
      <c r="AM346" s="8">
        <f t="shared" ca="1" si="524"/>
        <v>228.87651047966222</v>
      </c>
      <c r="AN346" s="64"/>
    </row>
    <row r="347" spans="1:40" s="3" customFormat="1">
      <c r="A347" s="117"/>
      <c r="B347" s="36"/>
      <c r="C347"/>
      <c r="D347" s="160"/>
      <c r="E347" s="36"/>
      <c r="F347" s="36"/>
      <c r="G347" s="36"/>
      <c r="H347" s="36"/>
      <c r="I347" s="36"/>
      <c r="J347"/>
      <c r="K347"/>
      <c r="L347"/>
      <c r="M347"/>
      <c r="N347"/>
      <c r="O347"/>
      <c r="P347"/>
      <c r="Q347"/>
      <c r="R347" s="7"/>
      <c r="S347" s="7"/>
      <c r="T347" s="7"/>
      <c r="U347" s="7"/>
      <c r="V347" s="7"/>
      <c r="W347" s="7"/>
      <c r="X347" s="7"/>
      <c r="Y347" s="7"/>
      <c r="Z347" s="7"/>
      <c r="AA347" s="68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64"/>
    </row>
    <row r="348" spans="1:40" s="3" customFormat="1">
      <c r="A348" s="117"/>
      <c r="B348" s="36"/>
      <c r="C348"/>
      <c r="D348" s="160"/>
      <c r="E348" s="36"/>
      <c r="F348" s="36"/>
      <c r="G348" s="36"/>
      <c r="H348" s="36"/>
      <c r="I348" s="36"/>
      <c r="J348"/>
      <c r="K348"/>
      <c r="L348"/>
      <c r="M348"/>
      <c r="N348"/>
      <c r="O348"/>
      <c r="P348"/>
      <c r="Q348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64"/>
    </row>
    <row r="349" spans="1:40" s="3" customFormat="1">
      <c r="A349" s="117"/>
      <c r="B349" s="36"/>
      <c r="C349"/>
      <c r="D349" s="160"/>
      <c r="E349" s="36"/>
      <c r="F349" s="36"/>
      <c r="G349" s="36"/>
      <c r="H349" s="36"/>
      <c r="I349" s="36"/>
      <c r="J349"/>
      <c r="K349"/>
      <c r="L349"/>
      <c r="M349"/>
      <c r="N349"/>
      <c r="O349"/>
      <c r="P349"/>
      <c r="Q349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64"/>
    </row>
    <row r="350" spans="1:40" s="3" customFormat="1">
      <c r="A350" s="117"/>
      <c r="B350" s="36"/>
      <c r="C350"/>
      <c r="D350" s="160"/>
      <c r="E350" s="36"/>
      <c r="F350" s="36"/>
      <c r="G350" s="36"/>
      <c r="H350" s="36"/>
      <c r="I350" s="36"/>
      <c r="J350"/>
      <c r="K350"/>
      <c r="L350"/>
      <c r="M350"/>
      <c r="N350"/>
      <c r="O350"/>
      <c r="P350"/>
      <c r="Q350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64"/>
    </row>
    <row r="351" spans="1:40">
      <c r="B351" s="153" t="s">
        <v>207</v>
      </c>
      <c r="C351" s="52" t="s">
        <v>207</v>
      </c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52"/>
      <c r="AM351" s="52"/>
    </row>
    <row r="352" spans="1:40">
      <c r="C352" s="111"/>
      <c r="D352" s="112" t="s">
        <v>166</v>
      </c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111"/>
      <c r="AF352" s="111"/>
      <c r="AG352" s="111"/>
      <c r="AH352" s="111"/>
      <c r="AI352" s="111"/>
      <c r="AJ352" s="111"/>
      <c r="AK352" s="111"/>
      <c r="AL352" s="111"/>
      <c r="AM352" s="111"/>
    </row>
    <row r="353" spans="1:40" ht="5.15" customHeight="1"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65"/>
      <c r="X353" s="65"/>
      <c r="Y353" s="65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  <c r="AL353" s="77"/>
      <c r="AM353" s="77"/>
      <c r="AN353" s="7"/>
    </row>
    <row r="354" spans="1:40" s="3" customFormat="1">
      <c r="A354" s="117"/>
      <c r="B354"/>
      <c r="C354"/>
      <c r="D354" s="70" t="s">
        <v>167</v>
      </c>
      <c r="E354"/>
      <c r="F354"/>
      <c r="G354"/>
      <c r="H354"/>
      <c r="I354" s="7"/>
      <c r="J354" s="7"/>
      <c r="K354" s="7"/>
      <c r="L354" s="75"/>
      <c r="M354" s="75"/>
      <c r="N354" s="75"/>
      <c r="O354" s="75"/>
      <c r="P354" s="75"/>
      <c r="Q354" s="75"/>
      <c r="R354" s="75"/>
      <c r="S354" s="75"/>
      <c r="T354" s="75"/>
      <c r="U354" s="75">
        <f t="shared" ref="U354:Y354" si="525">+U382</f>
        <v>0</v>
      </c>
      <c r="V354" s="75">
        <f t="shared" si="525"/>
        <v>0</v>
      </c>
      <c r="W354" s="75">
        <f t="shared" si="525"/>
        <v>170.774</v>
      </c>
      <c r="X354" s="75">
        <f t="shared" si="525"/>
        <v>302.392</v>
      </c>
      <c r="Y354" s="75">
        <f t="shared" si="525"/>
        <v>633.44499999999994</v>
      </c>
      <c r="Z354" s="75">
        <f t="shared" ref="Z354:AE354" si="526">+Z382</f>
        <v>1500.6309999999996</v>
      </c>
      <c r="AA354" s="75">
        <f t="shared" si="526"/>
        <v>1722.3190000000002</v>
      </c>
      <c r="AB354" s="75">
        <f t="shared" si="526"/>
        <v>2847.125767605944</v>
      </c>
      <c r="AC354" s="75">
        <f t="shared" si="526"/>
        <v>3611.4646452352945</v>
      </c>
      <c r="AD354" s="75">
        <f t="shared" ca="1" si="526"/>
        <v>4224.7156228281947</v>
      </c>
      <c r="AE354" s="75">
        <f t="shared" ca="1" si="526"/>
        <v>4903.1538348719141</v>
      </c>
      <c r="AF354" s="75">
        <f t="shared" ref="AF354:AM354" ca="1" si="527">+AF382</f>
        <v>5662.3869548322036</v>
      </c>
      <c r="AG354" s="75">
        <f t="shared" ca="1" si="527"/>
        <v>6256.4743834374194</v>
      </c>
      <c r="AH354" s="75">
        <f t="shared" ca="1" si="527"/>
        <v>7691.7101008122136</v>
      </c>
      <c r="AI354" s="75">
        <f t="shared" ca="1" si="527"/>
        <v>8936.9131531841049</v>
      </c>
      <c r="AJ354" s="75">
        <f t="shared" ca="1" si="527"/>
        <v>9992.2770702464331</v>
      </c>
      <c r="AK354" s="75">
        <f t="shared" ca="1" si="527"/>
        <v>11636.056420641456</v>
      </c>
      <c r="AL354" s="75">
        <f t="shared" ca="1" si="527"/>
        <v>12563.747827248033</v>
      </c>
      <c r="AM354" s="75">
        <f t="shared" ca="1" si="527"/>
        <v>13493.613746551788</v>
      </c>
      <c r="AN354" s="64"/>
    </row>
    <row r="355" spans="1:40" s="3" customFormat="1">
      <c r="A355" s="117"/>
      <c r="B355"/>
      <c r="C355"/>
      <c r="D355" s="290" t="s">
        <v>453</v>
      </c>
      <c r="E355"/>
      <c r="F355"/>
      <c r="G355"/>
      <c r="H355"/>
      <c r="I355" s="7"/>
      <c r="J355" s="7"/>
      <c r="K355" s="7"/>
      <c r="L355" s="75"/>
      <c r="M355" s="75"/>
      <c r="N355" s="75"/>
      <c r="O355" s="75"/>
      <c r="P355" s="75"/>
      <c r="Q355" s="75"/>
      <c r="R355" s="75"/>
      <c r="S355" s="75"/>
      <c r="T355" s="75"/>
      <c r="U355" s="75">
        <f t="shared" ref="U355:AA355" si="528">+U383</f>
        <v>0</v>
      </c>
      <c r="V355" s="75">
        <f t="shared" si="528"/>
        <v>0</v>
      </c>
      <c r="W355" s="75">
        <f t="shared" si="528"/>
        <v>1.2434497875801753E-14</v>
      </c>
      <c r="X355" s="75">
        <f t="shared" si="528"/>
        <v>26.958999999999996</v>
      </c>
      <c r="Y355" s="75">
        <f t="shared" si="528"/>
        <v>403.46699999999998</v>
      </c>
      <c r="Z355" s="75">
        <f t="shared" si="528"/>
        <v>815.05199999999979</v>
      </c>
      <c r="AA355" s="75">
        <f t="shared" si="528"/>
        <v>1576.0730000000003</v>
      </c>
      <c r="AB355" s="312">
        <v>2350</v>
      </c>
      <c r="AC355" s="312">
        <v>2600</v>
      </c>
      <c r="AD355" s="312">
        <v>2800</v>
      </c>
      <c r="AE355" s="312">
        <v>3000</v>
      </c>
      <c r="AF355" s="312">
        <v>3300</v>
      </c>
      <c r="AG355" s="312">
        <v>3400</v>
      </c>
      <c r="AH355" s="100">
        <f t="shared" ref="AH355:AL355" ca="1" si="529">+AH358*AH359</f>
        <v>4279.5716938964588</v>
      </c>
      <c r="AI355" s="100">
        <f t="shared" ca="1" si="529"/>
        <v>4944.2645715285098</v>
      </c>
      <c r="AJ355" s="100">
        <f t="shared" ca="1" si="529"/>
        <v>5369.3098234824356</v>
      </c>
      <c r="AK355" s="100">
        <f t="shared" ca="1" si="529"/>
        <v>6342.5417092828575</v>
      </c>
      <c r="AL355" s="100">
        <f t="shared" ca="1" si="529"/>
        <v>6895.7046908720968</v>
      </c>
      <c r="AM355" s="100">
        <f t="shared" ref="AM355" ca="1" si="530">+AM358*AM359</f>
        <v>7458.3716086523209</v>
      </c>
      <c r="AN355" s="64"/>
    </row>
    <row r="356" spans="1:40" s="3" customFormat="1">
      <c r="A356" s="117"/>
      <c r="B356"/>
      <c r="C356"/>
      <c r="D356" s="70" t="s">
        <v>168</v>
      </c>
      <c r="E356"/>
      <c r="F356"/>
      <c r="G356"/>
      <c r="H35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>
        <f t="shared" ref="U356:AM356" si="531">+U354-U267-U278</f>
        <v>0</v>
      </c>
      <c r="V356" s="7">
        <f t="shared" si="531"/>
        <v>-43.134</v>
      </c>
      <c r="W356" s="7">
        <f t="shared" si="531"/>
        <v>131.59</v>
      </c>
      <c r="X356" s="7">
        <f t="shared" si="531"/>
        <v>129.71199999999999</v>
      </c>
      <c r="Y356" s="7">
        <f t="shared" si="531"/>
        <v>554.58399999999995</v>
      </c>
      <c r="Z356" s="7">
        <f t="shared" si="531"/>
        <v>1424.6149999999996</v>
      </c>
      <c r="AA356" s="7">
        <f t="shared" si="531"/>
        <v>1421.5090000000002</v>
      </c>
      <c r="AB356" s="7">
        <f t="shared" ca="1" si="531"/>
        <v>2417.2673474864396</v>
      </c>
      <c r="AC356" s="7">
        <f t="shared" ca="1" si="531"/>
        <v>3354.9300208001387</v>
      </c>
      <c r="AD356" s="7">
        <f t="shared" ca="1" si="531"/>
        <v>4150.0336108977035</v>
      </c>
      <c r="AE356" s="7">
        <f t="shared" ca="1" si="531"/>
        <v>4818.7481940652979</v>
      </c>
      <c r="AF356" s="7">
        <f t="shared" ca="1" si="531"/>
        <v>5606.1675173827171</v>
      </c>
      <c r="AG356" s="7">
        <f t="shared" ca="1" si="531"/>
        <v>6114.0879505913872</v>
      </c>
      <c r="AH356" s="7">
        <f t="shared" ca="1" si="531"/>
        <v>6280.145237106175</v>
      </c>
      <c r="AI356" s="7">
        <f t="shared" ca="1" si="531"/>
        <v>6036.8247204177651</v>
      </c>
      <c r="AJ356" s="7">
        <f t="shared" ca="1" si="531"/>
        <v>5324.2952369120903</v>
      </c>
      <c r="AK356" s="7">
        <f t="shared" ca="1" si="531"/>
        <v>4042.604336932206</v>
      </c>
      <c r="AL356" s="7">
        <f t="shared" ca="1" si="531"/>
        <v>2230.818621020946</v>
      </c>
      <c r="AM356" s="7">
        <f t="shared" ca="1" si="531"/>
        <v>190.01867489713732</v>
      </c>
      <c r="AN356" s="64"/>
    </row>
    <row r="357" spans="1:40" s="3" customFormat="1">
      <c r="A357" s="117"/>
      <c r="B357"/>
      <c r="C357"/>
      <c r="D357" s="290" t="s">
        <v>454</v>
      </c>
      <c r="E357"/>
      <c r="F357"/>
      <c r="G357"/>
      <c r="H35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>
        <f t="shared" ref="U357:AM357" si="532">+U355-U267-U278</f>
        <v>0</v>
      </c>
      <c r="V357" s="7">
        <f t="shared" si="532"/>
        <v>-43.134</v>
      </c>
      <c r="W357" s="7">
        <f t="shared" si="532"/>
        <v>-39.183999999999983</v>
      </c>
      <c r="X357" s="7">
        <f t="shared" si="532"/>
        <v>-145.721</v>
      </c>
      <c r="Y357" s="7">
        <f t="shared" si="532"/>
        <v>324.60599999999999</v>
      </c>
      <c r="Z357" s="7">
        <f t="shared" si="532"/>
        <v>739.03599999999983</v>
      </c>
      <c r="AA357" s="7">
        <f t="shared" si="532"/>
        <v>1275.2630000000004</v>
      </c>
      <c r="AB357" s="7">
        <f t="shared" ca="1" si="532"/>
        <v>1920.1415798804953</v>
      </c>
      <c r="AC357" s="7">
        <f t="shared" ca="1" si="532"/>
        <v>2343.4653755648442</v>
      </c>
      <c r="AD357" s="7">
        <f t="shared" ca="1" si="532"/>
        <v>2725.3179880695088</v>
      </c>
      <c r="AE357" s="7">
        <f t="shared" ca="1" si="532"/>
        <v>2915.5943591933838</v>
      </c>
      <c r="AF357" s="7">
        <f t="shared" ca="1" si="532"/>
        <v>3243.7805625505134</v>
      </c>
      <c r="AG357" s="7">
        <f t="shared" ca="1" si="532"/>
        <v>3257.6135671539673</v>
      </c>
      <c r="AH357" s="7">
        <f t="shared" ca="1" si="532"/>
        <v>2868.0068301904203</v>
      </c>
      <c r="AI357" s="7">
        <f t="shared" ca="1" si="532"/>
        <v>2044.17613876217</v>
      </c>
      <c r="AJ357" s="7">
        <f t="shared" ca="1" si="532"/>
        <v>701.32799014809279</v>
      </c>
      <c r="AK357" s="7">
        <f t="shared" ca="1" si="532"/>
        <v>-1250.910374426393</v>
      </c>
      <c r="AL357" s="7">
        <f t="shared" ca="1" si="532"/>
        <v>-3437.2245153549902</v>
      </c>
      <c r="AM357" s="7">
        <f t="shared" ca="1" si="532"/>
        <v>-5845.2234630023295</v>
      </c>
      <c r="AN357" s="64"/>
    </row>
    <row r="358" spans="1:40" s="3" customFormat="1">
      <c r="A358" s="117"/>
      <c r="B358"/>
      <c r="C358"/>
      <c r="D358" s="70" t="s">
        <v>103</v>
      </c>
      <c r="E358"/>
      <c r="F358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>
        <f t="shared" ref="U358:AM358" si="533">+U209</f>
        <v>-13.424999999999999</v>
      </c>
      <c r="V358" s="93">
        <f t="shared" si="533"/>
        <v>-32.567999999999998</v>
      </c>
      <c r="W358" s="93">
        <f t="shared" si="533"/>
        <v>-84.86699999999999</v>
      </c>
      <c r="X358" s="93">
        <f t="shared" si="533"/>
        <v>-145.08900000000003</v>
      </c>
      <c r="Y358" s="93">
        <f t="shared" si="533"/>
        <v>-206.18799999999999</v>
      </c>
      <c r="Z358" s="93">
        <f t="shared" si="533"/>
        <v>-242.76800000000011</v>
      </c>
      <c r="AA358" s="93">
        <f t="shared" si="533"/>
        <v>-257.15799999999979</v>
      </c>
      <c r="AB358" s="93">
        <f t="shared" si="533"/>
        <v>-220.53574697654221</v>
      </c>
      <c r="AC358" s="93">
        <f t="shared" ca="1" si="533"/>
        <v>-29.9985888123515</v>
      </c>
      <c r="AD358" s="93">
        <f t="shared" ca="1" si="533"/>
        <v>192.53709858961793</v>
      </c>
      <c r="AE358" s="93">
        <f t="shared" ca="1" si="533"/>
        <v>496.01208992119928</v>
      </c>
      <c r="AF358" s="93">
        <f t="shared" ca="1" si="533"/>
        <v>877.75215774405342</v>
      </c>
      <c r="AG358" s="93">
        <f t="shared" ca="1" si="533"/>
        <v>1354.4704369663991</v>
      </c>
      <c r="AH358" s="93">
        <f t="shared" ca="1" si="533"/>
        <v>1945.2598608620265</v>
      </c>
      <c r="AI358" s="93">
        <f t="shared" ca="1" si="533"/>
        <v>2602.2445113307949</v>
      </c>
      <c r="AJ358" s="93">
        <f t="shared" ca="1" si="533"/>
        <v>3355.8186396765223</v>
      </c>
      <c r="AK358" s="93">
        <f t="shared" ca="1" si="533"/>
        <v>4228.361139521905</v>
      </c>
      <c r="AL358" s="93">
        <f t="shared" ca="1" si="533"/>
        <v>4597.1364605813978</v>
      </c>
      <c r="AM358" s="93">
        <f t="shared" ca="1" si="533"/>
        <v>4972.2477391015473</v>
      </c>
      <c r="AN358" s="64"/>
    </row>
    <row r="359" spans="1:40" s="3" customFormat="1">
      <c r="A359" s="117"/>
      <c r="B359"/>
      <c r="C359"/>
      <c r="D359" s="324" t="s">
        <v>452</v>
      </c>
      <c r="G359" s="325"/>
      <c r="H359" s="325"/>
      <c r="I359" s="325"/>
      <c r="J359" s="325"/>
      <c r="K359" s="325"/>
      <c r="L359" s="325"/>
      <c r="M359" s="325"/>
      <c r="N359" s="325"/>
      <c r="O359" s="325"/>
      <c r="P359" s="325"/>
      <c r="Q359" s="325"/>
      <c r="R359" s="325"/>
      <c r="S359" s="325"/>
      <c r="T359" s="325"/>
      <c r="U359" s="326">
        <f t="shared" ref="U359:Z359" si="534">+U383/U358</f>
        <v>0</v>
      </c>
      <c r="V359" s="326">
        <f t="shared" si="534"/>
        <v>0</v>
      </c>
      <c r="W359" s="326">
        <f t="shared" si="534"/>
        <v>-1.4651746704610455E-16</v>
      </c>
      <c r="X359" s="326">
        <f t="shared" si="534"/>
        <v>-0.18581008897986748</v>
      </c>
      <c r="Y359" s="326">
        <f t="shared" si="534"/>
        <v>-1.9567918598560536</v>
      </c>
      <c r="Z359" s="326">
        <f t="shared" si="534"/>
        <v>-3.3573288077506072</v>
      </c>
      <c r="AA359" s="326">
        <f t="shared" ref="AA359:AG359" si="535">+AA383/AA358</f>
        <v>-6.1288118588572074</v>
      </c>
      <c r="AB359" s="326">
        <f t="shared" si="535"/>
        <v>-10.655868865785115</v>
      </c>
      <c r="AC359" s="326">
        <f t="shared" ca="1" si="535"/>
        <v>-86.670743622762899</v>
      </c>
      <c r="AD359" s="326">
        <f t="shared" ca="1" si="535"/>
        <v>14.542651886367331</v>
      </c>
      <c r="AE359" s="326">
        <f t="shared" ca="1" si="535"/>
        <v>6.0482396718930893</v>
      </c>
      <c r="AF359" s="326">
        <f t="shared" ca="1" si="535"/>
        <v>3.7596034038599968</v>
      </c>
      <c r="AG359" s="326">
        <f t="shared" ca="1" si="535"/>
        <v>2.5102061345945383</v>
      </c>
      <c r="AH359" s="327">
        <v>2.2000000000000002</v>
      </c>
      <c r="AI359" s="327">
        <v>1.9</v>
      </c>
      <c r="AJ359" s="327">
        <v>1.6</v>
      </c>
      <c r="AK359" s="327">
        <v>1.5</v>
      </c>
      <c r="AL359" s="327">
        <f>+AK359</f>
        <v>1.5</v>
      </c>
      <c r="AM359" s="327">
        <f>+AL359</f>
        <v>1.5</v>
      </c>
      <c r="AN359" s="64"/>
    </row>
    <row r="360" spans="1:40" s="3" customFormat="1">
      <c r="A360" s="117"/>
      <c r="B360"/>
      <c r="C360"/>
      <c r="D360" s="324" t="s">
        <v>456</v>
      </c>
      <c r="G360" s="325"/>
      <c r="H360" s="325"/>
      <c r="I360" s="325"/>
      <c r="J360" s="325"/>
      <c r="K360" s="325"/>
      <c r="L360" s="325"/>
      <c r="M360" s="325"/>
      <c r="N360" s="325"/>
      <c r="O360" s="325"/>
      <c r="P360" s="325"/>
      <c r="Q360" s="325"/>
      <c r="R360" s="325"/>
      <c r="S360" s="325"/>
      <c r="T360" s="325"/>
      <c r="U360" s="326">
        <f t="shared" ref="U360:Z360" si="536">SUM(U379,U381)/U358</f>
        <v>0</v>
      </c>
      <c r="V360" s="326">
        <f t="shared" si="536"/>
        <v>0</v>
      </c>
      <c r="W360" s="326">
        <f t="shared" si="536"/>
        <v>0</v>
      </c>
      <c r="X360" s="326">
        <f t="shared" si="536"/>
        <v>2.1021579857880331E-3</v>
      </c>
      <c r="Y360" s="326">
        <f t="shared" si="536"/>
        <v>-1.6604118571400859</v>
      </c>
      <c r="Z360" s="326">
        <f t="shared" si="536"/>
        <v>-2.4153018519738998</v>
      </c>
      <c r="AA360" s="326">
        <f>SUM(AA379,AA381)/AA358</f>
        <v>-4.1946118728563802</v>
      </c>
      <c r="AB360" s="326">
        <f t="shared" ref="AB360:AM360" ca="1" si="537">SUM(AB379,AB381)/AB358</f>
        <v>-8.0436780579208254</v>
      </c>
      <c r="AC360" s="326">
        <f t="shared" ca="1" si="537"/>
        <v>-64.251996244493085</v>
      </c>
      <c r="AD360" s="326">
        <f t="shared" ca="1" si="537"/>
        <v>10.560257062823281</v>
      </c>
      <c r="AE360" s="326">
        <f t="shared" ca="1" si="537"/>
        <v>4.2916244793835174</v>
      </c>
      <c r="AF360" s="326">
        <f t="shared" ca="1" si="537"/>
        <v>2.6428709152268803</v>
      </c>
      <c r="AG360" s="326">
        <f t="shared" ca="1" si="537"/>
        <v>1.6945985584246137</v>
      </c>
      <c r="AH360" s="326">
        <f t="shared" ca="1" si="537"/>
        <v>1.5638959695822519</v>
      </c>
      <c r="AI360" s="326">
        <f t="shared" ca="1" si="537"/>
        <v>1.3695492540495073</v>
      </c>
      <c r="AJ360" s="326">
        <f t="shared" ca="1" si="537"/>
        <v>1.1428017116660805</v>
      </c>
      <c r="AK360" s="326">
        <f t="shared" ca="1" si="537"/>
        <v>1.0980342492293627</v>
      </c>
      <c r="AL360" s="326">
        <f t="shared" ca="1" si="537"/>
        <v>1.0974400757663252</v>
      </c>
      <c r="AM360" s="326">
        <f t="shared" ca="1" si="537"/>
        <v>1.0958357375082506</v>
      </c>
      <c r="AN360" s="64"/>
    </row>
    <row r="361" spans="1:40" s="3" customFormat="1">
      <c r="A361" s="117"/>
      <c r="B361"/>
      <c r="C361"/>
      <c r="D361" s="70" t="s">
        <v>169</v>
      </c>
      <c r="E361"/>
      <c r="F3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>
        <f t="shared" ref="U361:AF361" si="538">+U354/U358</f>
        <v>0</v>
      </c>
      <c r="V361" s="161">
        <f t="shared" si="538"/>
        <v>0</v>
      </c>
      <c r="W361" s="161">
        <f t="shared" si="538"/>
        <v>-2.0122544687569963</v>
      </c>
      <c r="X361" s="161">
        <f t="shared" si="538"/>
        <v>-2.0841828119292294</v>
      </c>
      <c r="Y361" s="161">
        <f t="shared" si="538"/>
        <v>-3.0721719983704192</v>
      </c>
      <c r="Z361" s="161">
        <f t="shared" si="538"/>
        <v>-6.1813377380873877</v>
      </c>
      <c r="AA361" s="161">
        <f t="shared" si="538"/>
        <v>-6.6975128131343435</v>
      </c>
      <c r="AB361" s="161">
        <f t="shared" si="538"/>
        <v>-12.910042052768819</v>
      </c>
      <c r="AC361" s="161">
        <f t="shared" ca="1" si="538"/>
        <v>-120.38781783456174</v>
      </c>
      <c r="AD361" s="161">
        <f t="shared" ca="1" si="538"/>
        <v>21.942345936317135</v>
      </c>
      <c r="AE361" s="161">
        <f t="shared" ca="1" si="538"/>
        <v>9.8851498471556827</v>
      </c>
      <c r="AF361" s="161">
        <f t="shared" ca="1" si="538"/>
        <v>6.4510088695029077</v>
      </c>
      <c r="AG361" s="161">
        <f t="shared" ref="AG361:AM361" ca="1" si="539">+AG354/AG358</f>
        <v>4.6191295230112326</v>
      </c>
      <c r="AH361" s="161">
        <f t="shared" ca="1" si="539"/>
        <v>3.9540784527387993</v>
      </c>
      <c r="AI361" s="161">
        <f t="shared" ca="1" si="539"/>
        <v>3.4343095409638287</v>
      </c>
      <c r="AJ361" s="161">
        <f t="shared" ca="1" si="539"/>
        <v>2.9775974637323128</v>
      </c>
      <c r="AK361" s="161">
        <f t="shared" ca="1" si="539"/>
        <v>2.7519069532355815</v>
      </c>
      <c r="AL361" s="161">
        <f t="shared" ca="1" si="539"/>
        <v>2.7329508129630553</v>
      </c>
      <c r="AM361" s="161">
        <f t="shared" ca="1" si="539"/>
        <v>2.7137854858756487</v>
      </c>
      <c r="AN361" s="64"/>
    </row>
    <row r="362" spans="1:40" s="3" customFormat="1">
      <c r="A362" s="117"/>
      <c r="B362"/>
      <c r="C362"/>
      <c r="D362" s="70" t="s">
        <v>84</v>
      </c>
      <c r="E362"/>
      <c r="F362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>
        <f t="shared" ref="U362:Z362" si="540">+U356/U358</f>
        <v>0</v>
      </c>
      <c r="V362" s="161">
        <f t="shared" si="540"/>
        <v>1.3244288872512897</v>
      </c>
      <c r="W362" s="161">
        <f t="shared" si="540"/>
        <v>-1.5505437920510918</v>
      </c>
      <c r="X362" s="161">
        <f t="shared" si="540"/>
        <v>-0.89401677590995843</v>
      </c>
      <c r="Y362" s="161">
        <f t="shared" si="540"/>
        <v>-2.6897006615321937</v>
      </c>
      <c r="Z362" s="161">
        <f t="shared" si="540"/>
        <v>-5.8682157450734813</v>
      </c>
      <c r="AA362" s="161">
        <f>+AA356/AA358</f>
        <v>-5.5277650316148108</v>
      </c>
      <c r="AB362" s="161">
        <f ca="1">+AB356/AB358</f>
        <v>-10.960886752493499</v>
      </c>
      <c r="AC362" s="161">
        <f t="shared" ref="AC362:AJ362" ca="1" si="541">+AC356/AC358</f>
        <v>-111.83626142503054</v>
      </c>
      <c r="AD362" s="161">
        <f t="shared" ca="1" si="541"/>
        <v>21.554462185717611</v>
      </c>
      <c r="AE362" s="161">
        <f t="shared" ca="1" si="541"/>
        <v>9.7149813320696392</v>
      </c>
      <c r="AF362" s="161">
        <f t="shared" ca="1" si="541"/>
        <v>6.3869595396852761</v>
      </c>
      <c r="AG362" s="161">
        <f t="shared" ca="1" si="541"/>
        <v>4.5140062003014849</v>
      </c>
      <c r="AH362" s="161">
        <f t="shared" ca="1" si="541"/>
        <v>3.2284351121722001</v>
      </c>
      <c r="AI362" s="161">
        <f t="shared" ca="1" si="541"/>
        <v>2.3198529938797012</v>
      </c>
      <c r="AJ362" s="161">
        <f t="shared" ca="1" si="541"/>
        <v>1.5865861086656685</v>
      </c>
      <c r="AK362" s="161">
        <f ca="1">+AK356/AK358</f>
        <v>0.95606884169531881</v>
      </c>
      <c r="AL362" s="161">
        <f t="shared" ref="AL362:AM362" ca="1" si="542">+AL356/AL358</f>
        <v>0.48526264994509544</v>
      </c>
      <c r="AM362" s="161">
        <f t="shared" ca="1" si="542"/>
        <v>3.8215850228627675E-2</v>
      </c>
      <c r="AN362" s="64"/>
    </row>
    <row r="363" spans="1:40" s="3" customFormat="1">
      <c r="A363" s="117"/>
      <c r="B363"/>
      <c r="C363"/>
      <c r="D363"/>
      <c r="E363"/>
      <c r="F363"/>
      <c r="G363"/>
      <c r="H363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80"/>
      <c r="Y363" s="80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64"/>
    </row>
    <row r="364" spans="1:40" s="3" customFormat="1">
      <c r="A364" s="117"/>
      <c r="B364"/>
      <c r="C364"/>
      <c r="D364" s="70" t="s">
        <v>216</v>
      </c>
      <c r="E364"/>
      <c r="F364"/>
      <c r="G364"/>
      <c r="H364"/>
      <c r="I364" s="7"/>
      <c r="J364" s="7"/>
      <c r="K364" s="7"/>
      <c r="L364" s="7"/>
      <c r="M364" s="7"/>
      <c r="N364" s="7"/>
      <c r="O364" s="7"/>
      <c r="P364" s="7"/>
      <c r="Q364" s="7"/>
      <c r="R364" s="80"/>
      <c r="S364" s="80"/>
      <c r="T364" s="80"/>
      <c r="U364" s="80"/>
      <c r="V364" s="80"/>
      <c r="W364" s="80">
        <f>W374</f>
        <v>165.31299999999999</v>
      </c>
      <c r="X364" s="80">
        <v>248.792</v>
      </c>
      <c r="Y364" s="80">
        <v>196.96299999999999</v>
      </c>
      <c r="Z364" s="80">
        <v>515.48699999999997</v>
      </c>
      <c r="AA364" s="80">
        <v>39.82</v>
      </c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64"/>
    </row>
    <row r="365" spans="1:40" s="3" customFormat="1">
      <c r="A365" s="117"/>
      <c r="B365"/>
      <c r="C365"/>
      <c r="D365" s="70" t="s">
        <v>370</v>
      </c>
      <c r="E365"/>
      <c r="F365"/>
      <c r="G365"/>
      <c r="H365"/>
      <c r="I365" s="7"/>
      <c r="J365" s="7"/>
      <c r="K365" s="7"/>
      <c r="L365" s="7"/>
      <c r="M365" s="7"/>
      <c r="N365" s="7"/>
      <c r="O365" s="7"/>
      <c r="P365" s="7"/>
      <c r="Q365" s="7"/>
      <c r="R365" s="80"/>
      <c r="S365" s="80"/>
      <c r="T365" s="80"/>
      <c r="U365" s="80"/>
      <c r="V365" s="80"/>
      <c r="W365" s="80">
        <v>0</v>
      </c>
      <c r="X365" s="80">
        <v>0</v>
      </c>
      <c r="Y365" s="80">
        <v>0</v>
      </c>
      <c r="Z365" s="80">
        <v>138.33500000000001</v>
      </c>
      <c r="AA365" s="80">
        <v>81.259</v>
      </c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64"/>
    </row>
    <row r="366" spans="1:40" s="3" customFormat="1">
      <c r="A366" s="117"/>
      <c r="B366"/>
      <c r="C366"/>
      <c r="D366" s="70" t="s">
        <v>371</v>
      </c>
      <c r="E366"/>
      <c r="F366"/>
      <c r="G366"/>
      <c r="H366"/>
      <c r="I366" s="7"/>
      <c r="J366" s="7"/>
      <c r="K366" s="7"/>
      <c r="L366" s="7"/>
      <c r="M366" s="7"/>
      <c r="N366" s="7"/>
      <c r="O366" s="7"/>
      <c r="P366" s="7"/>
      <c r="Q366" s="7"/>
      <c r="R366" s="80"/>
      <c r="S366" s="80"/>
      <c r="T366" s="80"/>
      <c r="U366" s="80"/>
      <c r="V366" s="80"/>
      <c r="W366" s="80">
        <f>W377</f>
        <v>5.4610000000000003</v>
      </c>
      <c r="X366" s="80">
        <f>X377</f>
        <v>26.640999999999998</v>
      </c>
      <c r="Y366" s="80">
        <v>45.822000000000003</v>
      </c>
      <c r="Z366" s="80">
        <v>73.369</v>
      </c>
      <c r="AA366" s="80">
        <v>123.95</v>
      </c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64"/>
    </row>
    <row r="367" spans="1:40" s="3" customFormat="1">
      <c r="A367" s="117"/>
      <c r="B367"/>
      <c r="C367"/>
      <c r="D367" s="70" t="s">
        <v>372</v>
      </c>
      <c r="E367"/>
      <c r="F367"/>
      <c r="G367"/>
      <c r="H367"/>
      <c r="I367" s="7"/>
      <c r="J367" s="7"/>
      <c r="K367" s="7"/>
      <c r="L367" s="7"/>
      <c r="M367" s="7"/>
      <c r="N367" s="7"/>
      <c r="O367" s="7"/>
      <c r="P367" s="7"/>
      <c r="Q367" s="7"/>
      <c r="R367" s="80"/>
      <c r="S367" s="80"/>
      <c r="T367" s="80"/>
      <c r="U367" s="80"/>
      <c r="V367" s="80"/>
      <c r="W367" s="80">
        <v>0</v>
      </c>
      <c r="X367" s="80">
        <f>X378</f>
        <v>27.263999999999999</v>
      </c>
      <c r="Y367" s="80">
        <v>48.302999999999997</v>
      </c>
      <c r="Z367" s="80">
        <v>187.08199999999999</v>
      </c>
      <c r="AA367" s="80">
        <v>398.61200000000002</v>
      </c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64"/>
    </row>
    <row r="368" spans="1:40" s="3" customFormat="1">
      <c r="A368" s="117"/>
      <c r="B368"/>
      <c r="C368"/>
      <c r="D368" s="279" t="s">
        <v>373</v>
      </c>
      <c r="E368" s="279"/>
      <c r="F368" s="279"/>
      <c r="G368" s="279"/>
      <c r="H368" s="279"/>
      <c r="I368" s="280"/>
      <c r="J368" s="280"/>
      <c r="K368" s="280"/>
      <c r="L368" s="280"/>
      <c r="M368" s="280"/>
      <c r="N368" s="280"/>
      <c r="O368" s="280"/>
      <c r="P368" s="280"/>
      <c r="Q368" s="280"/>
      <c r="R368" s="280"/>
      <c r="S368" s="280"/>
      <c r="T368" s="280"/>
      <c r="U368" s="280">
        <f t="shared" ref="U368:Z368" si="543">SUM(U364:U367)</f>
        <v>0</v>
      </c>
      <c r="V368" s="280">
        <f t="shared" si="543"/>
        <v>0</v>
      </c>
      <c r="W368" s="280">
        <f t="shared" si="543"/>
        <v>170.774</v>
      </c>
      <c r="X368" s="280">
        <f t="shared" si="543"/>
        <v>302.697</v>
      </c>
      <c r="Y368" s="280">
        <f t="shared" si="543"/>
        <v>291.08799999999997</v>
      </c>
      <c r="Z368" s="280">
        <f t="shared" si="543"/>
        <v>914.27300000000002</v>
      </c>
      <c r="AA368" s="280">
        <f>SUM(AA364:AA367)</f>
        <v>643.64100000000008</v>
      </c>
      <c r="AB368" s="280"/>
      <c r="AC368" s="280"/>
      <c r="AD368" s="280"/>
      <c r="AE368" s="280"/>
      <c r="AF368" s="280"/>
      <c r="AG368" s="280"/>
      <c r="AH368" s="280"/>
      <c r="AI368" s="280"/>
      <c r="AJ368" s="280"/>
      <c r="AK368" s="280"/>
      <c r="AL368" s="280"/>
      <c r="AM368" s="280"/>
      <c r="AN368" s="64"/>
    </row>
    <row r="369" spans="1:40" s="3" customFormat="1">
      <c r="A369" s="117"/>
      <c r="B369"/>
      <c r="C369"/>
      <c r="D369" s="70" t="s">
        <v>308</v>
      </c>
      <c r="E369"/>
      <c r="F369"/>
      <c r="G369"/>
      <c r="H369"/>
      <c r="I369" s="7"/>
      <c r="J369" s="7"/>
      <c r="K369" s="7"/>
      <c r="L369" s="7"/>
      <c r="M369" s="7"/>
      <c r="N369" s="7"/>
      <c r="O369" s="7"/>
      <c r="P369" s="7"/>
      <c r="Q369" s="7"/>
      <c r="R369" s="80"/>
      <c r="S369" s="80"/>
      <c r="T369" s="80"/>
      <c r="U369" s="80"/>
      <c r="V369" s="80"/>
      <c r="W369" s="80">
        <v>0</v>
      </c>
      <c r="X369" s="80">
        <v>0</v>
      </c>
      <c r="Y369" s="80">
        <v>350</v>
      </c>
      <c r="Z369" s="80">
        <v>600</v>
      </c>
      <c r="AA369" s="80">
        <v>1100</v>
      </c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64"/>
    </row>
    <row r="370" spans="1:40" s="3" customFormat="1">
      <c r="A370" s="117"/>
      <c r="B370"/>
      <c r="C370"/>
      <c r="D370" s="70" t="s">
        <v>374</v>
      </c>
      <c r="E370"/>
      <c r="F370"/>
      <c r="G370"/>
      <c r="H370"/>
      <c r="I370" s="7"/>
      <c r="J370" s="7"/>
      <c r="K370" s="7"/>
      <c r="L370" s="7"/>
      <c r="M370" s="7"/>
      <c r="N370" s="7"/>
      <c r="O370" s="7"/>
      <c r="P370" s="7"/>
      <c r="Q370" s="7"/>
      <c r="R370" s="80"/>
      <c r="S370" s="80"/>
      <c r="T370" s="80"/>
      <c r="U370" s="80"/>
      <c r="V370" s="80"/>
      <c r="W370" s="80">
        <v>0</v>
      </c>
      <c r="X370" s="80">
        <f t="shared" ref="X370:Z370" si="544">X381</f>
        <v>-0.30499999999999999</v>
      </c>
      <c r="Y370" s="80">
        <f t="shared" si="544"/>
        <v>-7.6429999999999998</v>
      </c>
      <c r="Z370" s="80">
        <f t="shared" si="544"/>
        <v>-13.641999999999999</v>
      </c>
      <c r="AA370" s="80">
        <f>AA381</f>
        <v>-21.321999999999999</v>
      </c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64"/>
    </row>
    <row r="371" spans="1:40" s="3" customFormat="1">
      <c r="A371" s="117"/>
      <c r="B371"/>
      <c r="C371"/>
      <c r="D371" s="207" t="s">
        <v>375</v>
      </c>
      <c r="E371" s="2"/>
      <c r="F371" s="2"/>
      <c r="G371" s="2"/>
      <c r="H371" s="2"/>
      <c r="I371" s="2"/>
      <c r="J371" s="2"/>
      <c r="K371" s="2"/>
      <c r="L371" s="8"/>
      <c r="M371" s="8"/>
      <c r="N371" s="8"/>
      <c r="O371" s="8"/>
      <c r="P371" s="8"/>
      <c r="Q371" s="8"/>
      <c r="R371" s="8"/>
      <c r="S371" s="8"/>
      <c r="T371" s="8"/>
      <c r="U371" s="8">
        <f t="shared" ref="U371:Z371" si="545">SUM(U368:U370)</f>
        <v>0</v>
      </c>
      <c r="V371" s="8">
        <f t="shared" si="545"/>
        <v>0</v>
      </c>
      <c r="W371" s="8">
        <f t="shared" si="545"/>
        <v>170.774</v>
      </c>
      <c r="X371" s="8">
        <f t="shared" si="545"/>
        <v>302.392</v>
      </c>
      <c r="Y371" s="8">
        <f t="shared" si="545"/>
        <v>633.44499999999994</v>
      </c>
      <c r="Z371" s="8">
        <f t="shared" si="545"/>
        <v>1500.6310000000001</v>
      </c>
      <c r="AA371" s="8">
        <f>SUM(AA368:AA370)</f>
        <v>1722.3190000000002</v>
      </c>
      <c r="AB371" s="101">
        <f>AB382</f>
        <v>2847.125767605944</v>
      </c>
      <c r="AC371" s="101">
        <f t="shared" ref="AC371:AM371" si="546">AC382</f>
        <v>3611.4646452352945</v>
      </c>
      <c r="AD371" s="101">
        <f t="shared" ca="1" si="546"/>
        <v>4224.7156228281947</v>
      </c>
      <c r="AE371" s="101">
        <f t="shared" ca="1" si="546"/>
        <v>4903.1538348719141</v>
      </c>
      <c r="AF371" s="101">
        <f t="shared" ca="1" si="546"/>
        <v>5662.3869548322036</v>
      </c>
      <c r="AG371" s="101">
        <f t="shared" ca="1" si="546"/>
        <v>6256.4743834374194</v>
      </c>
      <c r="AH371" s="101">
        <f t="shared" ca="1" si="546"/>
        <v>7691.7101008122136</v>
      </c>
      <c r="AI371" s="101">
        <f t="shared" ca="1" si="546"/>
        <v>8936.9131531841049</v>
      </c>
      <c r="AJ371" s="101">
        <f t="shared" ca="1" si="546"/>
        <v>9992.2770702464331</v>
      </c>
      <c r="AK371" s="101">
        <f t="shared" ca="1" si="546"/>
        <v>11636.056420641456</v>
      </c>
      <c r="AL371" s="101">
        <f t="shared" ca="1" si="546"/>
        <v>12563.747827248033</v>
      </c>
      <c r="AM371" s="101">
        <f t="shared" ca="1" si="546"/>
        <v>13493.613746551788</v>
      </c>
      <c r="AN371" s="64"/>
    </row>
    <row r="372" spans="1:40" s="98" customFormat="1">
      <c r="A372" s="119"/>
      <c r="B372" s="63"/>
      <c r="C372" s="63"/>
      <c r="D372" s="281" t="s">
        <v>121</v>
      </c>
      <c r="I372" s="86"/>
      <c r="J372" s="86"/>
      <c r="K372" s="86"/>
      <c r="L372" s="86"/>
      <c r="M372" s="86"/>
      <c r="N372" s="86"/>
      <c r="O372" s="86"/>
      <c r="P372" s="86"/>
      <c r="Q372" s="86"/>
      <c r="U372" s="86" t="b">
        <f t="shared" ref="U372:Z372" si="547">(U371=U382)</f>
        <v>1</v>
      </c>
      <c r="V372" s="86" t="b">
        <f t="shared" si="547"/>
        <v>1</v>
      </c>
      <c r="W372" s="86" t="b">
        <f t="shared" si="547"/>
        <v>1</v>
      </c>
      <c r="X372" s="86" t="b">
        <f t="shared" si="547"/>
        <v>1</v>
      </c>
      <c r="Y372" s="86" t="b">
        <f t="shared" si="547"/>
        <v>1</v>
      </c>
      <c r="Z372" s="86" t="b">
        <f t="shared" si="547"/>
        <v>1</v>
      </c>
      <c r="AA372" s="86" t="b">
        <f>(AA371=AA382)</f>
        <v>1</v>
      </c>
      <c r="AB372" s="86" t="b">
        <f t="shared" ref="AB372:AM372" si="548">(AB371=AB382)</f>
        <v>1</v>
      </c>
      <c r="AC372" s="86" t="b">
        <f t="shared" si="548"/>
        <v>1</v>
      </c>
      <c r="AD372" s="86" t="b">
        <f t="shared" ca="1" si="548"/>
        <v>1</v>
      </c>
      <c r="AE372" s="86" t="b">
        <f t="shared" ca="1" si="548"/>
        <v>1</v>
      </c>
      <c r="AF372" s="86" t="b">
        <f t="shared" ca="1" si="548"/>
        <v>1</v>
      </c>
      <c r="AG372" s="86" t="b">
        <f t="shared" ca="1" si="548"/>
        <v>1</v>
      </c>
      <c r="AH372" s="86" t="b">
        <f t="shared" ca="1" si="548"/>
        <v>1</v>
      </c>
      <c r="AI372" s="86" t="b">
        <f t="shared" ca="1" si="548"/>
        <v>1</v>
      </c>
      <c r="AJ372" s="86" t="b">
        <f t="shared" ca="1" si="548"/>
        <v>1</v>
      </c>
      <c r="AK372" s="86" t="b">
        <f t="shared" ca="1" si="548"/>
        <v>1</v>
      </c>
      <c r="AL372" s="86" t="b">
        <f t="shared" ca="1" si="548"/>
        <v>1</v>
      </c>
      <c r="AM372" s="86" t="b">
        <f t="shared" ca="1" si="548"/>
        <v>1</v>
      </c>
      <c r="AN372" s="97"/>
    </row>
    <row r="373" spans="1:40" s="3" customFormat="1">
      <c r="A373" s="117"/>
      <c r="B373"/>
      <c r="C373"/>
      <c r="D373"/>
      <c r="E373"/>
      <c r="F373"/>
      <c r="G373"/>
      <c r="H373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80"/>
      <c r="U373" s="80"/>
      <c r="V373" s="7"/>
      <c r="W373" s="68"/>
      <c r="X373" s="68"/>
      <c r="Y373" s="68"/>
      <c r="Z373" s="68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64"/>
    </row>
    <row r="374" spans="1:40" s="3" customFormat="1">
      <c r="A374" s="117"/>
      <c r="B374"/>
      <c r="C374"/>
      <c r="D374" s="70" t="s">
        <v>303</v>
      </c>
      <c r="E374"/>
      <c r="F374" s="17">
        <v>3.5000000000000003E-2</v>
      </c>
      <c r="G374" s="6"/>
      <c r="H374"/>
      <c r="I374" s="178"/>
      <c r="J374" s="178"/>
      <c r="K374" s="178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>
        <v>165.31299999999999</v>
      </c>
      <c r="X374" s="80">
        <v>248.792</v>
      </c>
      <c r="Y374" s="80">
        <v>196.96299999999999</v>
      </c>
      <c r="Z374" s="80">
        <v>515.48699999999997</v>
      </c>
      <c r="AA374" s="80">
        <v>39.82</v>
      </c>
      <c r="AB374" s="75">
        <f t="shared" ref="AB374:AM374" si="549">+AB271*AB393</f>
        <v>277.35037616569133</v>
      </c>
      <c r="AC374" s="75">
        <f t="shared" si="549"/>
        <v>640.8593938908449</v>
      </c>
      <c r="AD374" s="75">
        <f t="shared" ca="1" si="549"/>
        <v>895.89403207523014</v>
      </c>
      <c r="AE374" s="75">
        <f t="shared" ca="1" si="549"/>
        <v>1197.4434600764232</v>
      </c>
      <c r="AF374" s="75">
        <f t="shared" ca="1" si="549"/>
        <v>1470.3975040143985</v>
      </c>
      <c r="AG374" s="75">
        <f t="shared" ca="1" si="549"/>
        <v>1749.1741057321403</v>
      </c>
      <c r="AH374" s="75">
        <f t="shared" ca="1" si="549"/>
        <v>2055.5464507857268</v>
      </c>
      <c r="AI374" s="75">
        <f t="shared" ca="1" si="549"/>
        <v>2389.8301722303709</v>
      </c>
      <c r="AJ374" s="75">
        <f t="shared" ca="1" si="549"/>
        <v>2754.0899599560266</v>
      </c>
      <c r="AK374" s="75">
        <f t="shared" ca="1" si="549"/>
        <v>3150.0328146232837</v>
      </c>
      <c r="AL374" s="75">
        <f t="shared" ca="1" si="549"/>
        <v>3339.6167286838504</v>
      </c>
      <c r="AM374" s="75">
        <f t="shared" ca="1" si="549"/>
        <v>3541.2639307513632</v>
      </c>
      <c r="AN374" s="64"/>
    </row>
    <row r="375" spans="1:40" s="3" customFormat="1">
      <c r="A375" s="117"/>
      <c r="B375"/>
      <c r="C375"/>
      <c r="D375" s="70" t="s">
        <v>304</v>
      </c>
      <c r="E375"/>
      <c r="F375" s="17">
        <v>0.03</v>
      </c>
      <c r="G375" s="6"/>
      <c r="H375"/>
      <c r="I375" s="178"/>
      <c r="J375" s="178"/>
      <c r="K375" s="178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>
        <v>0</v>
      </c>
      <c r="X375" s="80">
        <v>0</v>
      </c>
      <c r="Y375" s="80">
        <v>0</v>
      </c>
      <c r="Z375" s="80">
        <v>53.353000000000002</v>
      </c>
      <c r="AA375" s="80">
        <v>0</v>
      </c>
      <c r="AB375" s="75">
        <f t="shared" ref="AB375:AM375" si="550">+AB392*AB151</f>
        <v>64.522528053650234</v>
      </c>
      <c r="AC375" s="75">
        <f t="shared" si="550"/>
        <v>161.00013814128428</v>
      </c>
      <c r="AD375" s="75">
        <f t="shared" ca="1" si="550"/>
        <v>249.70302856728702</v>
      </c>
      <c r="AE375" s="75">
        <f t="shared" ca="1" si="550"/>
        <v>342.41095346319275</v>
      </c>
      <c r="AF375" s="75">
        <f t="shared" ca="1" si="550"/>
        <v>430.05042698759036</v>
      </c>
      <c r="AG375" s="75">
        <f t="shared" ca="1" si="550"/>
        <v>536.28800640860595</v>
      </c>
      <c r="AH375" s="75">
        <f t="shared" ca="1" si="550"/>
        <v>665.63834173367229</v>
      </c>
      <c r="AI375" s="75">
        <f t="shared" ca="1" si="550"/>
        <v>802.11143977171832</v>
      </c>
      <c r="AJ375" s="75">
        <f t="shared" ca="1" si="550"/>
        <v>952.93030128142891</v>
      </c>
      <c r="AK375" s="75">
        <f t="shared" ca="1" si="550"/>
        <v>1106.696835500554</v>
      </c>
      <c r="AL375" s="75">
        <f t="shared" ca="1" si="550"/>
        <v>1174.7529015697398</v>
      </c>
      <c r="AM375" s="75">
        <f t="shared" ca="1" si="550"/>
        <v>1224.3711565840499</v>
      </c>
      <c r="AN375" s="64"/>
    </row>
    <row r="376" spans="1:40" s="3" customFormat="1">
      <c r="A376" s="117"/>
      <c r="B376"/>
      <c r="C376"/>
      <c r="D376" s="70" t="s">
        <v>305</v>
      </c>
      <c r="E376"/>
      <c r="F376" s="17">
        <v>0.03</v>
      </c>
      <c r="G376"/>
      <c r="H376"/>
      <c r="I376" s="178"/>
      <c r="J376" s="178"/>
      <c r="K376" s="178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>
        <v>0</v>
      </c>
      <c r="X376" s="80">
        <v>0</v>
      </c>
      <c r="Y376" s="80">
        <v>0</v>
      </c>
      <c r="Z376" s="80">
        <v>84.981999999999999</v>
      </c>
      <c r="AA376" s="80">
        <v>81.259</v>
      </c>
      <c r="AB376" s="320">
        <f t="shared" ref="AB376:AM376" si="551">AB133*(1-AB394)</f>
        <v>130.08586338660228</v>
      </c>
      <c r="AC376" s="320">
        <f t="shared" si="551"/>
        <v>184.43811320316507</v>
      </c>
      <c r="AD376" s="320">
        <f t="shared" si="551"/>
        <v>253.95156218567718</v>
      </c>
      <c r="AE376" s="320">
        <f t="shared" si="551"/>
        <v>338.13242133229812</v>
      </c>
      <c r="AF376" s="320">
        <f t="shared" si="551"/>
        <v>436.77202383021495</v>
      </c>
      <c r="AG376" s="320">
        <f t="shared" ca="1" si="551"/>
        <v>545.84527129667322</v>
      </c>
      <c r="AH376" s="320">
        <f t="shared" ca="1" si="551"/>
        <v>665.78661439635493</v>
      </c>
      <c r="AI376" s="320">
        <f t="shared" ca="1" si="551"/>
        <v>775.53996965350677</v>
      </c>
      <c r="AJ376" s="320">
        <f t="shared" ca="1" si="551"/>
        <v>890.7799855265423</v>
      </c>
      <c r="AK376" s="320">
        <f t="shared" ca="1" si="551"/>
        <v>1011.6180612347598</v>
      </c>
      <c r="AL376" s="320">
        <f t="shared" ca="1" si="551"/>
        <v>1128.5065061223459</v>
      </c>
      <c r="AM376" s="320">
        <f t="shared" ca="1" si="551"/>
        <v>1244.4400505640538</v>
      </c>
      <c r="AN376" s="64"/>
    </row>
    <row r="377" spans="1:40" s="3" customFormat="1">
      <c r="A377" s="117"/>
      <c r="B377"/>
      <c r="C377"/>
      <c r="D377" s="70" t="s">
        <v>306</v>
      </c>
      <c r="E377"/>
      <c r="F377" s="17">
        <f>AVERAGE(7.1,6.6)/100</f>
        <v>6.8499999999999991E-2</v>
      </c>
      <c r="G377"/>
      <c r="H377"/>
      <c r="I377" s="178"/>
      <c r="J377" s="178"/>
      <c r="K377" s="178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>
        <v>5.4610000000000003</v>
      </c>
      <c r="X377" s="80">
        <v>26.640999999999998</v>
      </c>
      <c r="Y377" s="80">
        <v>33.015000000000001</v>
      </c>
      <c r="Z377" s="80">
        <v>31.757000000000001</v>
      </c>
      <c r="AA377" s="80">
        <v>25.167000000000002</v>
      </c>
      <c r="AB377" s="75">
        <f t="shared" ref="AB377:AM379" si="552">+AA377</f>
        <v>25.167000000000002</v>
      </c>
      <c r="AC377" s="75">
        <f t="shared" si="552"/>
        <v>25.167000000000002</v>
      </c>
      <c r="AD377" s="75">
        <f t="shared" si="552"/>
        <v>25.167000000000002</v>
      </c>
      <c r="AE377" s="75">
        <f t="shared" si="552"/>
        <v>25.167000000000002</v>
      </c>
      <c r="AF377" s="75">
        <f t="shared" si="552"/>
        <v>25.167000000000002</v>
      </c>
      <c r="AG377" s="75">
        <f t="shared" si="552"/>
        <v>25.167000000000002</v>
      </c>
      <c r="AH377" s="75">
        <f t="shared" si="552"/>
        <v>25.167000000000002</v>
      </c>
      <c r="AI377" s="75">
        <f t="shared" si="552"/>
        <v>25.167000000000002</v>
      </c>
      <c r="AJ377" s="75">
        <f t="shared" si="552"/>
        <v>25.167000000000002</v>
      </c>
      <c r="AK377" s="75">
        <f t="shared" si="552"/>
        <v>25.167000000000002</v>
      </c>
      <c r="AL377" s="75">
        <f t="shared" si="552"/>
        <v>25.167000000000002</v>
      </c>
      <c r="AM377" s="75">
        <f t="shared" si="552"/>
        <v>25.167000000000002</v>
      </c>
      <c r="AN377" s="64"/>
    </row>
    <row r="378" spans="1:40" s="3" customFormat="1">
      <c r="A378" s="117"/>
      <c r="B378"/>
      <c r="C378"/>
      <c r="D378" s="70" t="s">
        <v>307</v>
      </c>
      <c r="E378"/>
      <c r="F378" s="17">
        <v>0.05</v>
      </c>
      <c r="G378"/>
      <c r="H378"/>
      <c r="I378" s="178"/>
      <c r="J378" s="178"/>
      <c r="K378" s="178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>
        <v>0</v>
      </c>
      <c r="X378" s="80">
        <v>27.263999999999999</v>
      </c>
      <c r="Y378" s="80">
        <v>44.956000000000003</v>
      </c>
      <c r="Z378" s="80">
        <v>177.221</v>
      </c>
      <c r="AA378" s="80">
        <v>387.38</v>
      </c>
      <c r="AB378" s="75">
        <f t="shared" ref="AB378:AM378" ca="1" si="553">+AA378+AB437*0.75</f>
        <v>446.39483829320648</v>
      </c>
      <c r="AC378" s="75">
        <f t="shared" ca="1" si="553"/>
        <v>518.73183821652447</v>
      </c>
      <c r="AD378" s="75">
        <f t="shared" ca="1" si="553"/>
        <v>589.40280857261405</v>
      </c>
      <c r="AE378" s="75">
        <f t="shared" ca="1" si="553"/>
        <v>667.81052961800208</v>
      </c>
      <c r="AF378" s="75">
        <f t="shared" ca="1" si="553"/>
        <v>749.49451364045262</v>
      </c>
      <c r="AG378" s="75">
        <f t="shared" ca="1" si="553"/>
        <v>842.87101256598726</v>
      </c>
      <c r="AH378" s="75">
        <f t="shared" ca="1" si="553"/>
        <v>942.37447827815311</v>
      </c>
      <c r="AI378" s="75">
        <f t="shared" ca="1" si="553"/>
        <v>1049.6056566357452</v>
      </c>
      <c r="AJ378" s="75">
        <f t="shared" ca="1" si="553"/>
        <v>1165.0396535143755</v>
      </c>
      <c r="AK378" s="75">
        <f t="shared" ca="1" si="553"/>
        <v>1289.0760199829831</v>
      </c>
      <c r="AL378" s="75">
        <f t="shared" ca="1" si="553"/>
        <v>1402.3009289476333</v>
      </c>
      <c r="AM378" s="75">
        <f t="shared" ca="1" si="553"/>
        <v>1521.5373803001851</v>
      </c>
      <c r="AN378" s="64"/>
    </row>
    <row r="379" spans="1:40" s="3" customFormat="1">
      <c r="A379" s="117"/>
      <c r="B379"/>
      <c r="C379"/>
      <c r="D379" s="70" t="s">
        <v>308</v>
      </c>
      <c r="E379"/>
      <c r="F379" s="17">
        <f>AVERAGE(5.625,5.875)/100</f>
        <v>5.7500000000000002E-2</v>
      </c>
      <c r="G379"/>
      <c r="H379"/>
      <c r="I379" s="178"/>
      <c r="J379" s="178"/>
      <c r="K379" s="178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>
        <v>0</v>
      </c>
      <c r="X379" s="80">
        <v>0</v>
      </c>
      <c r="Y379" s="80">
        <v>350</v>
      </c>
      <c r="Z379" s="80">
        <v>600</v>
      </c>
      <c r="AA379" s="80">
        <v>1100</v>
      </c>
      <c r="AB379" s="75">
        <f t="shared" si="552"/>
        <v>1100</v>
      </c>
      <c r="AC379" s="75">
        <f t="shared" si="552"/>
        <v>1100</v>
      </c>
      <c r="AD379" s="75">
        <f t="shared" si="552"/>
        <v>1100</v>
      </c>
      <c r="AE379" s="75">
        <f t="shared" si="552"/>
        <v>1100</v>
      </c>
      <c r="AF379" s="75">
        <f t="shared" si="552"/>
        <v>1100</v>
      </c>
      <c r="AG379" s="75">
        <f t="shared" si="552"/>
        <v>1100</v>
      </c>
      <c r="AH379" s="75">
        <f t="shared" si="552"/>
        <v>1100</v>
      </c>
      <c r="AI379" s="75">
        <f t="shared" si="552"/>
        <v>1100</v>
      </c>
      <c r="AJ379" s="75">
        <f t="shared" si="552"/>
        <v>1100</v>
      </c>
      <c r="AK379" s="75">
        <f t="shared" si="552"/>
        <v>1100</v>
      </c>
      <c r="AL379" s="75">
        <f t="shared" si="552"/>
        <v>1100</v>
      </c>
      <c r="AM379" s="75">
        <f t="shared" si="552"/>
        <v>1100</v>
      </c>
      <c r="AN379" s="64"/>
    </row>
    <row r="380" spans="1:40" s="3" customFormat="1">
      <c r="A380" s="117"/>
      <c r="B380"/>
      <c r="C380"/>
      <c r="D380" s="70" t="s">
        <v>309</v>
      </c>
      <c r="E380"/>
      <c r="F380" s="17">
        <v>5.3499999999999999E-2</v>
      </c>
      <c r="G380"/>
      <c r="H380"/>
      <c r="I380" s="178"/>
      <c r="J380" s="178"/>
      <c r="K380" s="178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>
        <v>0</v>
      </c>
      <c r="X380" s="80">
        <v>0</v>
      </c>
      <c r="Y380" s="80">
        <v>16.154</v>
      </c>
      <c r="Z380" s="80">
        <v>51.472999999999999</v>
      </c>
      <c r="AA380" s="80">
        <v>110.015</v>
      </c>
      <c r="AB380" s="75">
        <f t="shared" ref="AB380:AM380" ca="1" si="554">+AA380++AB437*0.25</f>
        <v>129.68661276440216</v>
      </c>
      <c r="AC380" s="75">
        <f t="shared" ca="1" si="554"/>
        <v>153.7989460721748</v>
      </c>
      <c r="AD380" s="75">
        <f t="shared" ca="1" si="554"/>
        <v>177.35593619087132</v>
      </c>
      <c r="AE380" s="75">
        <f t="shared" ca="1" si="554"/>
        <v>203.49184320600068</v>
      </c>
      <c r="AF380" s="75">
        <f t="shared" ca="1" si="554"/>
        <v>230.71983788015086</v>
      </c>
      <c r="AG380" s="75">
        <f t="shared" ca="1" si="554"/>
        <v>261.84533752199576</v>
      </c>
      <c r="AH380" s="75">
        <f t="shared" ca="1" si="554"/>
        <v>295.01315942605106</v>
      </c>
      <c r="AI380" s="75">
        <f t="shared" ca="1" si="554"/>
        <v>330.75688554524839</v>
      </c>
      <c r="AJ380" s="75">
        <f t="shared" ca="1" si="554"/>
        <v>369.23488450479181</v>
      </c>
      <c r="AK380" s="75">
        <f t="shared" ca="1" si="554"/>
        <v>410.58033999432769</v>
      </c>
      <c r="AL380" s="75">
        <f t="shared" ca="1" si="554"/>
        <v>448.32197631587781</v>
      </c>
      <c r="AM380" s="75">
        <f t="shared" ca="1" si="554"/>
        <v>488.06746010006174</v>
      </c>
      <c r="AN380" s="64"/>
    </row>
    <row r="381" spans="1:40" s="3" customFormat="1">
      <c r="A381" s="117"/>
      <c r="B381"/>
      <c r="C381"/>
      <c r="D381" s="70" t="s">
        <v>455</v>
      </c>
      <c r="E381"/>
      <c r="F381" s="195">
        <f>DCF!$C$29</f>
        <v>4.4999999999999998E-2</v>
      </c>
      <c r="G381"/>
      <c r="H381"/>
      <c r="I381" s="178"/>
      <c r="J381" s="178"/>
      <c r="K381" s="178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>
        <v>0</v>
      </c>
      <c r="X381" s="80">
        <v>-0.30499999999999999</v>
      </c>
      <c r="Y381" s="80">
        <v>-7.6429999999999998</v>
      </c>
      <c r="Z381" s="80">
        <v>-13.641999999999999</v>
      </c>
      <c r="AA381" s="80">
        <v>-21.321999999999999</v>
      </c>
      <c r="AB381" s="75">
        <f ca="1">+AB382-SUM(AB374:AB380)</f>
        <v>673.91854894239168</v>
      </c>
      <c r="AC381" s="75">
        <f t="shared" ref="AC381:AM381" ca="1" si="555">+AC382-SUM(AC374:AC380)</f>
        <v>827.46921571130088</v>
      </c>
      <c r="AD381" s="75">
        <f t="shared" ca="1" si="555"/>
        <v>933.24125523651492</v>
      </c>
      <c r="AE381" s="75">
        <f t="shared" ca="1" si="555"/>
        <v>1028.6976271759972</v>
      </c>
      <c r="AF381" s="75">
        <f t="shared" ca="1" si="555"/>
        <v>1219.7856484793956</v>
      </c>
      <c r="AG381" s="75">
        <f t="shared" ca="1" si="555"/>
        <v>1195.2836499120167</v>
      </c>
      <c r="AH381" s="75">
        <f t="shared" ca="1" si="555"/>
        <v>1942.1840561922554</v>
      </c>
      <c r="AI381" s="75">
        <f t="shared" ca="1" si="555"/>
        <v>2463.9020293475151</v>
      </c>
      <c r="AJ381" s="75">
        <f t="shared" ca="1" si="555"/>
        <v>2735.0352854632674</v>
      </c>
      <c r="AK381" s="75">
        <f t="shared" ca="1" si="555"/>
        <v>3542.8853493055476</v>
      </c>
      <c r="AL381" s="75">
        <f t="shared" ca="1" si="555"/>
        <v>3945.0817856085851</v>
      </c>
      <c r="AM381" s="75">
        <f t="shared" ca="1" si="555"/>
        <v>4348.7667682520751</v>
      </c>
      <c r="AN381" s="64"/>
    </row>
    <row r="382" spans="1:40" s="3" customFormat="1">
      <c r="A382" s="117"/>
      <c r="B382"/>
      <c r="C382"/>
      <c r="D382" s="207" t="s">
        <v>170</v>
      </c>
      <c r="E382" s="2"/>
      <c r="F382" s="2"/>
      <c r="G382" s="2"/>
      <c r="H382" s="2"/>
      <c r="I382" s="2"/>
      <c r="J382" s="2"/>
      <c r="K382" s="2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>
        <f t="shared" ref="W382:AA382" si="556">SUM(W374:W381)</f>
        <v>170.774</v>
      </c>
      <c r="X382" s="8">
        <f t="shared" si="556"/>
        <v>302.392</v>
      </c>
      <c r="Y382" s="8">
        <f t="shared" si="556"/>
        <v>633.44499999999994</v>
      </c>
      <c r="Z382" s="8">
        <f t="shared" si="556"/>
        <v>1500.6309999999996</v>
      </c>
      <c r="AA382" s="8">
        <f t="shared" si="556"/>
        <v>1722.3190000000002</v>
      </c>
      <c r="AB382" s="101">
        <f>+AB383+SUM(AB374:AB377)</f>
        <v>2847.125767605944</v>
      </c>
      <c r="AC382" s="101">
        <f>+AC383+SUM(AC374:AC377)</f>
        <v>3611.4646452352945</v>
      </c>
      <c r="AD382" s="101">
        <f ca="1">+AD383+SUM(AD374:AD377)</f>
        <v>4224.7156228281947</v>
      </c>
      <c r="AE382" s="101">
        <f ca="1">+AE383+SUM(AE374:AE377)</f>
        <v>4903.1538348719141</v>
      </c>
      <c r="AF382" s="101">
        <f t="shared" ref="AF382:AM382" ca="1" si="557">+AF383+SUM(AF374:AF377)</f>
        <v>5662.3869548322036</v>
      </c>
      <c r="AG382" s="101">
        <f t="shared" ca="1" si="557"/>
        <v>6256.4743834374194</v>
      </c>
      <c r="AH382" s="101">
        <f t="shared" ca="1" si="557"/>
        <v>7691.7101008122136</v>
      </c>
      <c r="AI382" s="101">
        <f t="shared" ca="1" si="557"/>
        <v>8936.9131531841049</v>
      </c>
      <c r="AJ382" s="101">
        <f t="shared" ca="1" si="557"/>
        <v>9992.2770702464331</v>
      </c>
      <c r="AK382" s="101">
        <f t="shared" ca="1" si="557"/>
        <v>11636.056420641456</v>
      </c>
      <c r="AL382" s="101">
        <f t="shared" ca="1" si="557"/>
        <v>12563.747827248033</v>
      </c>
      <c r="AM382" s="101">
        <f t="shared" ca="1" si="557"/>
        <v>13493.613746551788</v>
      </c>
      <c r="AN382" s="64"/>
    </row>
    <row r="383" spans="1:40" s="3" customFormat="1">
      <c r="A383" s="117"/>
      <c r="B383"/>
      <c r="C383"/>
      <c r="D383" s="322" t="s">
        <v>451</v>
      </c>
      <c r="E383" s="181"/>
      <c r="F383" s="181"/>
      <c r="G383" s="181"/>
      <c r="H383" s="181"/>
      <c r="I383" s="181"/>
      <c r="J383" s="181"/>
      <c r="K383" s="181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>
        <f t="shared" ref="W383:Z383" si="558">+W382-W374-W375-W376-W377</f>
        <v>1.2434497875801753E-14</v>
      </c>
      <c r="X383" s="182">
        <f t="shared" si="558"/>
        <v>26.958999999999996</v>
      </c>
      <c r="Y383" s="182">
        <f t="shared" si="558"/>
        <v>403.46699999999998</v>
      </c>
      <c r="Z383" s="182">
        <f t="shared" si="558"/>
        <v>815.05199999999979</v>
      </c>
      <c r="AA383" s="182">
        <f>+AA382-AA374-AA375-AA376-AA377</f>
        <v>1576.0730000000003</v>
      </c>
      <c r="AB383" s="323">
        <f>+AB355</f>
        <v>2350</v>
      </c>
      <c r="AC383" s="323">
        <f>+AC355</f>
        <v>2600</v>
      </c>
      <c r="AD383" s="323">
        <f>+AD355</f>
        <v>2800</v>
      </c>
      <c r="AE383" s="323">
        <f>+AE355</f>
        <v>3000</v>
      </c>
      <c r="AF383" s="323">
        <f t="shared" ref="AF383:AM383" si="559">+AF355</f>
        <v>3300</v>
      </c>
      <c r="AG383" s="323">
        <f t="shared" si="559"/>
        <v>3400</v>
      </c>
      <c r="AH383" s="323">
        <f t="shared" ca="1" si="559"/>
        <v>4279.5716938964588</v>
      </c>
      <c r="AI383" s="323">
        <f t="shared" ca="1" si="559"/>
        <v>4944.2645715285098</v>
      </c>
      <c r="AJ383" s="323">
        <f t="shared" ca="1" si="559"/>
        <v>5369.3098234824356</v>
      </c>
      <c r="AK383" s="323">
        <f t="shared" ca="1" si="559"/>
        <v>6342.5417092828575</v>
      </c>
      <c r="AL383" s="323">
        <f t="shared" ca="1" si="559"/>
        <v>6895.7046908720968</v>
      </c>
      <c r="AM383" s="323">
        <f t="shared" ca="1" si="559"/>
        <v>7458.3716086523209</v>
      </c>
      <c r="AN383" s="64"/>
    </row>
    <row r="384" spans="1:40" s="98" customFormat="1">
      <c r="A384" s="119"/>
      <c r="B384" s="63"/>
      <c r="C384" s="63"/>
      <c r="D384" s="281" t="s">
        <v>121</v>
      </c>
      <c r="I384" s="86"/>
      <c r="J384" s="86"/>
      <c r="K384" s="86"/>
      <c r="L384" s="86"/>
      <c r="M384" s="86"/>
      <c r="N384" s="86"/>
      <c r="O384" s="86"/>
      <c r="P384" s="86"/>
      <c r="Q384" s="86"/>
      <c r="W384" s="86" t="b">
        <f t="shared" ref="W384:AM384" si="560">(W382=SUM(W290,W284,W291))</f>
        <v>1</v>
      </c>
      <c r="X384" s="86" t="b">
        <f t="shared" si="560"/>
        <v>1</v>
      </c>
      <c r="Y384" s="86" t="b">
        <f t="shared" si="560"/>
        <v>1</v>
      </c>
      <c r="Z384" s="86" t="b">
        <f t="shared" si="560"/>
        <v>1</v>
      </c>
      <c r="AA384" s="86" t="b">
        <f t="shared" si="560"/>
        <v>1</v>
      </c>
      <c r="AB384" s="86" t="b">
        <f t="shared" si="560"/>
        <v>1</v>
      </c>
      <c r="AC384" s="86" t="b">
        <f t="shared" si="560"/>
        <v>1</v>
      </c>
      <c r="AD384" s="86" t="b">
        <f t="shared" ca="1" si="560"/>
        <v>1</v>
      </c>
      <c r="AE384" s="86" t="b">
        <f t="shared" ca="1" si="560"/>
        <v>1</v>
      </c>
      <c r="AF384" s="86" t="b">
        <f t="shared" ca="1" si="560"/>
        <v>1</v>
      </c>
      <c r="AG384" s="86" t="b">
        <f t="shared" ca="1" si="560"/>
        <v>1</v>
      </c>
      <c r="AH384" s="86" t="b">
        <f t="shared" ca="1" si="560"/>
        <v>1</v>
      </c>
      <c r="AI384" s="86" t="b">
        <f t="shared" ca="1" si="560"/>
        <v>1</v>
      </c>
      <c r="AJ384" s="86" t="b">
        <f t="shared" ca="1" si="560"/>
        <v>1</v>
      </c>
      <c r="AK384" s="86" t="b">
        <f t="shared" ca="1" si="560"/>
        <v>1</v>
      </c>
      <c r="AL384" s="86" t="b">
        <f t="shared" ca="1" si="560"/>
        <v>1</v>
      </c>
      <c r="AM384" s="86" t="b">
        <f t="shared" ca="1" si="560"/>
        <v>1</v>
      </c>
      <c r="AN384" s="97"/>
    </row>
    <row r="385" spans="1:40" s="3" customFormat="1">
      <c r="A385" s="117"/>
      <c r="B385"/>
      <c r="C385"/>
      <c r="D385" s="70" t="s">
        <v>171</v>
      </c>
      <c r="E385"/>
      <c r="F385"/>
      <c r="G385"/>
      <c r="H385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>
        <f>AVERAGE(V382:W382)</f>
        <v>170.774</v>
      </c>
      <c r="X385" s="7">
        <f t="shared" ref="X385:AJ385" si="561">AVERAGE(W382:X382)</f>
        <v>236.583</v>
      </c>
      <c r="Y385" s="7">
        <f t="shared" si="561"/>
        <v>467.91849999999999</v>
      </c>
      <c r="Z385" s="7">
        <f t="shared" si="561"/>
        <v>1067.0379999999998</v>
      </c>
      <c r="AA385" s="7">
        <f t="shared" si="561"/>
        <v>1611.4749999999999</v>
      </c>
      <c r="AB385" s="7">
        <f t="shared" si="561"/>
        <v>2284.7223838029722</v>
      </c>
      <c r="AC385" s="7">
        <f t="shared" si="561"/>
        <v>3229.2952064206193</v>
      </c>
      <c r="AD385" s="7">
        <f t="shared" ca="1" si="561"/>
        <v>3918.0901340317446</v>
      </c>
      <c r="AE385" s="7">
        <f t="shared" ca="1" si="561"/>
        <v>4563.9347288500539</v>
      </c>
      <c r="AF385" s="7">
        <f t="shared" ca="1" si="561"/>
        <v>5282.7703948520593</v>
      </c>
      <c r="AG385" s="7">
        <f t="shared" ca="1" si="561"/>
        <v>5959.430669134812</v>
      </c>
      <c r="AH385" s="7">
        <f t="shared" ca="1" si="561"/>
        <v>6974.092242124816</v>
      </c>
      <c r="AI385" s="7">
        <f t="shared" ca="1" si="561"/>
        <v>8314.3116269981583</v>
      </c>
      <c r="AJ385" s="7">
        <f t="shared" ca="1" si="561"/>
        <v>9464.595111715269</v>
      </c>
      <c r="AK385" s="7">
        <f ca="1">AVERAGE(AJ382:AK382)</f>
        <v>10814.166745443945</v>
      </c>
      <c r="AL385" s="7">
        <f t="shared" ref="AL385:AM385" ca="1" si="562">AVERAGE(AK382:AL382)</f>
        <v>12099.902123944745</v>
      </c>
      <c r="AM385" s="7">
        <f t="shared" ca="1" si="562"/>
        <v>13028.680786899909</v>
      </c>
      <c r="AN385" s="64"/>
    </row>
    <row r="386" spans="1:40" s="3" customFormat="1">
      <c r="A386" s="117"/>
      <c r="B386"/>
      <c r="C386"/>
      <c r="D386" s="70" t="s">
        <v>172</v>
      </c>
      <c r="E386"/>
      <c r="F386"/>
      <c r="G386"/>
      <c r="H386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>
        <f>IFERROR((SUMPRODUCT(W374:W381,$F$374:$F$381))/SUM(W374:W381),0)</f>
        <v>3.6071260847670025E-2</v>
      </c>
      <c r="X386" s="102">
        <f>IFERROR((SUMPRODUCT(X374:X381,$F$374:$F$381))/SUM(X374:X381),0)</f>
        <v>3.9293709820365619E-2</v>
      </c>
      <c r="Y386" s="282">
        <f>IFERROR((SUMPRODUCT(Y374:Y381,$F$374:$F$381)+AVERAGE(X379:Y379)*(8.875/100-$F$379))/SUM(Y374:Y381),0)</f>
        <v>5.9227062333746423E-2</v>
      </c>
      <c r="Z386" s="282">
        <f>IFERROR((SUMPRODUCT(Z374:Z381,$F$374:$F$381)+AVERAGE(Y379:Z379)*(8.875/100-$F$379))/SUM(Z374:Z381),0)</f>
        <v>5.6451029600214857E-2</v>
      </c>
      <c r="AA386" s="282">
        <f>IFERROR((SUMPRODUCT(AA374:AA381,$F$374:$F$381)+AVERAGE(Z379:AA379)*(8.875/100-$F$379)*0.75)/SUM(AA374:AA381),0)</f>
        <v>6.5622336512574028E-2</v>
      </c>
      <c r="AB386" s="102">
        <f t="shared" ref="AB386:AM386" ca="1" si="563">IFERROR((SUMPRODUCT(AB374:AB381,$F$374:$F$381))/SUM(AB374:AB381),0)</f>
        <v>4.9208842968246867E-2</v>
      </c>
      <c r="AC386" s="102">
        <f t="shared" ca="1" si="563"/>
        <v>4.6841969305278224E-2</v>
      </c>
      <c r="AD386" s="102">
        <f t="shared" ca="1" si="563"/>
        <v>4.5540203181039414E-2</v>
      </c>
      <c r="AE386" s="102">
        <f t="shared" ca="1" si="563"/>
        <v>4.4434562426404471E-2</v>
      </c>
      <c r="AF386" s="102">
        <f t="shared" ca="1" si="563"/>
        <v>4.3647867732583383E-2</v>
      </c>
      <c r="AG386" s="102">
        <f t="shared" ca="1" si="563"/>
        <v>4.2931378840869963E-2</v>
      </c>
      <c r="AH386" s="102">
        <f t="shared" ca="1" si="563"/>
        <v>4.2534237529142871E-2</v>
      </c>
      <c r="AI386" s="102">
        <f t="shared" ca="1" si="563"/>
        <v>4.2184465584248883E-2</v>
      </c>
      <c r="AJ386" s="102">
        <f t="shared" ca="1" si="563"/>
        <v>4.1808391681733982E-2</v>
      </c>
      <c r="AK386" s="102">
        <f t="shared" ca="1" si="563"/>
        <v>4.1648493897106252E-2</v>
      </c>
      <c r="AL386" s="102">
        <f t="shared" ca="1" si="563"/>
        <v>4.159485425471425E-2</v>
      </c>
      <c r="AM386" s="102">
        <f t="shared" ca="1" si="563"/>
        <v>4.1565254981140436E-2</v>
      </c>
      <c r="AN386" s="64"/>
    </row>
    <row r="387" spans="1:40" s="3" customFormat="1">
      <c r="A387" s="117"/>
      <c r="B387"/>
      <c r="C387"/>
      <c r="D387" s="70" t="s">
        <v>173</v>
      </c>
      <c r="E387"/>
      <c r="F387"/>
      <c r="G387"/>
      <c r="H387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>
        <f t="shared" ref="W387:Z387" si="564">IFERROR(-W389/W385,0)</f>
        <v>2.1729361612423437E-2</v>
      </c>
      <c r="X387" s="102">
        <f t="shared" si="564"/>
        <v>3.3591128694792097E-2</v>
      </c>
      <c r="Y387" s="102">
        <f t="shared" si="564"/>
        <v>5.3947236537986845E-2</v>
      </c>
      <c r="Z387" s="102">
        <f t="shared" si="564"/>
        <v>7.6026261482721347E-2</v>
      </c>
      <c r="AA387" s="102">
        <f>IFERROR(-AA389/AA385,0)</f>
        <v>6.1128742301307805E-2</v>
      </c>
      <c r="AB387" s="283">
        <f ca="1">AB386+AB388</f>
        <v>4.9208842968246867E-2</v>
      </c>
      <c r="AC387" s="283">
        <f t="shared" ref="AC387:AM387" ca="1" si="565">AC386+AC388</f>
        <v>4.6841969305278224E-2</v>
      </c>
      <c r="AD387" s="283">
        <f t="shared" ca="1" si="565"/>
        <v>4.5540203181039414E-2</v>
      </c>
      <c r="AE387" s="283">
        <f t="shared" ca="1" si="565"/>
        <v>4.4434562426404471E-2</v>
      </c>
      <c r="AF387" s="283">
        <f t="shared" ca="1" si="565"/>
        <v>4.3647867732583383E-2</v>
      </c>
      <c r="AG387" s="283">
        <f t="shared" ca="1" si="565"/>
        <v>4.2931378840869963E-2</v>
      </c>
      <c r="AH387" s="283">
        <f t="shared" ca="1" si="565"/>
        <v>4.2534237529142871E-2</v>
      </c>
      <c r="AI387" s="283">
        <f t="shared" ca="1" si="565"/>
        <v>4.2184465584248883E-2</v>
      </c>
      <c r="AJ387" s="283">
        <f t="shared" ca="1" si="565"/>
        <v>4.1808391681733982E-2</v>
      </c>
      <c r="AK387" s="283">
        <f t="shared" ca="1" si="565"/>
        <v>4.1648493897106252E-2</v>
      </c>
      <c r="AL387" s="283">
        <f t="shared" ca="1" si="565"/>
        <v>4.159485425471425E-2</v>
      </c>
      <c r="AM387" s="283">
        <f t="shared" ca="1" si="565"/>
        <v>4.1565254981140436E-2</v>
      </c>
      <c r="AN387" s="64"/>
    </row>
    <row r="388" spans="1:40" s="98" customFormat="1">
      <c r="A388" s="119"/>
      <c r="B388" s="63"/>
      <c r="C388" s="63"/>
      <c r="D388" s="81" t="s">
        <v>376</v>
      </c>
      <c r="E388" s="63"/>
      <c r="F388" s="63"/>
      <c r="G388" s="63"/>
      <c r="H388" s="63"/>
      <c r="I388" s="284"/>
      <c r="J388" s="284"/>
      <c r="K388" s="284"/>
      <c r="L388" s="284"/>
      <c r="M388" s="284"/>
      <c r="N388" s="284"/>
      <c r="O388" s="284"/>
      <c r="P388" s="284"/>
      <c r="Q388" s="284"/>
      <c r="R388" s="284"/>
      <c r="S388" s="284"/>
      <c r="T388" s="284"/>
      <c r="U388" s="284"/>
      <c r="V388" s="284"/>
      <c r="W388" s="284">
        <f t="shared" ref="W388:Z388" si="566">W387-W386</f>
        <v>-1.4341899235246588E-2</v>
      </c>
      <c r="X388" s="284">
        <f t="shared" si="566"/>
        <v>-5.702581125573522E-3</v>
      </c>
      <c r="Y388" s="284">
        <f t="shared" si="566"/>
        <v>-5.2798257957595782E-3</v>
      </c>
      <c r="Z388" s="284">
        <f t="shared" si="566"/>
        <v>1.957523188250649E-2</v>
      </c>
      <c r="AA388" s="284">
        <f>AA387-AA386</f>
        <v>-4.4935942112662233E-3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97"/>
    </row>
    <row r="389" spans="1:40" s="3" customFormat="1">
      <c r="A389" s="117"/>
      <c r="B389"/>
      <c r="C389"/>
      <c r="D389" s="70" t="s">
        <v>110</v>
      </c>
      <c r="E389"/>
      <c r="F389"/>
      <c r="G389"/>
      <c r="H389"/>
      <c r="I389" s="7"/>
      <c r="J389" s="7"/>
      <c r="K389" s="7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>
        <f t="shared" ref="W389:Z389" si="567">-W405</f>
        <v>-3.7108100000000004</v>
      </c>
      <c r="X389" s="75">
        <f t="shared" si="567"/>
        <v>-7.9470899999999993</v>
      </c>
      <c r="Y389" s="75">
        <f t="shared" si="567"/>
        <v>-25.242909999999998</v>
      </c>
      <c r="Z389" s="75">
        <f t="shared" si="567"/>
        <v>-81.122910000000005</v>
      </c>
      <c r="AA389" s="75">
        <f>-AA405</f>
        <v>-98.507439999999988</v>
      </c>
      <c r="AB389" s="69">
        <f t="shared" ref="AB389:AJ389" ca="1" si="568">-AB387*AB385</f>
        <v>-112.42854501059911</v>
      </c>
      <c r="AC389" s="69">
        <f t="shared" ca="1" si="568"/>
        <v>-151.26654693683676</v>
      </c>
      <c r="AD389" s="69">
        <f t="shared" ca="1" si="568"/>
        <v>-178.43062078543159</v>
      </c>
      <c r="AE389" s="69">
        <f t="shared" ca="1" si="568"/>
        <v>-202.7964426191231</v>
      </c>
      <c r="AF389" s="69">
        <f t="shared" ca="1" si="568"/>
        <v>-230.58166345610996</v>
      </c>
      <c r="AG389" s="69">
        <f t="shared" ca="1" si="568"/>
        <v>-255.84657573252579</v>
      </c>
      <c r="AH389" s="69">
        <f t="shared" ca="1" si="568"/>
        <v>-296.63769597668949</v>
      </c>
      <c r="AI389" s="69">
        <f t="shared" ca="1" si="568"/>
        <v>-350.73479268582412</v>
      </c>
      <c r="AJ389" s="69">
        <f t="shared" ca="1" si="568"/>
        <v>-395.69949953961674</v>
      </c>
      <c r="AK389" s="69">
        <f ca="1">-AK387*AK385</f>
        <v>-450.39375769991153</v>
      </c>
      <c r="AL389" s="69">
        <f t="shared" ref="AL389:AM389" ca="1" si="569">-AL387*AL385</f>
        <v>-503.29366534178905</v>
      </c>
      <c r="AM389" s="69">
        <f t="shared" ca="1" si="569"/>
        <v>-541.5404389753802</v>
      </c>
      <c r="AN389" s="64"/>
    </row>
    <row r="390" spans="1:40" s="3" customFormat="1">
      <c r="A390" s="117"/>
      <c r="B390"/>
      <c r="C390"/>
      <c r="D390" s="70" t="s">
        <v>457</v>
      </c>
      <c r="E390"/>
      <c r="F390"/>
      <c r="G390"/>
      <c r="H390"/>
      <c r="I390" s="7"/>
      <c r="J390" s="7"/>
      <c r="K390" s="7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328">
        <f t="shared" ref="W390:AM390" si="570">-W14/W389</f>
        <v>-24.125460478978979</v>
      </c>
      <c r="X390" s="328">
        <f t="shared" si="570"/>
        <v>-19.712498537200421</v>
      </c>
      <c r="Y390" s="328">
        <f t="shared" si="570"/>
        <v>-9.1006544015725623</v>
      </c>
      <c r="Z390" s="328">
        <f t="shared" si="570"/>
        <v>-3.5012673978287991</v>
      </c>
      <c r="AA390" s="328">
        <f t="shared" si="570"/>
        <v>-3.3596345616128098</v>
      </c>
      <c r="AB390" s="328">
        <f t="shared" ca="1" si="570"/>
        <v>-3.0540376136461127</v>
      </c>
      <c r="AC390" s="328">
        <f t="shared" ca="1" si="570"/>
        <v>-1.3030777676819012</v>
      </c>
      <c r="AD390" s="328">
        <f t="shared" ca="1" si="570"/>
        <v>-0.14911073958351614</v>
      </c>
      <c r="AE390" s="328">
        <f t="shared" ca="1" si="570"/>
        <v>1.1551133802474092</v>
      </c>
      <c r="AF390" s="328">
        <f t="shared" ca="1" si="570"/>
        <v>2.4776497354297793</v>
      </c>
      <c r="AG390" s="328">
        <f t="shared" ca="1" si="570"/>
        <v>3.9104969303974193</v>
      </c>
      <c r="AH390" s="328">
        <f t="shared" ca="1" si="570"/>
        <v>5.1802207792559418</v>
      </c>
      <c r="AI390" s="328">
        <f t="shared" ca="1" si="570"/>
        <v>6.0973068865393598</v>
      </c>
      <c r="AJ390" s="328">
        <f t="shared" ca="1" si="570"/>
        <v>7.1641795708378062</v>
      </c>
      <c r="AK390" s="328">
        <f t="shared" ca="1" si="570"/>
        <v>8.0989031195166064</v>
      </c>
      <c r="AL390" s="328">
        <f t="shared" ca="1" si="570"/>
        <v>7.8747113962650541</v>
      </c>
      <c r="AM390" s="328">
        <f t="shared" ca="1" si="570"/>
        <v>7.9489683656265075</v>
      </c>
      <c r="AN390" s="64"/>
    </row>
    <row r="391" spans="1:40" s="3" customFormat="1">
      <c r="A391" s="117"/>
      <c r="B391"/>
      <c r="C391"/>
      <c r="D391" s="70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 s="7"/>
      <c r="S391" s="7"/>
      <c r="T391" s="7"/>
      <c r="U391" s="7"/>
      <c r="V391" s="7"/>
      <c r="W391" s="7"/>
      <c r="X391" s="7"/>
      <c r="Y391" s="7"/>
      <c r="Z391" s="7"/>
      <c r="AA391" s="56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64"/>
    </row>
    <row r="392" spans="1:40" s="3" customFormat="1">
      <c r="A392" s="117"/>
      <c r="B392"/>
      <c r="C392"/>
      <c r="D392" s="70" t="s">
        <v>450</v>
      </c>
      <c r="E392"/>
      <c r="F392"/>
      <c r="G392"/>
      <c r="H392"/>
      <c r="I392"/>
      <c r="J392"/>
      <c r="K392"/>
      <c r="L392"/>
      <c r="M392"/>
      <c r="N392"/>
      <c r="O392"/>
      <c r="P392"/>
      <c r="Q392"/>
      <c r="R392" s="7"/>
      <c r="S392" s="7"/>
      <c r="T392" s="7"/>
      <c r="U392" s="7"/>
      <c r="V392" s="7"/>
      <c r="W392" s="65">
        <f>+W375/W151</f>
        <v>0</v>
      </c>
      <c r="X392" s="65">
        <f>+X375/X151</f>
        <v>0</v>
      </c>
      <c r="Y392" s="65">
        <f>+Y375/Y151</f>
        <v>0</v>
      </c>
      <c r="Z392" s="65">
        <f>+Z375/Z151</f>
        <v>0.18591903655098635</v>
      </c>
      <c r="AA392" s="65">
        <f>+AA375/AA151</f>
        <v>0</v>
      </c>
      <c r="AB392" s="77">
        <v>0.15</v>
      </c>
      <c r="AC392" s="77">
        <v>0.25</v>
      </c>
      <c r="AD392" s="77">
        <f t="shared" ref="AD392:AI392" ca="1" si="571">+AVERAGE(AE392,AC392)</f>
        <v>0.2937499999999999</v>
      </c>
      <c r="AE392" s="77">
        <f t="shared" ca="1" si="571"/>
        <v>0.3374999999999998</v>
      </c>
      <c r="AF392" s="77">
        <f t="shared" ca="1" si="571"/>
        <v>0.38124999999999976</v>
      </c>
      <c r="AG392" s="77">
        <f t="shared" ca="1" si="571"/>
        <v>0.42499999999999977</v>
      </c>
      <c r="AH392" s="77">
        <f t="shared" ca="1" si="571"/>
        <v>0.46874999999999978</v>
      </c>
      <c r="AI392" s="77">
        <f t="shared" ca="1" si="571"/>
        <v>0.51249999999999984</v>
      </c>
      <c r="AJ392" s="77">
        <f t="shared" ref="AF392:AJ393" ca="1" si="572">+AVERAGE(AK392,AI392)</f>
        <v>0.55624999999999991</v>
      </c>
      <c r="AK392" s="77">
        <v>0.6</v>
      </c>
      <c r="AL392" s="77">
        <f>+AK392</f>
        <v>0.6</v>
      </c>
      <c r="AM392" s="77">
        <f>+AL392</f>
        <v>0.6</v>
      </c>
      <c r="AN392" s="64"/>
    </row>
    <row r="393" spans="1:40" s="3" customFormat="1">
      <c r="A393" s="117"/>
      <c r="B393"/>
      <c r="C393"/>
      <c r="D393" s="70" t="s">
        <v>449</v>
      </c>
      <c r="E393"/>
      <c r="F393"/>
      <c r="G393"/>
      <c r="H393"/>
      <c r="I393"/>
      <c r="J393"/>
      <c r="K393"/>
      <c r="L393"/>
      <c r="M393"/>
      <c r="N393"/>
      <c r="O393"/>
      <c r="P393"/>
      <c r="Q393"/>
      <c r="R393" s="7"/>
      <c r="S393" s="7"/>
      <c r="T393" s="7"/>
      <c r="U393" s="7"/>
      <c r="V393" s="7"/>
      <c r="W393" s="65">
        <f>+W374/W271</f>
        <v>0.89114637801472718</v>
      </c>
      <c r="X393" s="65">
        <f>+X374/X271</f>
        <v>1.0938508481133984</v>
      </c>
      <c r="Y393" s="65">
        <f>+Y374/Y271</f>
        <v>0.47778373435085614</v>
      </c>
      <c r="Z393" s="65">
        <f>+Z374/Z271</f>
        <v>0.6758747915289971</v>
      </c>
      <c r="AA393" s="65">
        <f>+AA374/AA271</f>
        <v>3.842757675623773E-2</v>
      </c>
      <c r="AB393" s="77">
        <v>0.2</v>
      </c>
      <c r="AC393" s="77">
        <v>0.35</v>
      </c>
      <c r="AD393" s="77">
        <v>0.4</v>
      </c>
      <c r="AE393" s="77">
        <v>0.45</v>
      </c>
      <c r="AF393" s="77">
        <f t="shared" ca="1" si="572"/>
        <v>0.47499999999999998</v>
      </c>
      <c r="AG393" s="77">
        <f t="shared" ca="1" si="572"/>
        <v>0.49999999999999994</v>
      </c>
      <c r="AH393" s="77">
        <f t="shared" ca="1" si="572"/>
        <v>0.52499999999999991</v>
      </c>
      <c r="AI393" s="77">
        <f t="shared" ca="1" si="572"/>
        <v>0.54999999999999993</v>
      </c>
      <c r="AJ393" s="77">
        <f t="shared" ca="1" si="572"/>
        <v>0.57499999999999996</v>
      </c>
      <c r="AK393" s="77">
        <v>0.6</v>
      </c>
      <c r="AL393" s="77">
        <f>+AK393</f>
        <v>0.6</v>
      </c>
      <c r="AM393" s="77">
        <f>+AL393</f>
        <v>0.6</v>
      </c>
      <c r="AN393" s="64"/>
    </row>
    <row r="394" spans="1:40" s="3" customFormat="1">
      <c r="A394" s="117"/>
      <c r="B394"/>
      <c r="C394"/>
      <c r="D394" s="70" t="s">
        <v>447</v>
      </c>
      <c r="E394"/>
      <c r="F394"/>
      <c r="G394"/>
      <c r="H394"/>
      <c r="I394"/>
      <c r="J394"/>
      <c r="K394"/>
      <c r="L394"/>
      <c r="M394"/>
      <c r="N394"/>
      <c r="O394"/>
      <c r="P394"/>
      <c r="Q394"/>
      <c r="R394" s="7"/>
      <c r="S394" s="7"/>
      <c r="T394" s="7"/>
      <c r="U394" s="7"/>
      <c r="V394" s="7"/>
      <c r="W394" s="7"/>
      <c r="X394" s="7"/>
      <c r="Y394" s="7"/>
      <c r="Z394" s="65">
        <f>1-Z376/Z133</f>
        <v>0.13968414658837824</v>
      </c>
      <c r="AA394" s="65">
        <f>1-AA376/AA133</f>
        <v>0.38099699864405745</v>
      </c>
      <c r="AB394" s="77">
        <v>0.25</v>
      </c>
      <c r="AC394" s="77">
        <f>MAX(0.1,AB394-0.025)</f>
        <v>0.22500000000000001</v>
      </c>
      <c r="AD394" s="77">
        <f t="shared" ref="AD394:AM394" si="573">MAX(0.1,AC394-0.025)</f>
        <v>0.2</v>
      </c>
      <c r="AE394" s="77">
        <f t="shared" si="573"/>
        <v>0.17500000000000002</v>
      </c>
      <c r="AF394" s="77">
        <f t="shared" si="573"/>
        <v>0.15000000000000002</v>
      </c>
      <c r="AG394" s="77">
        <f t="shared" si="573"/>
        <v>0.12500000000000003</v>
      </c>
      <c r="AH394" s="77">
        <f t="shared" si="573"/>
        <v>0.10000000000000003</v>
      </c>
      <c r="AI394" s="77">
        <f t="shared" si="573"/>
        <v>0.1</v>
      </c>
      <c r="AJ394" s="77">
        <f t="shared" si="573"/>
        <v>0.1</v>
      </c>
      <c r="AK394" s="77">
        <f t="shared" si="573"/>
        <v>0.1</v>
      </c>
      <c r="AL394" s="77">
        <f t="shared" si="573"/>
        <v>0.1</v>
      </c>
      <c r="AM394" s="77">
        <f t="shared" si="573"/>
        <v>0.1</v>
      </c>
      <c r="AN394" s="64"/>
    </row>
    <row r="395" spans="1:40" s="3" customFormat="1">
      <c r="A395" s="117"/>
      <c r="B395"/>
      <c r="C395"/>
      <c r="D395" s="70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64"/>
    </row>
    <row r="396" spans="1:40" s="3" customFormat="1">
      <c r="A396" s="117"/>
      <c r="B396"/>
      <c r="C396"/>
      <c r="D396" s="70" t="s">
        <v>234</v>
      </c>
      <c r="E396"/>
      <c r="F396"/>
      <c r="G396"/>
      <c r="H396"/>
      <c r="I396"/>
      <c r="J396"/>
      <c r="K396"/>
      <c r="L396"/>
      <c r="M396"/>
      <c r="N396"/>
      <c r="O396"/>
      <c r="P396"/>
      <c r="Q396"/>
      <c r="R396" s="7"/>
      <c r="S396" s="7"/>
      <c r="T396" s="7"/>
      <c r="U396" s="7">
        <f t="shared" ref="U396:AM396" si="574">U268</f>
        <v>0</v>
      </c>
      <c r="V396" s="7">
        <f t="shared" si="574"/>
        <v>2.1150000000000002</v>
      </c>
      <c r="W396" s="7">
        <f t="shared" si="574"/>
        <v>10.266</v>
      </c>
      <c r="X396" s="7">
        <f t="shared" si="574"/>
        <v>14.443</v>
      </c>
      <c r="Y396" s="7">
        <f t="shared" si="574"/>
        <v>9.8480000000000008</v>
      </c>
      <c r="Z396" s="7">
        <f t="shared" si="574"/>
        <v>42.442999999999998</v>
      </c>
      <c r="AA396" s="7">
        <f t="shared" si="574"/>
        <v>28.300999999999998</v>
      </c>
      <c r="AB396" s="7">
        <f t="shared" si="574"/>
        <v>37.87409707192495</v>
      </c>
      <c r="AC396" s="7">
        <f t="shared" si="574"/>
        <v>50.007855930376522</v>
      </c>
      <c r="AD396" s="7">
        <f t="shared" ca="1" si="574"/>
        <v>61.170238897936002</v>
      </c>
      <c r="AE396" s="7">
        <f t="shared" ca="1" si="574"/>
        <v>72.675165089906884</v>
      </c>
      <c r="AF396" s="7">
        <f t="shared" ca="1" si="574"/>
        <v>84.54436597492284</v>
      </c>
      <c r="AG396" s="7">
        <f t="shared" ca="1" si="574"/>
        <v>95.544690859361623</v>
      </c>
      <c r="AH396" s="7">
        <f t="shared" ca="1" si="574"/>
        <v>106.9329421804474</v>
      </c>
      <c r="AI396" s="7">
        <f t="shared" ca="1" si="574"/>
        <v>118.67189428212663</v>
      </c>
      <c r="AJ396" s="7">
        <f t="shared" ca="1" si="574"/>
        <v>130.81387230522114</v>
      </c>
      <c r="AK396" s="7">
        <f t="shared" ca="1" si="574"/>
        <v>143.38619889415935</v>
      </c>
      <c r="AL396" s="7">
        <f t="shared" ca="1" si="574"/>
        <v>152.01586036385186</v>
      </c>
      <c r="AM396" s="7">
        <f t="shared" ca="1" si="574"/>
        <v>161.19463008583043</v>
      </c>
      <c r="AN396" s="64"/>
    </row>
    <row r="397" spans="1:40" s="3" customFormat="1">
      <c r="A397" s="117"/>
      <c r="B397"/>
      <c r="C397"/>
      <c r="D397" s="70" t="s">
        <v>146</v>
      </c>
      <c r="E397"/>
      <c r="F397"/>
      <c r="G397"/>
      <c r="H397"/>
      <c r="I397"/>
      <c r="J397"/>
      <c r="K397"/>
      <c r="L397"/>
      <c r="M397"/>
      <c r="N397"/>
      <c r="O397"/>
      <c r="P397"/>
      <c r="Q397"/>
      <c r="R397" s="7"/>
      <c r="S397" s="7"/>
      <c r="T397" s="7"/>
      <c r="U397" s="7">
        <f t="shared" ref="U397:AM397" si="575">U278</f>
        <v>0</v>
      </c>
      <c r="V397" s="7">
        <f t="shared" si="575"/>
        <v>0</v>
      </c>
      <c r="W397" s="7">
        <f t="shared" si="575"/>
        <v>0</v>
      </c>
      <c r="X397" s="7">
        <f t="shared" si="575"/>
        <v>0</v>
      </c>
      <c r="Y397" s="7">
        <f t="shared" si="575"/>
        <v>0</v>
      </c>
      <c r="Z397" s="7">
        <f t="shared" si="575"/>
        <v>0</v>
      </c>
      <c r="AA397" s="7">
        <f t="shared" si="575"/>
        <v>0</v>
      </c>
      <c r="AB397" s="7">
        <f t="shared" si="575"/>
        <v>0</v>
      </c>
      <c r="AC397" s="7">
        <f t="shared" si="575"/>
        <v>0</v>
      </c>
      <c r="AD397" s="7">
        <f t="shared" si="575"/>
        <v>0</v>
      </c>
      <c r="AE397" s="7">
        <f t="shared" si="575"/>
        <v>0</v>
      </c>
      <c r="AF397" s="7">
        <f t="shared" si="575"/>
        <v>0</v>
      </c>
      <c r="AG397" s="7">
        <f t="shared" si="575"/>
        <v>0</v>
      </c>
      <c r="AH397" s="7">
        <f t="shared" si="575"/>
        <v>0</v>
      </c>
      <c r="AI397" s="7">
        <f t="shared" si="575"/>
        <v>0</v>
      </c>
      <c r="AJ397" s="7">
        <f t="shared" si="575"/>
        <v>0</v>
      </c>
      <c r="AK397" s="7">
        <f t="shared" si="575"/>
        <v>0</v>
      </c>
      <c r="AL397" s="7">
        <f t="shared" si="575"/>
        <v>0</v>
      </c>
      <c r="AM397" s="7">
        <f t="shared" si="575"/>
        <v>0</v>
      </c>
      <c r="AN397" s="64"/>
    </row>
    <row r="398" spans="1:40" s="3" customFormat="1">
      <c r="A398" s="117"/>
      <c r="B398"/>
      <c r="C398"/>
      <c r="D398" s="285" t="s">
        <v>174</v>
      </c>
      <c r="E398" s="9"/>
      <c r="F398" s="9"/>
      <c r="G398" s="9"/>
      <c r="H398" s="9"/>
      <c r="I398" s="286"/>
      <c r="J398" s="286"/>
      <c r="K398" s="286"/>
      <c r="L398" s="286"/>
      <c r="M398" s="286"/>
      <c r="N398" s="286"/>
      <c r="O398" s="286"/>
      <c r="P398" s="286"/>
      <c r="Q398" s="286"/>
      <c r="R398" s="286"/>
      <c r="S398" s="286"/>
      <c r="T398" s="286"/>
      <c r="U398" s="286">
        <f t="shared" ref="U398:Z398" si="576">SUM(U396:U397)</f>
        <v>0</v>
      </c>
      <c r="V398" s="286">
        <f t="shared" si="576"/>
        <v>2.1150000000000002</v>
      </c>
      <c r="W398" s="286">
        <f t="shared" si="576"/>
        <v>10.266</v>
      </c>
      <c r="X398" s="286">
        <f t="shared" si="576"/>
        <v>14.443</v>
      </c>
      <c r="Y398" s="286">
        <f t="shared" si="576"/>
        <v>9.8480000000000008</v>
      </c>
      <c r="Z398" s="286">
        <f t="shared" si="576"/>
        <v>42.442999999999998</v>
      </c>
      <c r="AA398" s="286">
        <f>SUM(AA396:AA397)</f>
        <v>28.300999999999998</v>
      </c>
      <c r="AB398" s="286">
        <f t="shared" ref="AB398:AM398" si="577">SUM(AB396:AB397)</f>
        <v>37.87409707192495</v>
      </c>
      <c r="AC398" s="286">
        <f t="shared" si="577"/>
        <v>50.007855930376522</v>
      </c>
      <c r="AD398" s="286">
        <f t="shared" ca="1" si="577"/>
        <v>61.170238897936002</v>
      </c>
      <c r="AE398" s="286">
        <f t="shared" ca="1" si="577"/>
        <v>72.675165089906884</v>
      </c>
      <c r="AF398" s="286">
        <f t="shared" ca="1" si="577"/>
        <v>84.54436597492284</v>
      </c>
      <c r="AG398" s="286">
        <f t="shared" ca="1" si="577"/>
        <v>95.544690859361623</v>
      </c>
      <c r="AH398" s="286">
        <f t="shared" ca="1" si="577"/>
        <v>106.9329421804474</v>
      </c>
      <c r="AI398" s="286">
        <f t="shared" ca="1" si="577"/>
        <v>118.67189428212663</v>
      </c>
      <c r="AJ398" s="286">
        <f t="shared" ca="1" si="577"/>
        <v>130.81387230522114</v>
      </c>
      <c r="AK398" s="286">
        <f t="shared" ca="1" si="577"/>
        <v>143.38619889415935</v>
      </c>
      <c r="AL398" s="286">
        <f t="shared" ca="1" si="577"/>
        <v>152.01586036385186</v>
      </c>
      <c r="AM398" s="286">
        <f t="shared" ca="1" si="577"/>
        <v>161.19463008583043</v>
      </c>
      <c r="AN398" s="64"/>
    </row>
    <row r="399" spans="1:40" s="3" customFormat="1">
      <c r="A399" s="117"/>
      <c r="B399"/>
      <c r="C399"/>
      <c r="D399" s="70" t="s">
        <v>175</v>
      </c>
      <c r="E399"/>
      <c r="F399"/>
      <c r="G399"/>
      <c r="H399"/>
      <c r="I399" s="7"/>
      <c r="J399" s="7"/>
      <c r="K399" s="7"/>
      <c r="L399" s="102"/>
      <c r="M399" s="102"/>
      <c r="N399" s="102"/>
      <c r="O399" s="102"/>
      <c r="P399" s="102"/>
      <c r="Q399" s="102"/>
      <c r="R399" s="102"/>
      <c r="S399" s="102"/>
      <c r="T399" s="102"/>
      <c r="U399" s="257">
        <v>0.02</v>
      </c>
      <c r="V399" s="257">
        <v>0.02</v>
      </c>
      <c r="W399" s="257">
        <v>0.02</v>
      </c>
      <c r="X399" s="257">
        <v>0.02</v>
      </c>
      <c r="Y399" s="257">
        <v>0.02</v>
      </c>
      <c r="Z399" s="257">
        <v>0.02</v>
      </c>
      <c r="AA399" s="257">
        <v>0.02</v>
      </c>
      <c r="AB399" s="257">
        <v>0.02</v>
      </c>
      <c r="AC399" s="257">
        <v>0.02</v>
      </c>
      <c r="AD399" s="257">
        <v>0.02</v>
      </c>
      <c r="AE399" s="257">
        <v>0.02</v>
      </c>
      <c r="AF399" s="257">
        <v>0.02</v>
      </c>
      <c r="AG399" s="257">
        <v>0.02</v>
      </c>
      <c r="AH399" s="257">
        <v>0.02</v>
      </c>
      <c r="AI399" s="257">
        <v>0.02</v>
      </c>
      <c r="AJ399" s="257">
        <v>0.02</v>
      </c>
      <c r="AK399" s="257">
        <v>0.02</v>
      </c>
      <c r="AL399" s="257">
        <v>0.02</v>
      </c>
      <c r="AM399" s="257">
        <v>0.02</v>
      </c>
      <c r="AN399" s="64"/>
    </row>
    <row r="400" spans="1:40" s="3" customFormat="1">
      <c r="A400" s="117"/>
      <c r="B400"/>
      <c r="C400"/>
      <c r="D400" s="70" t="s">
        <v>377</v>
      </c>
      <c r="E400"/>
      <c r="F400"/>
      <c r="G400"/>
      <c r="H400"/>
      <c r="I400" s="7"/>
      <c r="J400" s="7"/>
      <c r="K400" s="7"/>
      <c r="L400" s="102"/>
      <c r="M400" s="102"/>
      <c r="N400" s="102"/>
      <c r="O400" s="102"/>
      <c r="P400" s="102"/>
      <c r="Q400" s="102"/>
      <c r="R400" s="102"/>
      <c r="S400" s="102"/>
      <c r="T400" s="102"/>
      <c r="U400" s="287"/>
      <c r="V400" s="287">
        <f t="shared" ref="V400:AA400" si="578">V374/V271</f>
        <v>0</v>
      </c>
      <c r="W400" s="287">
        <f t="shared" si="578"/>
        <v>0.89114637801472718</v>
      </c>
      <c r="X400" s="287">
        <f t="shared" si="578"/>
        <v>1.0938508481133984</v>
      </c>
      <c r="Y400" s="287">
        <f t="shared" si="578"/>
        <v>0.47778373435085614</v>
      </c>
      <c r="Z400" s="287">
        <f t="shared" si="578"/>
        <v>0.6758747915289971</v>
      </c>
      <c r="AA400" s="287">
        <f t="shared" si="578"/>
        <v>3.842757675623773E-2</v>
      </c>
      <c r="AB400" s="257">
        <v>0.5</v>
      </c>
      <c r="AC400" s="257">
        <f>AB400-0.025</f>
        <v>0.47499999999999998</v>
      </c>
      <c r="AD400" s="257">
        <f t="shared" ref="AD400:AM400" si="579">AC400-0.025</f>
        <v>0.44999999999999996</v>
      </c>
      <c r="AE400" s="257">
        <f t="shared" si="579"/>
        <v>0.42499999999999993</v>
      </c>
      <c r="AF400" s="257">
        <f t="shared" si="579"/>
        <v>0.39999999999999991</v>
      </c>
      <c r="AG400" s="257">
        <f t="shared" si="579"/>
        <v>0.37499999999999989</v>
      </c>
      <c r="AH400" s="257">
        <f t="shared" si="579"/>
        <v>0.34999999999999987</v>
      </c>
      <c r="AI400" s="257">
        <f t="shared" si="579"/>
        <v>0.32499999999999984</v>
      </c>
      <c r="AJ400" s="257">
        <f t="shared" si="579"/>
        <v>0.29999999999999982</v>
      </c>
      <c r="AK400" s="257">
        <f t="shared" si="579"/>
        <v>0.2749999999999998</v>
      </c>
      <c r="AL400" s="257">
        <f t="shared" si="579"/>
        <v>0.24999999999999981</v>
      </c>
      <c r="AM400" s="257">
        <f t="shared" si="579"/>
        <v>0.22499999999999981</v>
      </c>
      <c r="AN400" s="64"/>
    </row>
    <row r="401" spans="1:40" s="98" customFormat="1">
      <c r="A401" s="119"/>
      <c r="B401" s="63"/>
      <c r="C401" s="63"/>
      <c r="D401" s="85" t="s">
        <v>378</v>
      </c>
      <c r="E401" s="63"/>
      <c r="F401" s="63"/>
      <c r="G401" s="63"/>
      <c r="H401" s="63"/>
      <c r="I401" s="288"/>
      <c r="J401" s="288"/>
      <c r="K401" s="288"/>
      <c r="L401" s="288"/>
      <c r="M401" s="288"/>
      <c r="N401" s="288"/>
      <c r="O401" s="288"/>
      <c r="P401" s="288"/>
      <c r="Q401" s="288"/>
      <c r="R401" s="288"/>
      <c r="S401" s="288"/>
      <c r="T401" s="288"/>
      <c r="U401" s="287"/>
      <c r="V401" s="287"/>
      <c r="W401" s="287">
        <f t="shared" ref="W401:Z401" si="580">W396/W374</f>
        <v>6.2100379280516357E-2</v>
      </c>
      <c r="X401" s="287">
        <f t="shared" si="580"/>
        <v>5.8052509727000864E-2</v>
      </c>
      <c r="Y401" s="287">
        <f t="shared" si="580"/>
        <v>4.9999238435645278E-2</v>
      </c>
      <c r="Z401" s="287">
        <f t="shared" si="580"/>
        <v>8.2335733005876002E-2</v>
      </c>
      <c r="AA401" s="287">
        <f>AA396/AA374</f>
        <v>0.71072325464590658</v>
      </c>
      <c r="AB401" s="289">
        <v>7.4999999999999997E-2</v>
      </c>
      <c r="AC401" s="289">
        <v>7.4999999999999997E-2</v>
      </c>
      <c r="AD401" s="289">
        <v>7.4999999999999997E-2</v>
      </c>
      <c r="AE401" s="289">
        <v>7.4999999999999997E-2</v>
      </c>
      <c r="AF401" s="289">
        <v>7.4999999999999997E-2</v>
      </c>
      <c r="AG401" s="289">
        <v>7.4999999999999997E-2</v>
      </c>
      <c r="AH401" s="289">
        <v>7.4999999999999997E-2</v>
      </c>
      <c r="AI401" s="289">
        <v>7.4999999999999997E-2</v>
      </c>
      <c r="AJ401" s="289">
        <v>7.4999999999999997E-2</v>
      </c>
      <c r="AK401" s="289">
        <v>7.4999999999999997E-2</v>
      </c>
      <c r="AL401" s="289">
        <v>7.4999999999999997E-2</v>
      </c>
      <c r="AM401" s="289">
        <v>7.4999999999999997E-2</v>
      </c>
      <c r="AN401" s="97"/>
    </row>
    <row r="402" spans="1:40" s="3" customFormat="1">
      <c r="A402" s="117"/>
      <c r="B402"/>
      <c r="C402"/>
      <c r="D402" s="70"/>
      <c r="E402"/>
      <c r="F402"/>
      <c r="G402"/>
      <c r="H402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41"/>
      <c r="X402" s="41"/>
      <c r="Y402" s="41"/>
      <c r="Z402" s="41"/>
      <c r="AA402" s="78"/>
      <c r="AB402" s="78"/>
      <c r="AC402" s="78"/>
      <c r="AD402" s="78"/>
      <c r="AE402" s="78"/>
      <c r="AF402" s="78"/>
      <c r="AG402" s="78"/>
      <c r="AH402" s="78"/>
      <c r="AI402" s="78"/>
      <c r="AJ402" s="78"/>
      <c r="AK402" s="78"/>
      <c r="AL402" s="78"/>
      <c r="AM402" s="78"/>
      <c r="AN402" s="64"/>
    </row>
    <row r="403" spans="1:40" s="3" customFormat="1">
      <c r="A403" s="117"/>
      <c r="B403"/>
      <c r="C403"/>
      <c r="D403" s="290" t="s">
        <v>175</v>
      </c>
      <c r="E403"/>
      <c r="F403"/>
      <c r="G403"/>
      <c r="H403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>
        <f t="shared" ref="U403:Z403" si="581">-AVERAGE(T398:U398)*U399</f>
        <v>0</v>
      </c>
      <c r="V403" s="7">
        <f t="shared" si="581"/>
        <v>-2.1150000000000002E-2</v>
      </c>
      <c r="W403" s="7">
        <f t="shared" si="581"/>
        <v>-0.12381</v>
      </c>
      <c r="X403" s="7">
        <f t="shared" si="581"/>
        <v>-0.24709</v>
      </c>
      <c r="Y403" s="7">
        <f t="shared" si="581"/>
        <v>-0.24291000000000001</v>
      </c>
      <c r="Z403" s="7">
        <f t="shared" si="581"/>
        <v>-0.52290999999999999</v>
      </c>
      <c r="AA403" s="7">
        <f>-AVERAGE(Z398:AA398)*AA399</f>
        <v>-0.70743999999999996</v>
      </c>
      <c r="AB403" s="7">
        <f t="shared" ref="AB403:AM403" si="582">AVERAGE(AA398:AB398)*AB399</f>
        <v>0.66175097071924949</v>
      </c>
      <c r="AC403" s="7">
        <f t="shared" si="582"/>
        <v>0.87881953002301472</v>
      </c>
      <c r="AD403" s="7">
        <f t="shared" ca="1" si="582"/>
        <v>1.1117809482831253</v>
      </c>
      <c r="AE403" s="7">
        <f t="shared" ca="1" si="582"/>
        <v>1.3384540398784288</v>
      </c>
      <c r="AF403" s="7">
        <f t="shared" ca="1" si="582"/>
        <v>1.5721953106482971</v>
      </c>
      <c r="AG403" s="7">
        <f t="shared" ca="1" si="582"/>
        <v>1.8008905683428447</v>
      </c>
      <c r="AH403" s="7">
        <f t="shared" ca="1" si="582"/>
        <v>2.0247763303980899</v>
      </c>
      <c r="AI403" s="7">
        <f t="shared" ca="1" si="582"/>
        <v>2.2560483646257405</v>
      </c>
      <c r="AJ403" s="7">
        <f t="shared" ca="1" si="582"/>
        <v>2.4948576658734778</v>
      </c>
      <c r="AK403" s="7">
        <f t="shared" ca="1" si="582"/>
        <v>2.7420007119938048</v>
      </c>
      <c r="AL403" s="7">
        <f t="shared" ca="1" si="582"/>
        <v>2.954020592580112</v>
      </c>
      <c r="AM403" s="7">
        <f t="shared" ca="1" si="582"/>
        <v>3.1321049044968232</v>
      </c>
      <c r="AN403" s="64"/>
    </row>
    <row r="404" spans="1:40" s="3" customFormat="1">
      <c r="A404" s="117"/>
      <c r="B404"/>
      <c r="C404"/>
      <c r="D404" s="290" t="s">
        <v>379</v>
      </c>
      <c r="E404"/>
      <c r="F404"/>
      <c r="G404"/>
      <c r="H404"/>
      <c r="I404" s="7"/>
      <c r="J404" s="7"/>
      <c r="K404" s="7"/>
      <c r="L404" s="7"/>
      <c r="M404" s="7"/>
      <c r="N404" s="7"/>
      <c r="O404" s="7"/>
      <c r="P404" s="7"/>
      <c r="Q404" s="7"/>
      <c r="R404" s="80"/>
      <c r="S404" s="80"/>
      <c r="T404" s="80"/>
      <c r="U404" s="80">
        <v>0</v>
      </c>
      <c r="V404" s="80">
        <v>0</v>
      </c>
      <c r="W404" s="80">
        <v>0</v>
      </c>
      <c r="X404" s="80">
        <v>0</v>
      </c>
      <c r="Y404" s="80">
        <v>0</v>
      </c>
      <c r="Z404" s="80">
        <v>0</v>
      </c>
      <c r="AA404" s="80">
        <v>33.700000000000003</v>
      </c>
      <c r="AB404" s="80">
        <v>0</v>
      </c>
      <c r="AC404" s="80">
        <v>0</v>
      </c>
      <c r="AD404" s="80">
        <v>0</v>
      </c>
      <c r="AE404" s="80">
        <v>0</v>
      </c>
      <c r="AF404" s="80">
        <v>0</v>
      </c>
      <c r="AG404" s="80">
        <v>0</v>
      </c>
      <c r="AH404" s="80">
        <v>0</v>
      </c>
      <c r="AI404" s="80">
        <v>0</v>
      </c>
      <c r="AJ404" s="80">
        <v>0</v>
      </c>
      <c r="AK404" s="80">
        <v>0</v>
      </c>
      <c r="AL404" s="80">
        <v>0</v>
      </c>
      <c r="AM404" s="80">
        <v>0</v>
      </c>
      <c r="AN404" s="64"/>
    </row>
    <row r="405" spans="1:40" s="3" customFormat="1">
      <c r="A405" s="117"/>
      <c r="B405"/>
      <c r="C405"/>
      <c r="D405" s="290" t="s">
        <v>380</v>
      </c>
      <c r="E405"/>
      <c r="F405"/>
      <c r="G405"/>
      <c r="H405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>
        <f t="shared" ref="U405:Z405" si="583">U406-U403-U404</f>
        <v>0.108</v>
      </c>
      <c r="V405" s="7">
        <f t="shared" si="583"/>
        <v>1.4331499999999999</v>
      </c>
      <c r="W405" s="7">
        <f t="shared" si="583"/>
        <v>3.7108100000000004</v>
      </c>
      <c r="X405" s="7">
        <f t="shared" si="583"/>
        <v>7.9470899999999993</v>
      </c>
      <c r="Y405" s="7">
        <f t="shared" si="583"/>
        <v>25.242909999999998</v>
      </c>
      <c r="Z405" s="7">
        <f t="shared" si="583"/>
        <v>81.122910000000005</v>
      </c>
      <c r="AA405" s="7">
        <f>AA406-AA403-AA404</f>
        <v>98.507439999999988</v>
      </c>
      <c r="AB405" s="69">
        <f ca="1">-AB389</f>
        <v>112.42854501059911</v>
      </c>
      <c r="AC405" s="69">
        <f t="shared" ref="AC405:AM405" ca="1" si="584">-AC389</f>
        <v>151.26654693683676</v>
      </c>
      <c r="AD405" s="69">
        <f t="shared" ca="1" si="584"/>
        <v>178.43062078543159</v>
      </c>
      <c r="AE405" s="69">
        <f t="shared" ca="1" si="584"/>
        <v>202.7964426191231</v>
      </c>
      <c r="AF405" s="69">
        <f t="shared" ca="1" si="584"/>
        <v>230.58166345610996</v>
      </c>
      <c r="AG405" s="69">
        <f t="shared" ca="1" si="584"/>
        <v>255.84657573252579</v>
      </c>
      <c r="AH405" s="69">
        <f t="shared" ca="1" si="584"/>
        <v>296.63769597668949</v>
      </c>
      <c r="AI405" s="69">
        <f t="shared" ca="1" si="584"/>
        <v>350.73479268582412</v>
      </c>
      <c r="AJ405" s="69">
        <f t="shared" ca="1" si="584"/>
        <v>395.69949953961674</v>
      </c>
      <c r="AK405" s="69">
        <f t="shared" ca="1" si="584"/>
        <v>450.39375769991153</v>
      </c>
      <c r="AL405" s="69">
        <f t="shared" ca="1" si="584"/>
        <v>503.29366534178905</v>
      </c>
      <c r="AM405" s="69">
        <f t="shared" ca="1" si="584"/>
        <v>541.5404389753802</v>
      </c>
      <c r="AN405" s="64"/>
    </row>
    <row r="406" spans="1:40" s="3" customFormat="1">
      <c r="A406" s="117"/>
      <c r="B406"/>
      <c r="C406"/>
      <c r="D406" s="291" t="s">
        <v>381</v>
      </c>
      <c r="E406" s="279"/>
      <c r="F406" s="279"/>
      <c r="G406" s="279"/>
      <c r="H406" s="279"/>
      <c r="I406" s="279"/>
      <c r="J406" s="279"/>
      <c r="K406" s="279"/>
      <c r="L406" s="279"/>
      <c r="M406" s="279"/>
      <c r="N406" s="279"/>
      <c r="O406" s="279"/>
      <c r="P406" s="279"/>
      <c r="Q406" s="279"/>
      <c r="R406" s="280"/>
      <c r="S406" s="280"/>
      <c r="T406" s="280"/>
      <c r="U406" s="280">
        <f t="shared" ref="U406:Z406" si="585">U408-U407</f>
        <v>0.108</v>
      </c>
      <c r="V406" s="280">
        <f t="shared" si="585"/>
        <v>1.4119999999999999</v>
      </c>
      <c r="W406" s="280">
        <f t="shared" si="585"/>
        <v>3.5870000000000002</v>
      </c>
      <c r="X406" s="280">
        <f t="shared" si="585"/>
        <v>7.6999999999999993</v>
      </c>
      <c r="Y406" s="280">
        <f t="shared" si="585"/>
        <v>25</v>
      </c>
      <c r="Z406" s="280">
        <f t="shared" si="585"/>
        <v>80.600000000000009</v>
      </c>
      <c r="AA406" s="280">
        <f>AA408-AA407</f>
        <v>131.5</v>
      </c>
      <c r="AB406" s="292">
        <f ca="1">SUM(AB403:AB405)</f>
        <v>113.09029598131836</v>
      </c>
      <c r="AC406" s="292">
        <f t="shared" ref="AC406:AM406" ca="1" si="586">SUM(AC403:AC405)</f>
        <v>152.14536646685977</v>
      </c>
      <c r="AD406" s="292">
        <f t="shared" ca="1" si="586"/>
        <v>179.54240173371471</v>
      </c>
      <c r="AE406" s="292">
        <f t="shared" ca="1" si="586"/>
        <v>204.13489665900153</v>
      </c>
      <c r="AF406" s="292">
        <f t="shared" ca="1" si="586"/>
        <v>232.15385876675828</v>
      </c>
      <c r="AG406" s="292">
        <f t="shared" ca="1" si="586"/>
        <v>257.64746630086864</v>
      </c>
      <c r="AH406" s="292">
        <f t="shared" ca="1" si="586"/>
        <v>298.66247230708757</v>
      </c>
      <c r="AI406" s="292">
        <f t="shared" ca="1" si="586"/>
        <v>352.99084105044983</v>
      </c>
      <c r="AJ406" s="292">
        <f t="shared" ca="1" si="586"/>
        <v>398.19435720549023</v>
      </c>
      <c r="AK406" s="292">
        <f t="shared" ca="1" si="586"/>
        <v>453.13575841190533</v>
      </c>
      <c r="AL406" s="292">
        <f t="shared" ca="1" si="586"/>
        <v>506.24768593436914</v>
      </c>
      <c r="AM406" s="292">
        <f t="shared" ca="1" si="586"/>
        <v>544.67254387987703</v>
      </c>
      <c r="AN406" s="64"/>
    </row>
    <row r="407" spans="1:40" s="3" customFormat="1">
      <c r="A407" s="117"/>
      <c r="B407"/>
      <c r="C407"/>
      <c r="D407" s="70" t="s">
        <v>382</v>
      </c>
      <c r="E407"/>
      <c r="F407"/>
      <c r="G407"/>
      <c r="H407"/>
      <c r="I407"/>
      <c r="J407"/>
      <c r="K407"/>
      <c r="L407"/>
      <c r="M407"/>
      <c r="N407"/>
      <c r="O407"/>
      <c r="P407"/>
      <c r="Q407"/>
      <c r="R407" s="80"/>
      <c r="S407" s="80"/>
      <c r="T407" s="80"/>
      <c r="U407" s="80">
        <v>0</v>
      </c>
      <c r="V407" s="80">
        <v>0</v>
      </c>
      <c r="W407" s="80">
        <v>0</v>
      </c>
      <c r="X407" s="80">
        <v>0.9</v>
      </c>
      <c r="Y407" s="80">
        <v>1.6</v>
      </c>
      <c r="Z407" s="80">
        <v>3.6</v>
      </c>
      <c r="AA407" s="80">
        <v>8.1</v>
      </c>
      <c r="AB407" s="80">
        <f>AA407</f>
        <v>8.1</v>
      </c>
      <c r="AC407" s="80">
        <f t="shared" ref="AC407:AM407" si="587">AB407</f>
        <v>8.1</v>
      </c>
      <c r="AD407" s="80">
        <f t="shared" si="587"/>
        <v>8.1</v>
      </c>
      <c r="AE407" s="80">
        <f t="shared" si="587"/>
        <v>8.1</v>
      </c>
      <c r="AF407" s="80">
        <f t="shared" si="587"/>
        <v>8.1</v>
      </c>
      <c r="AG407" s="80">
        <f t="shared" si="587"/>
        <v>8.1</v>
      </c>
      <c r="AH407" s="80">
        <f t="shared" si="587"/>
        <v>8.1</v>
      </c>
      <c r="AI407" s="80">
        <f t="shared" si="587"/>
        <v>8.1</v>
      </c>
      <c r="AJ407" s="80">
        <f t="shared" si="587"/>
        <v>8.1</v>
      </c>
      <c r="AK407" s="80">
        <f t="shared" si="587"/>
        <v>8.1</v>
      </c>
      <c r="AL407" s="80">
        <f t="shared" si="587"/>
        <v>8.1</v>
      </c>
      <c r="AM407" s="80">
        <f t="shared" si="587"/>
        <v>8.1</v>
      </c>
      <c r="AN407" s="64"/>
    </row>
    <row r="408" spans="1:40" s="3" customFormat="1">
      <c r="A408" s="117"/>
      <c r="B408"/>
      <c r="C408"/>
      <c r="D408" s="207" t="s">
        <v>383</v>
      </c>
      <c r="E408" s="2"/>
      <c r="F408" s="2"/>
      <c r="G408" s="2"/>
      <c r="H408" s="2"/>
      <c r="I408" s="2"/>
      <c r="J408" s="2"/>
      <c r="K408" s="2"/>
      <c r="L408" s="177"/>
      <c r="M408" s="177"/>
      <c r="N408" s="177"/>
      <c r="O408" s="177"/>
      <c r="P408" s="177"/>
      <c r="Q408" s="177"/>
      <c r="R408" s="186"/>
      <c r="S408" s="186"/>
      <c r="T408" s="186"/>
      <c r="U408" s="186">
        <v>0.108</v>
      </c>
      <c r="V408" s="186">
        <v>1.4119999999999999</v>
      </c>
      <c r="W408" s="186">
        <v>3.5870000000000002</v>
      </c>
      <c r="X408" s="186">
        <v>8.6</v>
      </c>
      <c r="Y408" s="186">
        <v>26.6</v>
      </c>
      <c r="Z408" s="186">
        <v>84.2</v>
      </c>
      <c r="AA408" s="186">
        <v>139.6</v>
      </c>
      <c r="AB408" s="177">
        <f ca="1">SUM(AB406:AB407)</f>
        <v>121.19029598131836</v>
      </c>
      <c r="AC408" s="177">
        <f t="shared" ref="AC408:AM408" ca="1" si="588">SUM(AC406:AC407)</f>
        <v>160.24536646685976</v>
      </c>
      <c r="AD408" s="177">
        <f t="shared" ca="1" si="588"/>
        <v>187.64240173371471</v>
      </c>
      <c r="AE408" s="177">
        <f t="shared" ca="1" si="588"/>
        <v>212.23489665900152</v>
      </c>
      <c r="AF408" s="177">
        <f t="shared" ca="1" si="588"/>
        <v>240.25385876675827</v>
      </c>
      <c r="AG408" s="177">
        <f t="shared" ca="1" si="588"/>
        <v>265.74746630086867</v>
      </c>
      <c r="AH408" s="177">
        <f t="shared" ca="1" si="588"/>
        <v>306.76247230708759</v>
      </c>
      <c r="AI408" s="177">
        <f t="shared" ca="1" si="588"/>
        <v>361.09084105044985</v>
      </c>
      <c r="AJ408" s="177">
        <f t="shared" ca="1" si="588"/>
        <v>406.29435720549026</v>
      </c>
      <c r="AK408" s="177">
        <f t="shared" ca="1" si="588"/>
        <v>461.23575841190535</v>
      </c>
      <c r="AL408" s="177">
        <f t="shared" ca="1" si="588"/>
        <v>514.34768593436911</v>
      </c>
      <c r="AM408" s="177">
        <f t="shared" ca="1" si="588"/>
        <v>552.77254387987705</v>
      </c>
      <c r="AN408" s="64"/>
    </row>
    <row r="409" spans="1:40" s="3" customFormat="1">
      <c r="A409" s="117"/>
      <c r="B409"/>
      <c r="C409"/>
      <c r="D409" s="70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64"/>
    </row>
    <row r="410" spans="1:40">
      <c r="C410" s="111"/>
      <c r="D410" s="112" t="s">
        <v>177</v>
      </c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  <c r="AE410" s="111"/>
      <c r="AF410" s="111"/>
      <c r="AG410" s="111"/>
      <c r="AH410" s="111"/>
      <c r="AI410" s="111"/>
      <c r="AJ410" s="111"/>
      <c r="AK410" s="111"/>
      <c r="AL410" s="111"/>
      <c r="AM410" s="111"/>
    </row>
    <row r="411" spans="1:40" ht="5.15" customHeight="1"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65"/>
      <c r="X411" s="65"/>
      <c r="Y411" s="65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"/>
    </row>
    <row r="412" spans="1:40" s="3" customFormat="1">
      <c r="A412" s="117"/>
      <c r="B412" s="36"/>
      <c r="C412"/>
      <c r="D412" s="162"/>
      <c r="E412"/>
      <c r="F412"/>
      <c r="G412"/>
      <c r="H412"/>
      <c r="I412"/>
      <c r="J412" s="106"/>
      <c r="K412" s="106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68"/>
      <c r="X412" s="68"/>
      <c r="Y412" s="68"/>
      <c r="Z412" s="68"/>
      <c r="AA412" s="68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/>
    </row>
    <row r="413" spans="1:40" s="3" customFormat="1">
      <c r="A413" s="78"/>
      <c r="B413" s="78"/>
      <c r="C413" s="78"/>
      <c r="D413" s="70" t="s">
        <v>384</v>
      </c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80"/>
      <c r="S413" s="80"/>
      <c r="T413" s="80"/>
      <c r="U413" s="80"/>
      <c r="V413" s="80"/>
      <c r="W413" s="80">
        <v>9.3550000000000004</v>
      </c>
      <c r="X413" s="80">
        <v>11.656000000000001</v>
      </c>
      <c r="Y413" s="80">
        <v>45.701999999999998</v>
      </c>
      <c r="Z413" s="80">
        <v>98.53</v>
      </c>
      <c r="AA413" s="80">
        <v>132.37799999999999</v>
      </c>
      <c r="AB413" s="78"/>
      <c r="AC413" s="78"/>
      <c r="AD413" s="78"/>
      <c r="AE413" s="78"/>
      <c r="AF413" s="78"/>
      <c r="AG413" s="78"/>
      <c r="AH413" s="78"/>
      <c r="AI413" s="78"/>
      <c r="AJ413" s="78"/>
      <c r="AK413" s="78"/>
      <c r="AL413" s="78"/>
      <c r="AM413" s="78"/>
      <c r="AN413"/>
    </row>
    <row r="414" spans="1:40" s="3" customFormat="1">
      <c r="A414" s="78"/>
      <c r="B414" s="78"/>
      <c r="C414" s="78"/>
      <c r="D414" s="70" t="s">
        <v>385</v>
      </c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80"/>
      <c r="S414" s="80"/>
      <c r="T414" s="80"/>
      <c r="U414" s="80"/>
      <c r="V414" s="80"/>
      <c r="W414" s="80">
        <v>14.75</v>
      </c>
      <c r="X414" s="80">
        <v>60.804000000000002</v>
      </c>
      <c r="Y414" s="80">
        <v>123.705</v>
      </c>
      <c r="Z414" s="80">
        <v>229.64</v>
      </c>
      <c r="AA414" s="80">
        <v>476.49400000000003</v>
      </c>
      <c r="AB414" s="78"/>
      <c r="AC414" s="78"/>
      <c r="AD414" s="78"/>
      <c r="AE414" s="78"/>
      <c r="AF414" s="78"/>
      <c r="AG414" s="78"/>
      <c r="AH414" s="78"/>
      <c r="AI414" s="78"/>
      <c r="AJ414" s="78"/>
      <c r="AK414" s="78"/>
      <c r="AL414" s="78"/>
      <c r="AM414" s="78"/>
      <c r="AN414"/>
    </row>
    <row r="415" spans="1:40" s="3" customFormat="1">
      <c r="A415" s="78"/>
      <c r="B415" s="78"/>
      <c r="C415" s="78"/>
      <c r="D415" s="70" t="s">
        <v>371</v>
      </c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80"/>
      <c r="S415" s="80"/>
      <c r="T415" s="80"/>
      <c r="U415" s="80"/>
      <c r="V415" s="80"/>
      <c r="W415" s="80">
        <v>16.52</v>
      </c>
      <c r="X415" s="80">
        <v>39.152999999999999</v>
      </c>
      <c r="Y415" s="80">
        <v>65.760000000000005</v>
      </c>
      <c r="Z415" s="80">
        <v>110.30200000000001</v>
      </c>
      <c r="AA415" s="80">
        <v>189.87</v>
      </c>
      <c r="AB415" s="78"/>
      <c r="AC415" s="78"/>
      <c r="AD415" s="78"/>
      <c r="AE415" s="78"/>
      <c r="AF415" s="78"/>
      <c r="AG415" s="78"/>
      <c r="AH415" s="78"/>
      <c r="AI415" s="78"/>
      <c r="AJ415" s="78"/>
      <c r="AK415" s="78"/>
      <c r="AL415" s="78"/>
      <c r="AM415" s="78"/>
      <c r="AN415"/>
    </row>
    <row r="416" spans="1:40" s="3" customFormat="1">
      <c r="A416" s="78"/>
      <c r="B416" s="78"/>
      <c r="C416" s="78"/>
      <c r="D416" s="70" t="s">
        <v>386</v>
      </c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80"/>
      <c r="S416" s="80"/>
      <c r="T416" s="80"/>
      <c r="U416" s="80"/>
      <c r="V416" s="80"/>
      <c r="W416" s="80">
        <v>10.065</v>
      </c>
      <c r="X416" s="80">
        <v>21.009</v>
      </c>
      <c r="Y416" s="80">
        <v>36.451999999999998</v>
      </c>
      <c r="Z416" s="80">
        <v>66.875</v>
      </c>
      <c r="AA416" s="80">
        <v>112.542</v>
      </c>
      <c r="AB416" s="78"/>
      <c r="AC416" s="78"/>
      <c r="AD416" s="78"/>
      <c r="AE416" s="78"/>
      <c r="AF416" s="78"/>
      <c r="AG416" s="78"/>
      <c r="AH416" s="78"/>
      <c r="AI416" s="78"/>
      <c r="AJ416" s="78"/>
      <c r="AK416" s="78"/>
      <c r="AL416" s="78"/>
      <c r="AM416" s="78"/>
      <c r="AN416"/>
    </row>
    <row r="417" spans="1:40" s="3" customFormat="1">
      <c r="A417" s="78"/>
      <c r="B417" s="78"/>
      <c r="C417" s="78"/>
      <c r="D417" s="70" t="s">
        <v>387</v>
      </c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80"/>
      <c r="S417" s="80"/>
      <c r="T417" s="80"/>
      <c r="U417" s="80"/>
      <c r="V417" s="80"/>
      <c r="W417" s="80">
        <v>3.7040000000000002</v>
      </c>
      <c r="X417" s="80">
        <v>12.239000000000001</v>
      </c>
      <c r="Y417" s="80">
        <v>20.675000000000001</v>
      </c>
      <c r="Z417" s="80">
        <v>38.122999999999998</v>
      </c>
      <c r="AA417" s="80">
        <v>60.244999999999997</v>
      </c>
      <c r="AB417" s="78"/>
      <c r="AC417" s="78"/>
      <c r="AD417" s="78"/>
      <c r="AE417" s="78"/>
      <c r="AF417" s="78"/>
      <c r="AG417" s="78"/>
      <c r="AH417" s="78"/>
      <c r="AI417" s="78"/>
      <c r="AJ417" s="78"/>
      <c r="AK417" s="78"/>
      <c r="AL417" s="78"/>
      <c r="AM417" s="78"/>
      <c r="AN417"/>
    </row>
    <row r="418" spans="1:40" s="3" customFormat="1">
      <c r="A418" s="293"/>
      <c r="B418" s="293"/>
      <c r="C418" s="293"/>
      <c r="D418" s="224" t="s">
        <v>388</v>
      </c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177"/>
      <c r="S418" s="177"/>
      <c r="T418" s="177"/>
      <c r="U418" s="177"/>
      <c r="V418" s="177"/>
      <c r="W418" s="177">
        <f t="shared" ref="W418:Z418" si="589">SUM(W413:W417)</f>
        <v>54.393999999999998</v>
      </c>
      <c r="X418" s="177">
        <f t="shared" si="589"/>
        <v>144.86100000000002</v>
      </c>
      <c r="Y418" s="177">
        <f t="shared" si="589"/>
        <v>292.29399999999998</v>
      </c>
      <c r="Z418" s="177">
        <f t="shared" si="589"/>
        <v>543.47</v>
      </c>
      <c r="AA418" s="177">
        <f>SUM(AA413:AA417)</f>
        <v>971.52900000000011</v>
      </c>
      <c r="AB418" s="294"/>
      <c r="AC418" s="294"/>
      <c r="AD418" s="294"/>
      <c r="AE418" s="294"/>
      <c r="AF418" s="294"/>
      <c r="AG418" s="294"/>
      <c r="AH418" s="294"/>
      <c r="AI418" s="294"/>
      <c r="AJ418" s="294"/>
      <c r="AK418" s="294"/>
      <c r="AL418" s="294"/>
      <c r="AM418" s="294"/>
    </row>
    <row r="419" spans="1:40" s="3" customFormat="1">
      <c r="A419" s="78"/>
      <c r="B419" s="78"/>
      <c r="C419" s="78"/>
      <c r="D419" s="70" t="s">
        <v>389</v>
      </c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80"/>
      <c r="S419" s="80"/>
      <c r="T419" s="80"/>
      <c r="U419" s="80"/>
      <c r="V419" s="80"/>
      <c r="W419" s="80">
        <v>-9.7520000000000007</v>
      </c>
      <c r="X419" s="80">
        <v>-20.452999999999999</v>
      </c>
      <c r="Y419" s="80">
        <v>-44.05</v>
      </c>
      <c r="Z419" s="80">
        <v>-88.795000000000002</v>
      </c>
      <c r="AA419" s="80">
        <v>-170.78800000000001</v>
      </c>
      <c r="AB419" s="78"/>
      <c r="AC419" s="78"/>
      <c r="AD419" s="78"/>
      <c r="AE419" s="78"/>
      <c r="AF419" s="78"/>
      <c r="AG419" s="78"/>
      <c r="AH419" s="78"/>
      <c r="AI419" s="78"/>
      <c r="AJ419" s="78"/>
      <c r="AK419" s="78"/>
      <c r="AL419" s="78"/>
      <c r="AM419" s="78"/>
      <c r="AN419"/>
    </row>
    <row r="420" spans="1:40" s="3" customFormat="1">
      <c r="A420" s="78"/>
      <c r="B420" s="78"/>
      <c r="C420" s="78"/>
      <c r="D420" s="70" t="s">
        <v>390</v>
      </c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80"/>
      <c r="S420" s="80"/>
      <c r="T420" s="80"/>
      <c r="U420" s="80"/>
      <c r="V420" s="80"/>
      <c r="W420" s="80">
        <v>15.95</v>
      </c>
      <c r="X420" s="80">
        <v>24.273</v>
      </c>
      <c r="Y420" s="80">
        <v>48.594999999999999</v>
      </c>
      <c r="Z420" s="80">
        <v>88.796000000000006</v>
      </c>
      <c r="AA420" s="80">
        <v>108.425</v>
      </c>
      <c r="AB420" s="78"/>
      <c r="AC420" s="78"/>
      <c r="AD420" s="78"/>
      <c r="AE420" s="78"/>
      <c r="AF420" s="78"/>
      <c r="AG420" s="78"/>
      <c r="AH420" s="78"/>
      <c r="AI420" s="78"/>
      <c r="AJ420" s="78"/>
      <c r="AK420" s="78"/>
      <c r="AL420" s="78"/>
      <c r="AM420" s="78"/>
      <c r="AN420"/>
    </row>
    <row r="421" spans="1:40" s="3" customFormat="1">
      <c r="A421" s="293"/>
      <c r="B421" s="293"/>
      <c r="C421" s="293"/>
      <c r="D421" s="224" t="s">
        <v>391</v>
      </c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177"/>
      <c r="S421" s="177"/>
      <c r="T421" s="177"/>
      <c r="U421" s="177"/>
      <c r="V421" s="177"/>
      <c r="W421" s="177">
        <f t="shared" ref="W421:Z421" si="590">SUM(W418:W420)</f>
        <v>60.591999999999999</v>
      </c>
      <c r="X421" s="177">
        <f t="shared" si="590"/>
        <v>148.68100000000001</v>
      </c>
      <c r="Y421" s="177">
        <f t="shared" si="590"/>
        <v>296.83899999999994</v>
      </c>
      <c r="Z421" s="177">
        <f t="shared" si="590"/>
        <v>543.471</v>
      </c>
      <c r="AA421" s="177">
        <f>SUM(AA418:AA420)</f>
        <v>909.16600000000005</v>
      </c>
      <c r="AB421" s="295">
        <f>AB438</f>
        <v>1241.327703712888</v>
      </c>
      <c r="AC421" s="295">
        <f t="shared" ref="AC421:AM421" si="591">AC438</f>
        <v>1631.5492156445964</v>
      </c>
      <c r="AD421" s="295">
        <f t="shared" ca="1" si="591"/>
        <v>1956.9418543895601</v>
      </c>
      <c r="AE421" s="295">
        <f t="shared" ca="1" si="591"/>
        <v>2298.3867021529809</v>
      </c>
      <c r="AF421" s="295">
        <f t="shared" ca="1" si="591"/>
        <v>2619.4755905463303</v>
      </c>
      <c r="AG421" s="295">
        <f t="shared" ca="1" si="591"/>
        <v>2982.8610610467081</v>
      </c>
      <c r="AH421" s="295">
        <f t="shared" ca="1" si="591"/>
        <v>3338.689280677675</v>
      </c>
      <c r="AI421" s="295">
        <f t="shared" ca="1" si="591"/>
        <v>3698.7902190768004</v>
      </c>
      <c r="AJ421" s="295">
        <f t="shared" ca="1" si="591"/>
        <v>4064.6601119269826</v>
      </c>
      <c r="AK421" s="295">
        <f t="shared" ca="1" si="591"/>
        <v>4436.9086891248116</v>
      </c>
      <c r="AL421" s="295">
        <f t="shared" ca="1" si="591"/>
        <v>4672.9194468512787</v>
      </c>
      <c r="AM421" s="295">
        <f t="shared" ca="1" si="591"/>
        <v>4921.3982949937163</v>
      </c>
    </row>
    <row r="422" spans="1:40" s="98" customFormat="1">
      <c r="A422" s="289"/>
      <c r="B422" s="289"/>
      <c r="C422" s="289"/>
      <c r="D422" s="85" t="s">
        <v>392</v>
      </c>
      <c r="E422" s="289"/>
      <c r="F422" s="289"/>
      <c r="G422" s="289"/>
      <c r="H422" s="289"/>
      <c r="I422" s="289"/>
      <c r="J422" s="289"/>
      <c r="K422" s="289"/>
      <c r="L422" s="289"/>
      <c r="M422" s="289"/>
      <c r="N422" s="289"/>
      <c r="O422" s="289"/>
      <c r="P422" s="289"/>
      <c r="Q422" s="289"/>
      <c r="R422" s="296"/>
      <c r="S422" s="296"/>
      <c r="T422" s="296"/>
      <c r="U422" s="296"/>
      <c r="V422" s="296"/>
      <c r="W422" s="196">
        <f>W366/W415</f>
        <v>0.33056900726392252</v>
      </c>
      <c r="X422" s="196">
        <f>X366/X415</f>
        <v>0.68043317242612311</v>
      </c>
      <c r="Y422" s="196">
        <f>Y366/Y415</f>
        <v>0.69680656934306573</v>
      </c>
      <c r="Z422" s="196">
        <f>Z366/Z415</f>
        <v>0.66516472956066064</v>
      </c>
      <c r="AA422" s="196">
        <f>AA366/AA415</f>
        <v>0.65281508400484545</v>
      </c>
      <c r="AB422" s="289"/>
      <c r="AC422" s="289"/>
      <c r="AD422" s="289"/>
      <c r="AE422" s="289"/>
      <c r="AF422" s="289"/>
      <c r="AG422" s="289"/>
      <c r="AH422" s="289"/>
      <c r="AI422" s="289"/>
      <c r="AJ422" s="289"/>
      <c r="AK422" s="289"/>
      <c r="AL422" s="289"/>
      <c r="AM422" s="289"/>
      <c r="AN422" s="63"/>
    </row>
    <row r="423" spans="1:40" s="3" customFormat="1">
      <c r="A423" s="78"/>
      <c r="B423" s="78"/>
      <c r="C423" s="78"/>
      <c r="D423" s="70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80"/>
      <c r="S423" s="80"/>
      <c r="T423" s="80"/>
      <c r="U423" s="80"/>
      <c r="V423" s="80"/>
      <c r="W423" s="60"/>
      <c r="X423" s="60"/>
      <c r="Y423" s="60"/>
      <c r="Z423" s="60"/>
      <c r="AA423" s="60"/>
      <c r="AB423" s="78"/>
      <c r="AC423" s="78"/>
      <c r="AD423" s="78"/>
      <c r="AE423" s="78"/>
      <c r="AF423" s="78"/>
      <c r="AG423" s="78"/>
      <c r="AH423" s="78"/>
      <c r="AI423" s="78"/>
      <c r="AJ423" s="78"/>
      <c r="AK423" s="78"/>
      <c r="AL423" s="78"/>
      <c r="AM423" s="78"/>
      <c r="AN423"/>
    </row>
    <row r="424" spans="1:40" s="3" customFormat="1">
      <c r="A424" s="78"/>
      <c r="B424" s="78"/>
      <c r="C424" s="78"/>
      <c r="D424" s="67" t="s">
        <v>459</v>
      </c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80"/>
      <c r="S424" s="80"/>
      <c r="T424" s="80"/>
      <c r="U424" s="80"/>
      <c r="V424" s="80"/>
      <c r="W424" s="75">
        <f>+W193</f>
        <v>150</v>
      </c>
      <c r="X424" s="75">
        <f>+X193</f>
        <v>200</v>
      </c>
      <c r="Y424" s="75">
        <f>+Y193</f>
        <v>250</v>
      </c>
      <c r="Z424" s="75">
        <f>+Z193</f>
        <v>350</v>
      </c>
      <c r="AA424" s="75">
        <f>+AA193</f>
        <v>600</v>
      </c>
      <c r="AB424" s="78"/>
      <c r="AC424" s="78"/>
      <c r="AD424" s="78"/>
      <c r="AE424" s="78"/>
      <c r="AF424" s="78"/>
      <c r="AG424" s="78"/>
      <c r="AH424" s="78"/>
      <c r="AI424" s="78"/>
      <c r="AJ424" s="78"/>
      <c r="AK424" s="78"/>
      <c r="AL424" s="78"/>
      <c r="AM424" s="78"/>
      <c r="AN424"/>
    </row>
    <row r="425" spans="1:40" s="3" customFormat="1">
      <c r="A425" s="78"/>
      <c r="B425" s="78"/>
      <c r="C425" s="78"/>
      <c r="D425" s="67" t="s">
        <v>460</v>
      </c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80"/>
      <c r="S425" s="80"/>
      <c r="T425" s="80"/>
      <c r="U425" s="80"/>
      <c r="V425" s="80"/>
      <c r="W425" s="75">
        <f t="shared" ref="W425:Z425" si="592">AVERAGE(V424:W424)</f>
        <v>150</v>
      </c>
      <c r="X425" s="75">
        <f t="shared" si="592"/>
        <v>175</v>
      </c>
      <c r="Y425" s="75">
        <f t="shared" si="592"/>
        <v>225</v>
      </c>
      <c r="Z425" s="75">
        <f t="shared" si="592"/>
        <v>300</v>
      </c>
      <c r="AA425" s="75">
        <f>AVERAGE(Z424:AA424)</f>
        <v>475</v>
      </c>
      <c r="AB425" s="69">
        <f>+AB426/AB427</f>
        <v>750.91575091575112</v>
      </c>
      <c r="AC425" s="69">
        <f t="shared" ref="AC425:AK425" si="593">+AC426/AC427</f>
        <v>1030.6488888888889</v>
      </c>
      <c r="AD425" s="69">
        <f t="shared" ca="1" si="593"/>
        <v>1290.9740112994357</v>
      </c>
      <c r="AE425" s="69">
        <f t="shared" ca="1" si="593"/>
        <v>1553.7412781609207</v>
      </c>
      <c r="AF425" s="69">
        <f t="shared" ca="1" si="593"/>
        <v>1819.6205792161043</v>
      </c>
      <c r="AG425" s="69">
        <f t="shared" ca="1" si="593"/>
        <v>2059.4337189491971</v>
      </c>
      <c r="AH425" s="69">
        <f t="shared" ca="1" si="593"/>
        <v>2303.371487351777</v>
      </c>
      <c r="AI425" s="69">
        <f t="shared" ca="1" si="593"/>
        <v>2552.0389409767395</v>
      </c>
      <c r="AJ425" s="69">
        <f t="shared" ca="1" si="593"/>
        <v>2806.0551381362848</v>
      </c>
      <c r="AK425" s="69">
        <f t="shared" si="593"/>
        <v>3066.0578584655591</v>
      </c>
      <c r="AL425" s="69">
        <f t="shared" ref="AL425" si="594">+AL426/AL427</f>
        <v>3233.2327068969757</v>
      </c>
      <c r="AM425" s="69">
        <f t="shared" ref="AM425" si="595">+AM426/AM427</f>
        <v>3410.2200058992316</v>
      </c>
      <c r="AN425"/>
    </row>
    <row r="426" spans="1:40" s="3" customFormat="1">
      <c r="A426" s="78"/>
      <c r="B426" s="78"/>
      <c r="C426" s="78"/>
      <c r="D426" s="67" t="s">
        <v>458</v>
      </c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80"/>
      <c r="S426" s="80"/>
      <c r="T426" s="80"/>
      <c r="U426" s="80"/>
      <c r="V426" s="80"/>
      <c r="W426" s="75">
        <f t="shared" ref="W426:AM426" si="596">+W69+W91</f>
        <v>21.411999999999999</v>
      </c>
      <c r="X426" s="75">
        <f t="shared" si="596"/>
        <v>50.761000000000003</v>
      </c>
      <c r="Y426" s="75">
        <f t="shared" si="596"/>
        <v>109.233</v>
      </c>
      <c r="Z426" s="75">
        <f t="shared" si="596"/>
        <v>217.44400000000002</v>
      </c>
      <c r="AA426" s="75">
        <f t="shared" si="596"/>
        <v>299.315</v>
      </c>
      <c r="AB426" s="75">
        <f t="shared" si="596"/>
        <v>525.64102564102575</v>
      </c>
      <c r="AC426" s="75">
        <f t="shared" si="596"/>
        <v>772.98666666666668</v>
      </c>
      <c r="AD426" s="75">
        <f t="shared" ca="1" si="596"/>
        <v>992.43627118644099</v>
      </c>
      <c r="AE426" s="75">
        <f t="shared" ca="1" si="596"/>
        <v>1223.5712565517244</v>
      </c>
      <c r="AF426" s="75">
        <f t="shared" ca="1" si="596"/>
        <v>1467.0690919929832</v>
      </c>
      <c r="AG426" s="75">
        <f t="shared" ca="1" si="596"/>
        <v>1699.0328181330865</v>
      </c>
      <c r="AH426" s="75">
        <f t="shared" ca="1" si="596"/>
        <v>1943.4696924530608</v>
      </c>
      <c r="AI426" s="75">
        <f t="shared" ca="1" si="596"/>
        <v>2201.133586592437</v>
      </c>
      <c r="AJ426" s="75">
        <f t="shared" ca="1" si="596"/>
        <v>2472.8360904826004</v>
      </c>
      <c r="AK426" s="75">
        <f t="shared" si="596"/>
        <v>2759.452072619003</v>
      </c>
      <c r="AL426" s="75">
        <f t="shared" si="596"/>
        <v>2942.2417632762481</v>
      </c>
      <c r="AM426" s="75">
        <f t="shared" si="596"/>
        <v>3137.4024054272932</v>
      </c>
      <c r="AN426"/>
    </row>
    <row r="427" spans="1:40" s="3" customFormat="1">
      <c r="A427" s="78"/>
      <c r="B427" s="78"/>
      <c r="C427" s="78"/>
      <c r="D427" s="67" t="s">
        <v>245</v>
      </c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80"/>
      <c r="S427" s="80"/>
      <c r="T427" s="80"/>
      <c r="U427" s="80"/>
      <c r="V427" s="80"/>
      <c r="W427" s="47">
        <f t="shared" ref="W427:Z427" si="597">+W426/W425</f>
        <v>0.14274666666666666</v>
      </c>
      <c r="X427" s="47">
        <f t="shared" si="597"/>
        <v>0.29006285714285718</v>
      </c>
      <c r="Y427" s="47">
        <f t="shared" si="597"/>
        <v>0.48548000000000002</v>
      </c>
      <c r="Z427" s="47">
        <f t="shared" si="597"/>
        <v>0.72481333333333342</v>
      </c>
      <c r="AA427" s="47">
        <f>+AA426/AA425</f>
        <v>0.63013684210526311</v>
      </c>
      <c r="AB427" s="17">
        <v>0.7</v>
      </c>
      <c r="AC427" s="78">
        <v>0.75</v>
      </c>
      <c r="AD427" s="78">
        <f t="shared" ref="AD427:AI427" ca="1" si="598">+AVERAGE(AE427,AC427)</f>
        <v>0.76874999999999982</v>
      </c>
      <c r="AE427" s="78">
        <f t="shared" ca="1" si="598"/>
        <v>0.78749999999999964</v>
      </c>
      <c r="AF427" s="78">
        <f t="shared" ca="1" si="598"/>
        <v>0.80624999999999958</v>
      </c>
      <c r="AG427" s="78">
        <f t="shared" ca="1" si="598"/>
        <v>0.82499999999999951</v>
      </c>
      <c r="AH427" s="78">
        <f t="shared" ca="1" si="598"/>
        <v>0.84374999999999956</v>
      </c>
      <c r="AI427" s="78">
        <f t="shared" ca="1" si="598"/>
        <v>0.86249999999999971</v>
      </c>
      <c r="AJ427" s="78">
        <f ca="1">+AVERAGE(AK427,AI427)</f>
        <v>0.88124999999999987</v>
      </c>
      <c r="AK427" s="17">
        <v>0.9</v>
      </c>
      <c r="AL427" s="17">
        <f>+AK427+0.01</f>
        <v>0.91</v>
      </c>
      <c r="AM427" s="17">
        <f>+AL427+0.01</f>
        <v>0.92</v>
      </c>
      <c r="AN427"/>
    </row>
    <row r="428" spans="1:40" s="3" customFormat="1">
      <c r="A428" s="78"/>
      <c r="B428" s="78"/>
      <c r="C428" s="78"/>
      <c r="D428" s="67" t="s">
        <v>462</v>
      </c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80"/>
      <c r="S428" s="80"/>
      <c r="T428" s="80"/>
      <c r="U428" s="80"/>
      <c r="V428" s="80"/>
      <c r="W428" s="208">
        <f t="shared" ref="W428:AK428" si="599">AVERAGE(V421:W421)/W425</f>
        <v>0.40394666666666668</v>
      </c>
      <c r="X428" s="208">
        <f t="shared" si="599"/>
        <v>0.5979228571428572</v>
      </c>
      <c r="Y428" s="208">
        <f t="shared" si="599"/>
        <v>0.99004444444444439</v>
      </c>
      <c r="Z428" s="208">
        <f t="shared" si="599"/>
        <v>1.4005166666666666</v>
      </c>
      <c r="AA428" s="208">
        <f t="shared" si="599"/>
        <v>1.5290915789473687</v>
      </c>
      <c r="AB428" s="208">
        <f t="shared" si="599"/>
        <v>1.4319141002771176</v>
      </c>
      <c r="AC428" s="208">
        <f t="shared" si="599"/>
        <v>1.3937224162025952</v>
      </c>
      <c r="AD428" s="208">
        <f t="shared" ca="1" si="599"/>
        <v>1.3898386174413166</v>
      </c>
      <c r="AE428" s="208">
        <f t="shared" ca="1" si="599"/>
        <v>1.3693813173256693</v>
      </c>
      <c r="AF428" s="208">
        <f t="shared" ca="1" si="599"/>
        <v>1.3513427878513924</v>
      </c>
      <c r="AG428" s="208">
        <f t="shared" ca="1" si="599"/>
        <v>1.360164350045596</v>
      </c>
      <c r="AH428" s="208">
        <f t="shared" ca="1" si="599"/>
        <v>1.3722385590941675</v>
      </c>
      <c r="AI428" s="208">
        <f t="shared" ca="1" si="599"/>
        <v>1.3787954773646651</v>
      </c>
      <c r="AJ428" s="208">
        <f t="shared" ca="1" si="599"/>
        <v>1.3833388776815132</v>
      </c>
      <c r="AK428" s="208">
        <f t="shared" ca="1" si="599"/>
        <v>1.3864005823599321</v>
      </c>
      <c r="AL428" s="208">
        <f t="shared" ref="AL428:AM428" ca="1" si="600">AVERAGE(AK421:AL421)/AL425</f>
        <v>1.4087801531488047</v>
      </c>
      <c r="AM428" s="208">
        <f t="shared" ca="1" si="600"/>
        <v>1.4067007004310703</v>
      </c>
      <c r="AN428"/>
    </row>
    <row r="429" spans="1:40" s="3" customFormat="1">
      <c r="A429" s="78"/>
      <c r="B429" s="78"/>
      <c r="C429" s="78"/>
      <c r="D429" s="67" t="s">
        <v>461</v>
      </c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80"/>
      <c r="S429" s="80"/>
      <c r="T429" s="80"/>
      <c r="U429" s="80"/>
      <c r="V429" s="80"/>
      <c r="W429" s="208">
        <f t="shared" ref="W429:Z429" si="601">AVERAGE(V421:W421)/W426</f>
        <v>2.8298150569773961</v>
      </c>
      <c r="X429" s="208">
        <f t="shared" si="601"/>
        <v>2.061356159256122</v>
      </c>
      <c r="Y429" s="208">
        <f t="shared" si="601"/>
        <v>2.0393104647862823</v>
      </c>
      <c r="Z429" s="208">
        <f t="shared" si="601"/>
        <v>1.9322446239031656</v>
      </c>
      <c r="AA429" s="208">
        <f>AVERAGE(Z421:AA421)/AA426</f>
        <v>2.4266024088335034</v>
      </c>
      <c r="AB429" s="208">
        <f t="shared" ref="AB429:AM429" si="602">AVERAGE(AA421:AB421)/AB426</f>
        <v>2.0455915718244539</v>
      </c>
      <c r="AC429" s="208">
        <f t="shared" si="602"/>
        <v>1.8582965549367936</v>
      </c>
      <c r="AD429" s="208">
        <f t="shared" ca="1" si="602"/>
        <v>1.8079201527691926</v>
      </c>
      <c r="AE429" s="208">
        <f t="shared" ca="1" si="602"/>
        <v>1.7388969108897396</v>
      </c>
      <c r="AF429" s="208">
        <f t="shared" ca="1" si="602"/>
        <v>1.6760840779552162</v>
      </c>
      <c r="AG429" s="208">
        <f t="shared" ca="1" si="602"/>
        <v>1.6486840606613296</v>
      </c>
      <c r="AH429" s="208">
        <f t="shared" ca="1" si="602"/>
        <v>1.6263568107782733</v>
      </c>
      <c r="AI429" s="208">
        <f t="shared" ca="1" si="602"/>
        <v>1.5986034520170036</v>
      </c>
      <c r="AJ429" s="208">
        <f t="shared" ca="1" si="602"/>
        <v>1.569746244177604</v>
      </c>
      <c r="AK429" s="208">
        <f t="shared" ca="1" si="602"/>
        <v>1.5404450915110357</v>
      </c>
      <c r="AL429" s="208">
        <f t="shared" ca="1" si="602"/>
        <v>1.5481100584052798</v>
      </c>
      <c r="AM429" s="208">
        <f t="shared" ca="1" si="602"/>
        <v>1.5290225004685547</v>
      </c>
      <c r="AN429"/>
    </row>
    <row r="430" spans="1:40" s="3" customFormat="1">
      <c r="A430" s="78"/>
      <c r="B430" s="78"/>
      <c r="C430" s="78"/>
      <c r="D430" s="70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80"/>
      <c r="S430" s="80"/>
      <c r="T430" s="80"/>
      <c r="U430" s="80"/>
      <c r="V430" s="80"/>
      <c r="W430" s="60"/>
      <c r="X430" s="60"/>
      <c r="Y430" s="60"/>
      <c r="Z430" s="60"/>
      <c r="AA430" s="60"/>
      <c r="AB430" s="78"/>
      <c r="AC430" s="78"/>
      <c r="AD430" s="78"/>
      <c r="AE430" s="78"/>
      <c r="AF430" s="78"/>
      <c r="AG430" s="78"/>
      <c r="AH430" s="78"/>
      <c r="AI430" s="78"/>
      <c r="AJ430" s="78"/>
      <c r="AK430" s="78"/>
      <c r="AL430" s="78"/>
      <c r="AM430" s="78"/>
      <c r="AN430"/>
    </row>
    <row r="431" spans="1:40" s="3" customFormat="1">
      <c r="A431" s="293"/>
      <c r="B431" s="293"/>
      <c r="C431" s="293"/>
      <c r="D431" s="297" t="s">
        <v>393</v>
      </c>
      <c r="E431" s="293"/>
      <c r="F431" s="293"/>
      <c r="G431" s="293"/>
      <c r="H431" s="293"/>
      <c r="I431" s="293"/>
      <c r="J431" s="293"/>
      <c r="K431" s="293"/>
      <c r="L431" s="293"/>
      <c r="M431" s="293"/>
      <c r="N431" s="293"/>
      <c r="O431" s="293"/>
      <c r="P431" s="293"/>
      <c r="Q431" s="293"/>
      <c r="R431" s="298"/>
      <c r="S431" s="298"/>
      <c r="T431" s="298"/>
      <c r="U431" s="298"/>
      <c r="V431" s="299">
        <f>V438-SUM(V435:V437)</f>
        <v>-0.3559999999999981</v>
      </c>
      <c r="W431" s="298">
        <f>V438</f>
        <v>16.794</v>
      </c>
      <c r="X431" s="298">
        <f>W438</f>
        <v>60.591999999999999</v>
      </c>
      <c r="Y431" s="298">
        <f>X438</f>
        <v>148.68100000000001</v>
      </c>
      <c r="Z431" s="298">
        <f>Y438</f>
        <v>296.839</v>
      </c>
      <c r="AA431" s="298">
        <f>Z438</f>
        <v>543.471</v>
      </c>
      <c r="AB431" s="298">
        <f t="shared" ref="AB431:AM431" si="603">AA438</f>
        <v>909.16600000000005</v>
      </c>
      <c r="AC431" s="298">
        <f t="shared" si="603"/>
        <v>1241.327703712888</v>
      </c>
      <c r="AD431" s="298">
        <f t="shared" si="603"/>
        <v>1631.5492156445964</v>
      </c>
      <c r="AE431" s="298">
        <f t="shared" ca="1" si="603"/>
        <v>1956.9418543895601</v>
      </c>
      <c r="AF431" s="298">
        <f t="shared" ca="1" si="603"/>
        <v>2298.3867021529809</v>
      </c>
      <c r="AG431" s="298">
        <f t="shared" ca="1" si="603"/>
        <v>2619.4755905463303</v>
      </c>
      <c r="AH431" s="298">
        <f t="shared" ca="1" si="603"/>
        <v>2982.8610610467081</v>
      </c>
      <c r="AI431" s="298">
        <f t="shared" ca="1" si="603"/>
        <v>3338.689280677675</v>
      </c>
      <c r="AJ431" s="298">
        <f t="shared" ca="1" si="603"/>
        <v>3698.7902190768004</v>
      </c>
      <c r="AK431" s="298">
        <f t="shared" ca="1" si="603"/>
        <v>4064.6601119269826</v>
      </c>
      <c r="AL431" s="298">
        <f t="shared" ca="1" si="603"/>
        <v>4436.9086891248116</v>
      </c>
      <c r="AM431" s="298">
        <f t="shared" ca="1" si="603"/>
        <v>4672.9194468512787</v>
      </c>
    </row>
    <row r="432" spans="1:40" s="3" customFormat="1">
      <c r="A432" s="78"/>
      <c r="B432" s="78"/>
      <c r="C432" s="78"/>
      <c r="D432" s="290" t="s">
        <v>394</v>
      </c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80"/>
      <c r="S432" s="80"/>
      <c r="T432" s="80"/>
      <c r="U432" s="80"/>
      <c r="V432" s="80">
        <f>2.7+2.1</f>
        <v>4.8000000000000007</v>
      </c>
      <c r="W432" s="80">
        <f>4.4+3.7</f>
        <v>8.1000000000000014</v>
      </c>
      <c r="X432" s="80">
        <f>11.5+7.9</f>
        <v>19.399999999999999</v>
      </c>
      <c r="Y432" s="80">
        <f>17.4+13.6</f>
        <v>31</v>
      </c>
      <c r="Z432" s="80">
        <f>31.7+24.7</f>
        <v>56.4</v>
      </c>
      <c r="AA432" s="80">
        <f>48.9+36.1</f>
        <v>85</v>
      </c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  <c r="AL432" s="80"/>
      <c r="AM432" s="80"/>
      <c r="AN432"/>
    </row>
    <row r="433" spans="1:40" s="3" customFormat="1">
      <c r="A433" s="78"/>
      <c r="B433" s="78"/>
      <c r="C433" s="78"/>
      <c r="D433" s="290" t="s">
        <v>382</v>
      </c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5"/>
      <c r="S433" s="75"/>
      <c r="T433" s="75"/>
      <c r="U433" s="75"/>
      <c r="V433" s="75">
        <f t="shared" ref="V433:AA433" si="604">V407</f>
        <v>0</v>
      </c>
      <c r="W433" s="75">
        <f t="shared" si="604"/>
        <v>0</v>
      </c>
      <c r="X433" s="75">
        <f t="shared" si="604"/>
        <v>0.9</v>
      </c>
      <c r="Y433" s="75">
        <f t="shared" si="604"/>
        <v>1.6</v>
      </c>
      <c r="Z433" s="75">
        <f t="shared" si="604"/>
        <v>3.6</v>
      </c>
      <c r="AA433" s="75">
        <f t="shared" si="604"/>
        <v>8.1</v>
      </c>
      <c r="AB433" s="75"/>
      <c r="AC433" s="75"/>
      <c r="AD433" s="75"/>
      <c r="AE433" s="75"/>
      <c r="AF433" s="75"/>
      <c r="AG433" s="75"/>
      <c r="AH433" s="75"/>
      <c r="AI433" s="75"/>
      <c r="AJ433" s="75"/>
      <c r="AK433" s="75"/>
      <c r="AL433" s="75"/>
      <c r="AM433" s="75"/>
      <c r="AN433"/>
    </row>
    <row r="434" spans="1:40" s="3" customFormat="1">
      <c r="A434" s="78"/>
      <c r="B434" s="78"/>
      <c r="C434" s="78"/>
      <c r="D434" s="290" t="s">
        <v>395</v>
      </c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298"/>
      <c r="S434" s="298"/>
      <c r="T434" s="298"/>
      <c r="U434" s="298"/>
      <c r="V434" s="75">
        <f t="shared" ref="V434:AA434" si="605">V435-SUM(V432:V433)</f>
        <v>9.1499999999999986</v>
      </c>
      <c r="W434" s="75">
        <f t="shared" si="605"/>
        <v>31.439</v>
      </c>
      <c r="X434" s="75">
        <f t="shared" si="605"/>
        <v>58.19</v>
      </c>
      <c r="Y434" s="75">
        <f t="shared" si="605"/>
        <v>111.06800000000001</v>
      </c>
      <c r="Z434" s="75">
        <f t="shared" si="605"/>
        <v>170.53800000000001</v>
      </c>
      <c r="AA434" s="75">
        <f t="shared" si="605"/>
        <v>266.70100000000002</v>
      </c>
      <c r="AB434" s="75"/>
      <c r="AC434" s="75"/>
      <c r="AD434" s="75"/>
      <c r="AE434" s="75"/>
      <c r="AF434" s="75"/>
      <c r="AG434" s="75"/>
      <c r="AH434" s="75"/>
      <c r="AI434" s="75"/>
      <c r="AJ434" s="75"/>
      <c r="AK434" s="75"/>
      <c r="AL434" s="75"/>
      <c r="AM434" s="75"/>
      <c r="AN434"/>
    </row>
    <row r="435" spans="1:40" s="3" customFormat="1">
      <c r="A435" s="293"/>
      <c r="B435" s="293"/>
      <c r="C435" s="293"/>
      <c r="D435" s="300" t="s">
        <v>396</v>
      </c>
      <c r="E435" s="301"/>
      <c r="F435" s="301"/>
      <c r="G435" s="301"/>
      <c r="H435" s="301"/>
      <c r="I435" s="301"/>
      <c r="J435" s="301"/>
      <c r="K435" s="301"/>
      <c r="L435" s="301"/>
      <c r="M435" s="301"/>
      <c r="N435" s="301"/>
      <c r="O435" s="301"/>
      <c r="P435" s="301"/>
      <c r="Q435" s="301"/>
      <c r="R435" s="302"/>
      <c r="S435" s="302"/>
      <c r="T435" s="302"/>
      <c r="U435" s="302"/>
      <c r="V435" s="302">
        <f t="shared" ref="V435:AA435" si="606">-V247</f>
        <v>13.95</v>
      </c>
      <c r="W435" s="302">
        <f t="shared" si="606"/>
        <v>39.539000000000001</v>
      </c>
      <c r="X435" s="302">
        <f t="shared" si="606"/>
        <v>78.489999999999995</v>
      </c>
      <c r="Y435" s="302">
        <f t="shared" si="606"/>
        <v>143.66800000000001</v>
      </c>
      <c r="Z435" s="302">
        <f t="shared" si="606"/>
        <v>230.53800000000001</v>
      </c>
      <c r="AA435" s="302">
        <f t="shared" si="606"/>
        <v>359.80099999999999</v>
      </c>
      <c r="AB435" s="303">
        <f ca="1">AB438-AB431-AB436-AB437</f>
        <v>374.69738598861261</v>
      </c>
      <c r="AC435" s="303">
        <f t="shared" ref="AC435:AM435" ca="1" si="607">AC438-AC431-AC436-AC437</f>
        <v>459.28253919566953</v>
      </c>
      <c r="AD435" s="303">
        <f t="shared" ca="1" si="607"/>
        <v>448.70457368945728</v>
      </c>
      <c r="AE435" s="303">
        <f t="shared" ca="1" si="607"/>
        <v>497.82680028817805</v>
      </c>
      <c r="AF435" s="303">
        <f t="shared" ca="1" si="607"/>
        <v>518.62846998381281</v>
      </c>
      <c r="AG435" s="303">
        <f t="shared" ca="1" si="607"/>
        <v>592.86665984466435</v>
      </c>
      <c r="AH435" s="303">
        <f t="shared" ca="1" si="607"/>
        <v>631.76803626771959</v>
      </c>
      <c r="AI435" s="303">
        <f t="shared" ca="1" si="607"/>
        <v>680.83287846090207</v>
      </c>
      <c r="AJ435" s="303">
        <f t="shared" ca="1" si="607"/>
        <v>732.91426589606476</v>
      </c>
      <c r="AK435" s="303">
        <f t="shared" ca="1" si="607"/>
        <v>787.5324855149687</v>
      </c>
      <c r="AL435" s="303">
        <f t="shared" ca="1" si="607"/>
        <v>718.88831088666836</v>
      </c>
      <c r="AM435" s="303">
        <f t="shared" ca="1" si="607"/>
        <v>757.05683398445592</v>
      </c>
    </row>
    <row r="436" spans="1:40" s="3" customFormat="1">
      <c r="A436" s="78"/>
      <c r="B436" s="78"/>
      <c r="C436" s="78"/>
      <c r="D436" s="70" t="s">
        <v>397</v>
      </c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80"/>
      <c r="S436" s="80"/>
      <c r="T436" s="80"/>
      <c r="U436" s="80"/>
      <c r="V436" s="80">
        <v>-2.8</v>
      </c>
      <c r="W436" s="80">
        <v>-4.7</v>
      </c>
      <c r="X436" s="80">
        <v>-11.6</v>
      </c>
      <c r="Y436" s="80">
        <v>-22.5</v>
      </c>
      <c r="Z436" s="80">
        <v>-39.6</v>
      </c>
      <c r="AA436" s="80">
        <v>-72.2</v>
      </c>
      <c r="AB436" s="75">
        <f t="shared" ref="AB436:AM436" si="608">-AB431/AB439</f>
        <v>-121.22213333333335</v>
      </c>
      <c r="AC436" s="75">
        <f t="shared" si="608"/>
        <v>-165.51036049505174</v>
      </c>
      <c r="AD436" s="75">
        <f t="shared" si="608"/>
        <v>-217.53989541927953</v>
      </c>
      <c r="AE436" s="75">
        <f t="shared" ca="1" si="608"/>
        <v>-260.9255805852747</v>
      </c>
      <c r="AF436" s="75">
        <f t="shared" ca="1" si="608"/>
        <v>-306.45156028706413</v>
      </c>
      <c r="AG436" s="75">
        <f t="shared" ca="1" si="608"/>
        <v>-353.98318791166622</v>
      </c>
      <c r="AH436" s="75">
        <f t="shared" ca="1" si="608"/>
        <v>-408.61110425297369</v>
      </c>
      <c r="AI436" s="75">
        <f t="shared" ca="1" si="608"/>
        <v>-463.70684453856592</v>
      </c>
      <c r="AJ436" s="75">
        <f t="shared" ca="1" si="608"/>
        <v>-520.95636888405625</v>
      </c>
      <c r="AK436" s="75">
        <f t="shared" ca="1" si="608"/>
        <v>-580.66573027528307</v>
      </c>
      <c r="AL436" s="75">
        <f t="shared" ca="1" si="608"/>
        <v>-633.84409844640163</v>
      </c>
      <c r="AM436" s="75">
        <f t="shared" ca="1" si="608"/>
        <v>-667.55992097875412</v>
      </c>
      <c r="AN436"/>
    </row>
    <row r="437" spans="1:40" s="3" customFormat="1">
      <c r="A437" s="78"/>
      <c r="B437" s="78"/>
      <c r="C437" s="78"/>
      <c r="D437" s="70" t="s">
        <v>128</v>
      </c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5"/>
      <c r="S437" s="75"/>
      <c r="T437" s="75"/>
      <c r="U437" s="75"/>
      <c r="V437" s="80">
        <v>6</v>
      </c>
      <c r="W437" s="75">
        <f>W438-SUM(W435:W436,W431)</f>
        <v>8.9590000000000032</v>
      </c>
      <c r="X437" s="75">
        <f>X438-SUM(X435:X436,X431)</f>
        <v>21.199000000000012</v>
      </c>
      <c r="Y437" s="75">
        <f>Y438-SUM(Y435:Y436,Y431)</f>
        <v>26.989999999999952</v>
      </c>
      <c r="Z437" s="75">
        <f>Z438-SUM(Z435:Z436,Z431)</f>
        <v>55.69399999999996</v>
      </c>
      <c r="AA437" s="75">
        <f>AA438-SUM(AA435:AA436,AA431)</f>
        <v>78.094000000000051</v>
      </c>
      <c r="AB437" s="321">
        <f ca="1">+AB435*AB443</f>
        <v>78.68645105760865</v>
      </c>
      <c r="AC437" s="321">
        <f t="shared" ref="AC437:AM437" ca="1" si="609">+AC435*AC443</f>
        <v>96.449333231090591</v>
      </c>
      <c r="AD437" s="321">
        <f t="shared" ca="1" si="609"/>
        <v>94.22796047478603</v>
      </c>
      <c r="AE437" s="321">
        <f t="shared" ca="1" si="609"/>
        <v>104.54362806051739</v>
      </c>
      <c r="AF437" s="321">
        <f t="shared" ca="1" si="609"/>
        <v>108.91197869660068</v>
      </c>
      <c r="AG437" s="321">
        <f t="shared" ca="1" si="609"/>
        <v>124.50199856737952</v>
      </c>
      <c r="AH437" s="321">
        <f t="shared" ca="1" si="609"/>
        <v>132.67128761622112</v>
      </c>
      <c r="AI437" s="321">
        <f t="shared" ca="1" si="609"/>
        <v>142.97490447678942</v>
      </c>
      <c r="AJ437" s="321">
        <f t="shared" ca="1" si="609"/>
        <v>153.9119958381736</v>
      </c>
      <c r="AK437" s="321">
        <f t="shared" ca="1" si="609"/>
        <v>165.38182195814343</v>
      </c>
      <c r="AL437" s="321">
        <f t="shared" ca="1" si="609"/>
        <v>150.96654528620036</v>
      </c>
      <c r="AM437" s="321">
        <f t="shared" ca="1" si="609"/>
        <v>158.98193513673573</v>
      </c>
      <c r="AN437"/>
    </row>
    <row r="438" spans="1:40" s="3" customFormat="1">
      <c r="A438" s="293"/>
      <c r="B438" s="293"/>
      <c r="C438" s="293"/>
      <c r="D438" s="207" t="s">
        <v>398</v>
      </c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177"/>
      <c r="S438" s="177"/>
      <c r="T438" s="177"/>
      <c r="U438" s="177"/>
      <c r="V438" s="177">
        <f t="shared" ref="V438:AA438" si="610">V275</f>
        <v>16.794</v>
      </c>
      <c r="W438" s="177">
        <f t="shared" si="610"/>
        <v>60.591999999999999</v>
      </c>
      <c r="X438" s="177">
        <f t="shared" si="610"/>
        <v>148.68100000000001</v>
      </c>
      <c r="Y438" s="177">
        <f t="shared" si="610"/>
        <v>296.839</v>
      </c>
      <c r="Z438" s="177">
        <f t="shared" si="610"/>
        <v>543.471</v>
      </c>
      <c r="AA438" s="177">
        <f t="shared" si="610"/>
        <v>909.16600000000005</v>
      </c>
      <c r="AB438" s="329">
        <f t="shared" ref="AB438:AM438" si="611">+AB7*AB441</f>
        <v>1241.327703712888</v>
      </c>
      <c r="AC438" s="329">
        <f t="shared" si="611"/>
        <v>1631.5492156445964</v>
      </c>
      <c r="AD438" s="329">
        <f t="shared" ca="1" si="611"/>
        <v>1956.9418543895601</v>
      </c>
      <c r="AE438" s="329">
        <f t="shared" ca="1" si="611"/>
        <v>2298.3867021529809</v>
      </c>
      <c r="AF438" s="329">
        <f t="shared" ca="1" si="611"/>
        <v>2619.4755905463303</v>
      </c>
      <c r="AG438" s="329">
        <f t="shared" ca="1" si="611"/>
        <v>2982.8610610467081</v>
      </c>
      <c r="AH438" s="329">
        <f t="shared" ca="1" si="611"/>
        <v>3338.689280677675</v>
      </c>
      <c r="AI438" s="329">
        <f t="shared" ca="1" si="611"/>
        <v>3698.7902190768004</v>
      </c>
      <c r="AJ438" s="329">
        <f t="shared" ca="1" si="611"/>
        <v>4064.6601119269826</v>
      </c>
      <c r="AK438" s="329">
        <f t="shared" ca="1" si="611"/>
        <v>4436.9086891248116</v>
      </c>
      <c r="AL438" s="329">
        <f t="shared" ca="1" si="611"/>
        <v>4672.9194468512787</v>
      </c>
      <c r="AM438" s="329">
        <f t="shared" ca="1" si="611"/>
        <v>4921.3982949937163</v>
      </c>
    </row>
    <row r="439" spans="1:40" s="3" customFormat="1">
      <c r="A439" s="78"/>
      <c r="B439" s="78"/>
      <c r="C439" s="78"/>
      <c r="D439" s="70" t="s">
        <v>399</v>
      </c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87"/>
      <c r="W439" s="87">
        <f>-W431/W436</f>
        <v>3.5731914893617023</v>
      </c>
      <c r="X439" s="87">
        <f>-X431/X436</f>
        <v>5.2234482758620686</v>
      </c>
      <c r="Y439" s="87">
        <f>-Y431/Y436</f>
        <v>6.6080444444444453</v>
      </c>
      <c r="Z439" s="87">
        <f>-Z431/Z436</f>
        <v>7.4959343434343433</v>
      </c>
      <c r="AA439" s="87">
        <f>-AA431/AA436</f>
        <v>7.5272991689750688</v>
      </c>
      <c r="AB439" s="103">
        <v>7.5</v>
      </c>
      <c r="AC439" s="103">
        <f>AB439</f>
        <v>7.5</v>
      </c>
      <c r="AD439" s="103">
        <f t="shared" ref="AD439:AF439" si="612">AC439</f>
        <v>7.5</v>
      </c>
      <c r="AE439" s="103">
        <f t="shared" si="612"/>
        <v>7.5</v>
      </c>
      <c r="AF439" s="103">
        <f t="shared" si="612"/>
        <v>7.5</v>
      </c>
      <c r="AG439" s="103">
        <f t="shared" ref="AG439:AM439" si="613">MAX(7,AF439-0.1)</f>
        <v>7.4</v>
      </c>
      <c r="AH439" s="103">
        <f t="shared" si="613"/>
        <v>7.3000000000000007</v>
      </c>
      <c r="AI439" s="103">
        <f t="shared" si="613"/>
        <v>7.2000000000000011</v>
      </c>
      <c r="AJ439" s="103">
        <f t="shared" si="613"/>
        <v>7.1000000000000014</v>
      </c>
      <c r="AK439" s="103">
        <f t="shared" si="613"/>
        <v>7.0000000000000018</v>
      </c>
      <c r="AL439" s="103">
        <f t="shared" si="613"/>
        <v>7</v>
      </c>
      <c r="AM439" s="103">
        <f t="shared" si="613"/>
        <v>7</v>
      </c>
      <c r="AN439"/>
    </row>
    <row r="440" spans="1:40" s="3" customFormat="1">
      <c r="A440" s="78"/>
      <c r="B440" s="78"/>
      <c r="C440" s="78"/>
      <c r="D440" s="319" t="s">
        <v>400</v>
      </c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209">
        <f t="shared" ref="W440:Z440" si="614">W438/V438-1</f>
        <v>2.6079552221031319</v>
      </c>
      <c r="X440" s="209">
        <f t="shared" si="614"/>
        <v>1.4538057829416426</v>
      </c>
      <c r="Y440" s="209">
        <f t="shared" si="614"/>
        <v>0.99648240192089088</v>
      </c>
      <c r="Z440" s="209">
        <f t="shared" si="614"/>
        <v>0.83086117390235104</v>
      </c>
      <c r="AA440" s="209">
        <f>AA438/Z438-1</f>
        <v>0.6728877897808716</v>
      </c>
      <c r="AB440" s="209">
        <f t="shared" ref="AB440:AM440" si="615">AB438/AA438-1</f>
        <v>0.36534769636445708</v>
      </c>
      <c r="AC440" s="209">
        <f t="shared" si="615"/>
        <v>0.31435817533479016</v>
      </c>
      <c r="AD440" s="209">
        <f t="shared" ca="1" si="615"/>
        <v>0.19943783223015243</v>
      </c>
      <c r="AE440" s="209">
        <f t="shared" ca="1" si="615"/>
        <v>0.17447879046458925</v>
      </c>
      <c r="AF440" s="209">
        <f t="shared" ca="1" si="615"/>
        <v>0.13970185612915964</v>
      </c>
      <c r="AG440" s="209">
        <f t="shared" ca="1" si="615"/>
        <v>0.13872451104787298</v>
      </c>
      <c r="AH440" s="209">
        <f t="shared" ca="1" si="615"/>
        <v>0.11929091310277262</v>
      </c>
      <c r="AI440" s="209">
        <f t="shared" ca="1" si="615"/>
        <v>0.10785697863025856</v>
      </c>
      <c r="AJ440" s="209">
        <f t="shared" ca="1" si="615"/>
        <v>9.8916097204750697E-2</v>
      </c>
      <c r="AK440" s="209">
        <f t="shared" ca="1" si="615"/>
        <v>9.1581723181610064E-2</v>
      </c>
      <c r="AL440" s="209">
        <f t="shared" ca="1" si="615"/>
        <v>5.3192610951166674E-2</v>
      </c>
      <c r="AM440" s="209">
        <f t="shared" ca="1" si="615"/>
        <v>5.3174220306722475E-2</v>
      </c>
      <c r="AN440"/>
    </row>
    <row r="441" spans="1:40" s="3" customFormat="1">
      <c r="A441" s="78"/>
      <c r="B441" s="78"/>
      <c r="C441" s="78"/>
      <c r="D441" s="41" t="s">
        <v>444</v>
      </c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41">
        <f>AVERAGE(V438:W438)/W7</f>
        <v>0.10596525244558372</v>
      </c>
      <c r="X441" s="41">
        <f>AVERAGE(W438:X438)/X7</f>
        <v>0.1218304283535343</v>
      </c>
      <c r="Y441" s="41">
        <f>AVERAGE(X438:Y438)/Y7</f>
        <v>0.1139165222425129</v>
      </c>
      <c r="Z441" s="41">
        <f>AVERAGE(Y438:Z438)/Z7</f>
        <v>0.10664113976612581</v>
      </c>
      <c r="AA441" s="41">
        <f>AVERAGE(Z438:AA438)/AA7</f>
        <v>0.13001164400664811</v>
      </c>
      <c r="AB441" s="78">
        <v>0.1275</v>
      </c>
      <c r="AC441" s="78">
        <v>0.11749999999999999</v>
      </c>
      <c r="AD441" s="78">
        <v>0.11</v>
      </c>
      <c r="AE441" s="78">
        <v>0.105</v>
      </c>
      <c r="AF441" s="78">
        <v>0.1</v>
      </c>
      <c r="AG441" s="78">
        <f>+AF441*0.985</f>
        <v>9.8500000000000004E-2</v>
      </c>
      <c r="AH441" s="78">
        <f>+AG441*0.98</f>
        <v>9.6530000000000005E-2</v>
      </c>
      <c r="AI441" s="78">
        <f t="shared" ref="AI441:AM441" si="616">+AH441*0.98</f>
        <v>9.45994E-2</v>
      </c>
      <c r="AJ441" s="78">
        <f t="shared" si="616"/>
        <v>9.2707412000000003E-2</v>
      </c>
      <c r="AK441" s="78">
        <f t="shared" si="616"/>
        <v>9.0853263759999997E-2</v>
      </c>
      <c r="AL441" s="78">
        <f t="shared" si="616"/>
        <v>8.9036198484799989E-2</v>
      </c>
      <c r="AM441" s="78">
        <f t="shared" si="616"/>
        <v>8.7255474515103987E-2</v>
      </c>
      <c r="AN441"/>
    </row>
    <row r="442" spans="1:40" s="3" customFormat="1">
      <c r="A442" s="78"/>
      <c r="B442" s="78"/>
      <c r="C442" s="78"/>
      <c r="D442" s="41" t="s">
        <v>445</v>
      </c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318">
        <f t="shared" ref="W442:AM442" si="617">AVERAGE(V438:W438)/W69</f>
        <v>2.0624167155268909</v>
      </c>
      <c r="X442" s="318">
        <f t="shared" si="617"/>
        <v>2.3645597939076199</v>
      </c>
      <c r="Y442" s="318">
        <f t="shared" si="617"/>
        <v>2.3670676244315039</v>
      </c>
      <c r="Z442" s="318">
        <f t="shared" si="617"/>
        <v>2.3664171580803042</v>
      </c>
      <c r="AA442" s="318">
        <f t="shared" si="617"/>
        <v>2.9753616182802092</v>
      </c>
      <c r="AB442" s="318">
        <f t="shared" si="617"/>
        <v>2.6225532972108385</v>
      </c>
      <c r="AC442" s="318">
        <f t="shared" si="617"/>
        <v>2.4777287399157246</v>
      </c>
      <c r="AD442" s="318">
        <f t="shared" ca="1" si="617"/>
        <v>2.4514171562972105</v>
      </c>
      <c r="AE442" s="318">
        <f t="shared" ca="1" si="617"/>
        <v>2.3984784977789513</v>
      </c>
      <c r="AF442" s="318">
        <f t="shared" ca="1" si="617"/>
        <v>2.3523987059020586</v>
      </c>
      <c r="AG442" s="318">
        <f t="shared" ca="1" si="617"/>
        <v>2.3552629438018999</v>
      </c>
      <c r="AH442" s="318">
        <f t="shared" ca="1" si="617"/>
        <v>2.3656099065865805</v>
      </c>
      <c r="AI442" s="318">
        <f t="shared" ca="1" si="617"/>
        <v>2.3683014103955617</v>
      </c>
      <c r="AJ442" s="318">
        <f t="shared" ca="1" si="617"/>
        <v>2.3694282930982706</v>
      </c>
      <c r="AK442" s="318">
        <f t="shared" ca="1" si="617"/>
        <v>2.3699155254015936</v>
      </c>
      <c r="AL442" s="318">
        <f t="shared" ca="1" si="617"/>
        <v>2.3946017918101772</v>
      </c>
      <c r="AM442" s="318">
        <f t="shared" ca="1" si="617"/>
        <v>2.3780804561190032</v>
      </c>
      <c r="AN442"/>
    </row>
    <row r="443" spans="1:40" s="3" customFormat="1">
      <c r="A443" s="78"/>
      <c r="B443" s="78"/>
      <c r="C443" s="78"/>
      <c r="D443" s="41" t="s">
        <v>446</v>
      </c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41">
        <f t="shared" ref="W443:Z443" si="618">+W437/W435</f>
        <v>0.2265864083563065</v>
      </c>
      <c r="X443" s="41">
        <f t="shared" si="618"/>
        <v>0.27008536119250875</v>
      </c>
      <c r="Y443" s="41">
        <f t="shared" si="618"/>
        <v>0.18786368571985376</v>
      </c>
      <c r="Z443" s="41">
        <f t="shared" si="618"/>
        <v>0.24158273256469631</v>
      </c>
      <c r="AA443" s="41">
        <f>+AA437/AA435</f>
        <v>0.2170477569545389</v>
      </c>
      <c r="AB443" s="78">
        <v>0.21</v>
      </c>
      <c r="AC443" s="78">
        <v>0.21</v>
      </c>
      <c r="AD443" s="78">
        <v>0.21</v>
      </c>
      <c r="AE443" s="78">
        <v>0.21</v>
      </c>
      <c r="AF443" s="78">
        <v>0.21</v>
      </c>
      <c r="AG443" s="78">
        <v>0.21</v>
      </c>
      <c r="AH443" s="78">
        <v>0.21</v>
      </c>
      <c r="AI443" s="78">
        <v>0.21</v>
      </c>
      <c r="AJ443" s="78">
        <v>0.21</v>
      </c>
      <c r="AK443" s="78">
        <v>0.21</v>
      </c>
      <c r="AL443" s="78">
        <v>0.21</v>
      </c>
      <c r="AM443" s="78">
        <v>0.21</v>
      </c>
      <c r="AN443"/>
    </row>
    <row r="444" spans="1:40" s="3" customFormat="1">
      <c r="A444" s="78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  <c r="AA444" s="78"/>
      <c r="AB444" s="78"/>
      <c r="AC444" s="78"/>
      <c r="AD444" s="78"/>
      <c r="AE444" s="78"/>
      <c r="AF444" s="78"/>
      <c r="AG444" s="78"/>
      <c r="AH444" s="78"/>
      <c r="AI444" s="78"/>
      <c r="AJ444" s="78"/>
      <c r="AK444" s="78"/>
      <c r="AL444" s="78"/>
      <c r="AM444" s="78"/>
      <c r="AN444"/>
    </row>
    <row r="445" spans="1:40" s="3" customFormat="1">
      <c r="A445" s="78"/>
      <c r="B445" s="78"/>
      <c r="C445" s="78"/>
      <c r="D445" s="70" t="s">
        <v>401</v>
      </c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80"/>
      <c r="S445" s="80"/>
      <c r="T445" s="80"/>
      <c r="U445" s="80"/>
      <c r="V445" s="80">
        <v>0</v>
      </c>
      <c r="W445" s="80">
        <v>0</v>
      </c>
      <c r="X445" s="80">
        <v>0</v>
      </c>
      <c r="Y445" s="80">
        <v>8.6419999999999995</v>
      </c>
      <c r="Z445" s="80">
        <v>8.6419999999999995</v>
      </c>
      <c r="AA445" s="80">
        <v>8.6419999999999995</v>
      </c>
      <c r="AB445" s="78"/>
      <c r="AC445" s="78"/>
      <c r="AD445" s="78"/>
      <c r="AE445" s="78"/>
      <c r="AF445" s="78"/>
      <c r="AG445" s="78"/>
      <c r="AH445" s="78"/>
      <c r="AI445" s="78"/>
      <c r="AJ445" s="78"/>
      <c r="AK445" s="78"/>
      <c r="AL445" s="78"/>
      <c r="AM445" s="78"/>
      <c r="AN445"/>
    </row>
    <row r="446" spans="1:40" s="3" customFormat="1">
      <c r="A446" s="78"/>
      <c r="B446" s="78"/>
      <c r="C446" s="78"/>
      <c r="D446" s="70" t="s">
        <v>402</v>
      </c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80"/>
      <c r="S446" s="80"/>
      <c r="T446" s="80"/>
      <c r="U446" s="80"/>
      <c r="V446" s="80">
        <v>0</v>
      </c>
      <c r="W446" s="80">
        <v>0</v>
      </c>
      <c r="X446" s="80">
        <v>0</v>
      </c>
      <c r="Y446" s="80">
        <v>0.52300000000000002</v>
      </c>
      <c r="Z446" s="80">
        <v>0.52300000000000002</v>
      </c>
      <c r="AA446" s="80">
        <v>0</v>
      </c>
      <c r="AB446" s="78"/>
      <c r="AC446" s="78"/>
      <c r="AD446" s="78"/>
      <c r="AE446" s="78"/>
      <c r="AF446" s="78"/>
      <c r="AG446" s="78"/>
      <c r="AH446" s="78"/>
      <c r="AI446" s="78"/>
      <c r="AJ446" s="78"/>
      <c r="AK446" s="78"/>
      <c r="AL446" s="78"/>
      <c r="AM446" s="78"/>
      <c r="AN446"/>
    </row>
    <row r="447" spans="1:40" s="3" customFormat="1">
      <c r="A447" s="78"/>
      <c r="B447" s="78"/>
      <c r="C447" s="78"/>
      <c r="D447" s="70" t="s">
        <v>403</v>
      </c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80"/>
      <c r="S447" s="80"/>
      <c r="T447" s="80"/>
      <c r="U447" s="80"/>
      <c r="V447" s="80">
        <v>0</v>
      </c>
      <c r="W447" s="80">
        <v>0</v>
      </c>
      <c r="X447" s="80">
        <v>0</v>
      </c>
      <c r="Y447" s="80">
        <v>0.77400000000000002</v>
      </c>
      <c r="Z447" s="80">
        <v>0.77400000000000002</v>
      </c>
      <c r="AA447" s="80">
        <v>0.77400000000000002</v>
      </c>
      <c r="AB447" s="78"/>
      <c r="AC447" s="78"/>
      <c r="AD447" s="78"/>
      <c r="AE447" s="78"/>
      <c r="AF447" s="78"/>
      <c r="AG447" s="78"/>
      <c r="AH447" s="78"/>
      <c r="AI447" s="78"/>
      <c r="AJ447" s="78"/>
      <c r="AK447" s="78"/>
      <c r="AL447" s="78"/>
      <c r="AM447" s="78"/>
      <c r="AN447"/>
    </row>
    <row r="448" spans="1:40" s="3" customFormat="1">
      <c r="A448" s="293"/>
      <c r="B448" s="293"/>
      <c r="C448" s="293"/>
      <c r="D448" s="224" t="s">
        <v>404</v>
      </c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177"/>
      <c r="S448" s="177"/>
      <c r="T448" s="177"/>
      <c r="U448" s="177"/>
      <c r="V448" s="177">
        <f t="shared" ref="V448:Z448" si="619">SUM(V445:V447)</f>
        <v>0</v>
      </c>
      <c r="W448" s="177">
        <f t="shared" si="619"/>
        <v>0</v>
      </c>
      <c r="X448" s="177">
        <f t="shared" si="619"/>
        <v>0</v>
      </c>
      <c r="Y448" s="177">
        <f t="shared" si="619"/>
        <v>9.9390000000000001</v>
      </c>
      <c r="Z448" s="177">
        <f t="shared" si="619"/>
        <v>9.9390000000000001</v>
      </c>
      <c r="AA448" s="177">
        <f>SUM(AA445:AA447)</f>
        <v>9.4160000000000004</v>
      </c>
      <c r="AB448" s="294"/>
      <c r="AC448" s="294"/>
      <c r="AD448" s="294"/>
      <c r="AE448" s="294"/>
      <c r="AF448" s="294"/>
      <c r="AG448" s="294"/>
      <c r="AH448" s="294"/>
      <c r="AI448" s="294"/>
      <c r="AJ448" s="294"/>
      <c r="AK448" s="294"/>
      <c r="AL448" s="294"/>
      <c r="AM448" s="294"/>
    </row>
    <row r="449" spans="1:42" s="3" customFormat="1">
      <c r="A449" s="78"/>
      <c r="B449" s="78"/>
      <c r="C449" s="78"/>
      <c r="D449" s="70" t="s">
        <v>389</v>
      </c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80">
        <v>0</v>
      </c>
      <c r="W449" s="80">
        <v>0</v>
      </c>
      <c r="X449" s="80">
        <v>0</v>
      </c>
      <c r="Y449" s="80">
        <v>-1.07</v>
      </c>
      <c r="Z449" s="80">
        <v>-2.7069999999999999</v>
      </c>
      <c r="AA449" s="80">
        <v>-3.7730000000000001</v>
      </c>
      <c r="AB449" s="78"/>
      <c r="AC449" s="78"/>
      <c r="AD449" s="78"/>
      <c r="AE449" s="78"/>
      <c r="AF449" s="78"/>
      <c r="AG449" s="78"/>
      <c r="AH449" s="78"/>
      <c r="AI449" s="78"/>
      <c r="AJ449" s="78"/>
      <c r="AK449" s="78"/>
      <c r="AL449" s="78"/>
      <c r="AM449" s="78"/>
      <c r="AN449"/>
    </row>
    <row r="450" spans="1:42" s="3" customFormat="1">
      <c r="A450" s="293"/>
      <c r="B450" s="293"/>
      <c r="C450" s="293"/>
      <c r="D450" s="224" t="s">
        <v>405</v>
      </c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177"/>
      <c r="S450" s="177"/>
      <c r="T450" s="177"/>
      <c r="U450" s="177"/>
      <c r="V450" s="177">
        <f t="shared" ref="V450:AA450" si="620">SUM(V448:V449)</f>
        <v>0</v>
      </c>
      <c r="W450" s="177">
        <f t="shared" si="620"/>
        <v>0</v>
      </c>
      <c r="X450" s="177">
        <f t="shared" si="620"/>
        <v>0</v>
      </c>
      <c r="Y450" s="177">
        <f t="shared" si="620"/>
        <v>8.8689999999999998</v>
      </c>
      <c r="Z450" s="177">
        <f t="shared" si="620"/>
        <v>7.2320000000000002</v>
      </c>
      <c r="AA450" s="177">
        <f t="shared" si="620"/>
        <v>5.6430000000000007</v>
      </c>
      <c r="AB450" s="295">
        <f>AB455</f>
        <v>4.0398749999999994</v>
      </c>
      <c r="AC450" s="295">
        <f t="shared" ref="AC450:AM450" si="621">AC455</f>
        <v>2.4367499999999991</v>
      </c>
      <c r="AD450" s="295">
        <f t="shared" si="621"/>
        <v>0.83362499999999917</v>
      </c>
      <c r="AE450" s="295">
        <f t="shared" si="621"/>
        <v>0</v>
      </c>
      <c r="AF450" s="295">
        <f t="shared" si="621"/>
        <v>0</v>
      </c>
      <c r="AG450" s="295">
        <f t="shared" si="621"/>
        <v>0</v>
      </c>
      <c r="AH450" s="295">
        <f t="shared" si="621"/>
        <v>0</v>
      </c>
      <c r="AI450" s="295">
        <f t="shared" si="621"/>
        <v>0</v>
      </c>
      <c r="AJ450" s="295">
        <f t="shared" si="621"/>
        <v>0</v>
      </c>
      <c r="AK450" s="295">
        <f t="shared" si="621"/>
        <v>0</v>
      </c>
      <c r="AL450" s="295">
        <f t="shared" si="621"/>
        <v>0</v>
      </c>
      <c r="AM450" s="295">
        <f t="shared" si="621"/>
        <v>0</v>
      </c>
    </row>
    <row r="451" spans="1:42" s="3" customFormat="1">
      <c r="A451" s="78"/>
      <c r="B451" s="78"/>
      <c r="C451" s="78"/>
      <c r="D451" s="70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8"/>
      <c r="AD451" s="78"/>
      <c r="AE451" s="78"/>
      <c r="AF451" s="78"/>
      <c r="AG451" s="78"/>
      <c r="AH451" s="78"/>
      <c r="AI451" s="78"/>
      <c r="AJ451" s="78"/>
      <c r="AK451" s="78"/>
      <c r="AL451" s="78"/>
      <c r="AM451" s="78"/>
      <c r="AN451"/>
    </row>
    <row r="452" spans="1:42" s="3" customFormat="1">
      <c r="A452" s="293"/>
      <c r="B452" s="293"/>
      <c r="C452" s="293"/>
      <c r="D452" s="297" t="s">
        <v>406</v>
      </c>
      <c r="E452" s="293"/>
      <c r="F452" s="293"/>
      <c r="G452" s="293"/>
      <c r="H452" s="293"/>
      <c r="I452" s="293"/>
      <c r="J452" s="293"/>
      <c r="K452" s="293"/>
      <c r="L452" s="293"/>
      <c r="M452" s="293"/>
      <c r="N452" s="293"/>
      <c r="O452" s="293"/>
      <c r="P452" s="293"/>
      <c r="Q452" s="293"/>
      <c r="R452" s="298"/>
      <c r="S452" s="298"/>
      <c r="T452" s="298"/>
      <c r="U452" s="298"/>
      <c r="V452" s="298">
        <f t="shared" ref="V452:Z452" si="622">U455</f>
        <v>0</v>
      </c>
      <c r="W452" s="298">
        <f t="shared" si="622"/>
        <v>0</v>
      </c>
      <c r="X452" s="298">
        <f t="shared" si="622"/>
        <v>0</v>
      </c>
      <c r="Y452" s="298">
        <f t="shared" si="622"/>
        <v>0</v>
      </c>
      <c r="Z452" s="298">
        <f t="shared" si="622"/>
        <v>8.8689999999999998</v>
      </c>
      <c r="AA452" s="298">
        <f>Z455</f>
        <v>7.2320000000000002</v>
      </c>
      <c r="AB452" s="298">
        <f t="shared" ref="AB452:AM452" si="623">AA455</f>
        <v>5.6429999999999998</v>
      </c>
      <c r="AC452" s="298">
        <f t="shared" si="623"/>
        <v>4.0398749999999994</v>
      </c>
      <c r="AD452" s="298">
        <f t="shared" si="623"/>
        <v>2.4367499999999991</v>
      </c>
      <c r="AE452" s="298">
        <f t="shared" si="623"/>
        <v>0.83362499999999917</v>
      </c>
      <c r="AF452" s="298">
        <f t="shared" si="623"/>
        <v>0</v>
      </c>
      <c r="AG452" s="298">
        <f t="shared" si="623"/>
        <v>0</v>
      </c>
      <c r="AH452" s="298">
        <f t="shared" si="623"/>
        <v>0</v>
      </c>
      <c r="AI452" s="298">
        <f t="shared" si="623"/>
        <v>0</v>
      </c>
      <c r="AJ452" s="298">
        <f t="shared" si="623"/>
        <v>0</v>
      </c>
      <c r="AK452" s="298">
        <f t="shared" si="623"/>
        <v>0</v>
      </c>
      <c r="AL452" s="298">
        <f t="shared" si="623"/>
        <v>0</v>
      </c>
      <c r="AM452" s="298">
        <f t="shared" si="623"/>
        <v>0</v>
      </c>
    </row>
    <row r="453" spans="1:42" s="3" customFormat="1">
      <c r="A453" s="78"/>
      <c r="B453" s="78"/>
      <c r="C453" s="78"/>
      <c r="D453" s="70" t="s">
        <v>311</v>
      </c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5"/>
      <c r="S453" s="75"/>
      <c r="T453" s="75"/>
      <c r="U453" s="75"/>
      <c r="V453" s="75">
        <f t="shared" ref="V453:Y453" si="624">V455-V454-V452</f>
        <v>0</v>
      </c>
      <c r="W453" s="75">
        <f t="shared" si="624"/>
        <v>0</v>
      </c>
      <c r="X453" s="75">
        <f t="shared" si="624"/>
        <v>0</v>
      </c>
      <c r="Y453" s="75">
        <f t="shared" si="624"/>
        <v>9.9689999999999994</v>
      </c>
      <c r="Z453" s="75">
        <f>Z455-Z454-Z452</f>
        <v>-3.6999999999999034E-2</v>
      </c>
      <c r="AA453" s="75">
        <f>AA455-AA454-AA452</f>
        <v>1.1000000000000121E-2</v>
      </c>
      <c r="AB453" s="80">
        <v>0</v>
      </c>
      <c r="AC453" s="80">
        <v>0</v>
      </c>
      <c r="AD453" s="80">
        <v>0</v>
      </c>
      <c r="AE453" s="80">
        <v>0</v>
      </c>
      <c r="AF453" s="80">
        <v>0</v>
      </c>
      <c r="AG453" s="80">
        <v>0</v>
      </c>
      <c r="AH453" s="80">
        <v>0</v>
      </c>
      <c r="AI453" s="80">
        <v>0</v>
      </c>
      <c r="AJ453" s="80">
        <v>0</v>
      </c>
      <c r="AK453" s="80">
        <v>0</v>
      </c>
      <c r="AL453" s="80">
        <v>0</v>
      </c>
      <c r="AM453" s="80">
        <v>0</v>
      </c>
      <c r="AN453"/>
    </row>
    <row r="454" spans="1:42" s="3" customFormat="1">
      <c r="A454" s="78"/>
      <c r="B454" s="78"/>
      <c r="C454" s="78"/>
      <c r="D454" s="70" t="s">
        <v>397</v>
      </c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80">
        <v>0</v>
      </c>
      <c r="W454" s="80">
        <v>0</v>
      </c>
      <c r="X454" s="80">
        <v>0</v>
      </c>
      <c r="Y454" s="80">
        <v>-1.1000000000000001</v>
      </c>
      <c r="Z454" s="80">
        <v>-1.6</v>
      </c>
      <c r="AA454" s="80">
        <v>-1.6</v>
      </c>
      <c r="AB454" s="75">
        <f>IFERROR(MAX(-AB452/AB456,-AB452),0)</f>
        <v>-1.6031250000000001</v>
      </c>
      <c r="AC454" s="75">
        <f t="shared" ref="AC454:AM454" si="625">IFERROR(MAX(-AC452/AC456,-AC452),0)</f>
        <v>-1.6031250000000001</v>
      </c>
      <c r="AD454" s="75">
        <f t="shared" si="625"/>
        <v>-1.6031249999999999</v>
      </c>
      <c r="AE454" s="75">
        <f t="shared" si="625"/>
        <v>-0.83362499999999917</v>
      </c>
      <c r="AF454" s="75">
        <f t="shared" si="625"/>
        <v>0</v>
      </c>
      <c r="AG454" s="75">
        <f t="shared" si="625"/>
        <v>0</v>
      </c>
      <c r="AH454" s="75">
        <f t="shared" si="625"/>
        <v>0</v>
      </c>
      <c r="AI454" s="75">
        <f t="shared" si="625"/>
        <v>0</v>
      </c>
      <c r="AJ454" s="75">
        <f t="shared" si="625"/>
        <v>0</v>
      </c>
      <c r="AK454" s="75">
        <f t="shared" si="625"/>
        <v>0</v>
      </c>
      <c r="AL454" s="75">
        <f t="shared" si="625"/>
        <v>0</v>
      </c>
      <c r="AM454" s="75">
        <f t="shared" si="625"/>
        <v>0</v>
      </c>
      <c r="AN454"/>
    </row>
    <row r="455" spans="1:42" s="3" customFormat="1">
      <c r="A455" s="293"/>
      <c r="B455" s="293"/>
      <c r="C455" s="293"/>
      <c r="D455" s="207" t="s">
        <v>420</v>
      </c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177"/>
      <c r="S455" s="177"/>
      <c r="T455" s="177"/>
      <c r="U455" s="177"/>
      <c r="V455" s="177">
        <f t="shared" ref="V455:AA455" si="626">V277</f>
        <v>0</v>
      </c>
      <c r="W455" s="177">
        <f t="shared" si="626"/>
        <v>0</v>
      </c>
      <c r="X455" s="177">
        <f t="shared" si="626"/>
        <v>0</v>
      </c>
      <c r="Y455" s="177">
        <f t="shared" si="626"/>
        <v>8.8689999999999998</v>
      </c>
      <c r="Z455" s="177">
        <f t="shared" si="626"/>
        <v>7.2320000000000002</v>
      </c>
      <c r="AA455" s="177">
        <f t="shared" si="626"/>
        <v>5.6429999999999998</v>
      </c>
      <c r="AB455" s="295">
        <f>SUM(AB452:AB454)</f>
        <v>4.0398749999999994</v>
      </c>
      <c r="AC455" s="295">
        <f t="shared" ref="AC455:AM455" si="627">SUM(AC452:AC454)</f>
        <v>2.4367499999999991</v>
      </c>
      <c r="AD455" s="295">
        <f t="shared" si="627"/>
        <v>0.83362499999999917</v>
      </c>
      <c r="AE455" s="295">
        <f t="shared" si="627"/>
        <v>0</v>
      </c>
      <c r="AF455" s="295">
        <f t="shared" si="627"/>
        <v>0</v>
      </c>
      <c r="AG455" s="295">
        <f t="shared" si="627"/>
        <v>0</v>
      </c>
      <c r="AH455" s="295">
        <f t="shared" si="627"/>
        <v>0</v>
      </c>
      <c r="AI455" s="295">
        <f t="shared" si="627"/>
        <v>0</v>
      </c>
      <c r="AJ455" s="295">
        <f t="shared" si="627"/>
        <v>0</v>
      </c>
      <c r="AK455" s="295">
        <f t="shared" si="627"/>
        <v>0</v>
      </c>
      <c r="AL455" s="295">
        <f t="shared" si="627"/>
        <v>0</v>
      </c>
      <c r="AM455" s="295">
        <f t="shared" si="627"/>
        <v>0</v>
      </c>
    </row>
    <row r="456" spans="1:42" s="3" customFormat="1">
      <c r="A456" s="78"/>
      <c r="B456" s="78"/>
      <c r="C456" s="78"/>
      <c r="D456" s="70" t="s">
        <v>399</v>
      </c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87"/>
      <c r="S456" s="87"/>
      <c r="T456" s="87"/>
      <c r="U456" s="87"/>
      <c r="V456" s="87"/>
      <c r="W456" s="87"/>
      <c r="X456" s="87"/>
      <c r="Y456" s="87"/>
      <c r="Z456" s="87">
        <f t="shared" ref="Z456" si="628">-Z452/Z454</f>
        <v>5.5431249999999999</v>
      </c>
      <c r="AA456" s="87">
        <f>-AA452/AA454</f>
        <v>4.5199999999999996</v>
      </c>
      <c r="AB456" s="103">
        <f>MAX(AA456-1,0)</f>
        <v>3.5199999999999996</v>
      </c>
      <c r="AC456" s="103">
        <f t="shared" ref="AC456:AM456" si="629">MAX(AB456-1,0)</f>
        <v>2.5199999999999996</v>
      </c>
      <c r="AD456" s="103">
        <f t="shared" si="629"/>
        <v>1.5199999999999996</v>
      </c>
      <c r="AE456" s="103">
        <f t="shared" si="629"/>
        <v>0.51999999999999957</v>
      </c>
      <c r="AF456" s="103">
        <f t="shared" si="629"/>
        <v>0</v>
      </c>
      <c r="AG456" s="103">
        <f t="shared" si="629"/>
        <v>0</v>
      </c>
      <c r="AH456" s="103">
        <f t="shared" si="629"/>
        <v>0</v>
      </c>
      <c r="AI456" s="103">
        <f t="shared" si="629"/>
        <v>0</v>
      </c>
      <c r="AJ456" s="103">
        <f t="shared" si="629"/>
        <v>0</v>
      </c>
      <c r="AK456" s="103">
        <f t="shared" si="629"/>
        <v>0</v>
      </c>
      <c r="AL456" s="103">
        <f t="shared" si="629"/>
        <v>0</v>
      </c>
      <c r="AM456" s="103">
        <f t="shared" si="629"/>
        <v>0</v>
      </c>
      <c r="AN456"/>
    </row>
    <row r="457" spans="1:42" s="3" customFormat="1">
      <c r="A457" s="78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  <c r="AC457" s="78"/>
      <c r="AD457" s="78"/>
      <c r="AE457" s="78"/>
      <c r="AF457" s="78"/>
      <c r="AG457" s="78"/>
      <c r="AH457" s="78"/>
      <c r="AI457" s="78"/>
      <c r="AJ457" s="78"/>
      <c r="AK457" s="78"/>
      <c r="AL457" s="78"/>
      <c r="AM457" s="78"/>
      <c r="AN457"/>
    </row>
    <row r="458" spans="1:42" s="3" customFormat="1">
      <c r="A458" s="78"/>
      <c r="B458" s="78"/>
      <c r="C458" s="78"/>
      <c r="D458" s="297" t="s">
        <v>407</v>
      </c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5">
        <f t="shared" ref="V458:AM458" si="630">-V454-V436</f>
        <v>2.8</v>
      </c>
      <c r="W458" s="75">
        <f t="shared" si="630"/>
        <v>4.7</v>
      </c>
      <c r="X458" s="75">
        <f t="shared" si="630"/>
        <v>11.6</v>
      </c>
      <c r="Y458" s="75">
        <f t="shared" si="630"/>
        <v>23.6</v>
      </c>
      <c r="Z458" s="75">
        <f t="shared" si="630"/>
        <v>41.2</v>
      </c>
      <c r="AA458" s="75">
        <f t="shared" si="630"/>
        <v>73.8</v>
      </c>
      <c r="AB458" s="75">
        <f t="shared" si="630"/>
        <v>122.82525833333335</v>
      </c>
      <c r="AC458" s="75">
        <f t="shared" si="630"/>
        <v>167.11348549505175</v>
      </c>
      <c r="AD458" s="75">
        <f t="shared" si="630"/>
        <v>219.14302041927954</v>
      </c>
      <c r="AE458" s="75">
        <f t="shared" ca="1" si="630"/>
        <v>261.75920558527469</v>
      </c>
      <c r="AF458" s="75">
        <f t="shared" ca="1" si="630"/>
        <v>306.45156028706413</v>
      </c>
      <c r="AG458" s="75">
        <f t="shared" ca="1" si="630"/>
        <v>353.98318791166622</v>
      </c>
      <c r="AH458" s="75">
        <f t="shared" ca="1" si="630"/>
        <v>408.61110425297369</v>
      </c>
      <c r="AI458" s="75">
        <f t="shared" ca="1" si="630"/>
        <v>463.70684453856592</v>
      </c>
      <c r="AJ458" s="75">
        <f t="shared" ca="1" si="630"/>
        <v>520.95636888405625</v>
      </c>
      <c r="AK458" s="75">
        <f t="shared" ca="1" si="630"/>
        <v>580.66573027528307</v>
      </c>
      <c r="AL458" s="75">
        <f t="shared" ca="1" si="630"/>
        <v>633.84409844640163</v>
      </c>
      <c r="AM458" s="75">
        <f t="shared" ca="1" si="630"/>
        <v>667.55992097875412</v>
      </c>
      <c r="AN458"/>
    </row>
    <row r="459" spans="1:42" s="3" customFormat="1">
      <c r="A459" s="78"/>
      <c r="B459" s="78"/>
      <c r="C459" s="78"/>
      <c r="D459" s="297" t="s">
        <v>408</v>
      </c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5">
        <f t="shared" ref="V459:AA459" si="631">V236</f>
        <v>2.8</v>
      </c>
      <c r="W459" s="75">
        <f t="shared" si="631"/>
        <v>4.6580000000000004</v>
      </c>
      <c r="X459" s="75">
        <f t="shared" si="631"/>
        <v>11.568</v>
      </c>
      <c r="Y459" s="75">
        <f t="shared" si="631"/>
        <v>23.539000000000001</v>
      </c>
      <c r="Z459" s="75">
        <f t="shared" si="631"/>
        <v>41.265000000000001</v>
      </c>
      <c r="AA459" s="75">
        <f t="shared" si="631"/>
        <v>73.790999999999997</v>
      </c>
      <c r="AB459" s="304">
        <f>AB458+AB460</f>
        <v>122.82525833333335</v>
      </c>
      <c r="AC459" s="304">
        <f t="shared" ref="AC459:AM459" si="632">AC458+AC460</f>
        <v>167.11348549505175</v>
      </c>
      <c r="AD459" s="304">
        <f t="shared" si="632"/>
        <v>219.14302041927954</v>
      </c>
      <c r="AE459" s="304">
        <f t="shared" ca="1" si="632"/>
        <v>261.75920558527469</v>
      </c>
      <c r="AF459" s="304">
        <f t="shared" ca="1" si="632"/>
        <v>306.45156028706413</v>
      </c>
      <c r="AG459" s="304">
        <f t="shared" ca="1" si="632"/>
        <v>353.98318791166622</v>
      </c>
      <c r="AH459" s="304">
        <f t="shared" ca="1" si="632"/>
        <v>408.61110425297369</v>
      </c>
      <c r="AI459" s="304">
        <f t="shared" ca="1" si="632"/>
        <v>463.70684453856592</v>
      </c>
      <c r="AJ459" s="304">
        <f t="shared" ca="1" si="632"/>
        <v>520.95636888405625</v>
      </c>
      <c r="AK459" s="304">
        <f t="shared" ca="1" si="632"/>
        <v>580.66573027528307</v>
      </c>
      <c r="AL459" s="304">
        <f t="shared" ca="1" si="632"/>
        <v>633.84409844640163</v>
      </c>
      <c r="AM459" s="304">
        <f t="shared" ca="1" si="632"/>
        <v>667.55992097875412</v>
      </c>
      <c r="AN459"/>
    </row>
    <row r="460" spans="1:42" s="3" customFormat="1">
      <c r="A460" s="78"/>
      <c r="B460" s="78"/>
      <c r="C460" s="78"/>
      <c r="D460" s="70" t="s">
        <v>409</v>
      </c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87">
        <f t="shared" ref="V460:Z460" si="633">V458-V459</f>
        <v>0</v>
      </c>
      <c r="W460" s="87">
        <f t="shared" si="633"/>
        <v>4.1999999999999815E-2</v>
      </c>
      <c r="X460" s="87">
        <f t="shared" si="633"/>
        <v>3.2000000000000028E-2</v>
      </c>
      <c r="Y460" s="87">
        <f t="shared" si="633"/>
        <v>6.0999999999999943E-2</v>
      </c>
      <c r="Z460" s="87">
        <f t="shared" si="633"/>
        <v>-6.4999999999997726E-2</v>
      </c>
      <c r="AA460" s="87">
        <f>AA458-AA459</f>
        <v>9.0000000000003411E-3</v>
      </c>
      <c r="AB460" s="80">
        <v>0</v>
      </c>
      <c r="AC460" s="80">
        <v>0</v>
      </c>
      <c r="AD460" s="80">
        <v>0</v>
      </c>
      <c r="AE460" s="80">
        <v>0</v>
      </c>
      <c r="AF460" s="80">
        <v>0</v>
      </c>
      <c r="AG460" s="80">
        <v>0</v>
      </c>
      <c r="AH460" s="80">
        <v>0</v>
      </c>
      <c r="AI460" s="80">
        <v>0</v>
      </c>
      <c r="AJ460" s="80">
        <v>0</v>
      </c>
      <c r="AK460" s="80">
        <v>0</v>
      </c>
      <c r="AL460" s="80">
        <v>0</v>
      </c>
      <c r="AM460" s="80">
        <v>0</v>
      </c>
      <c r="AN460"/>
    </row>
    <row r="461" spans="1:42" s="3" customFormat="1">
      <c r="A461" s="78"/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  <c r="AC461" s="78"/>
      <c r="AD461" s="78"/>
      <c r="AE461" s="78"/>
      <c r="AF461" s="78"/>
      <c r="AG461" s="78"/>
      <c r="AH461" s="78"/>
      <c r="AI461" s="78"/>
      <c r="AJ461" s="78"/>
      <c r="AK461" s="78"/>
      <c r="AL461" s="78"/>
      <c r="AM461" s="78"/>
      <c r="AN461"/>
    </row>
    <row r="462" spans="1:42" s="3" customFormat="1">
      <c r="A462" s="117"/>
      <c r="D462" s="3" t="s">
        <v>410</v>
      </c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>
        <f>+Y465</f>
        <v>84.063437052879024</v>
      </c>
      <c r="AA462" s="64">
        <f>+Z465</f>
        <v>123.42</v>
      </c>
      <c r="AB462" s="64">
        <f t="shared" ref="AB462:AM462" si="634">+AA465</f>
        <v>155.464</v>
      </c>
      <c r="AC462" s="64">
        <f t="shared" si="634"/>
        <v>175.02258315621731</v>
      </c>
      <c r="AD462" s="64">
        <f t="shared" si="634"/>
        <v>197.41137872669543</v>
      </c>
      <c r="AE462" s="64">
        <f t="shared" ca="1" si="634"/>
        <v>217.21325761361757</v>
      </c>
      <c r="AF462" s="64">
        <f t="shared" ca="1" si="634"/>
        <v>232.12849705338502</v>
      </c>
      <c r="AG462" s="64">
        <f t="shared" ca="1" si="634"/>
        <v>238.36252304675176</v>
      </c>
      <c r="AH462" s="64">
        <f t="shared" ca="1" si="634"/>
        <v>241.60063689808268</v>
      </c>
      <c r="AI462" s="64">
        <f t="shared" ca="1" si="634"/>
        <v>237.03450467308963</v>
      </c>
      <c r="AJ462" s="64">
        <f t="shared" ca="1" si="634"/>
        <v>225.61242798748097</v>
      </c>
      <c r="AK462" s="64">
        <f t="shared" ca="1" si="634"/>
        <v>207.28252772562064</v>
      </c>
      <c r="AL462" s="64">
        <f t="shared" ca="1" si="634"/>
        <v>221.84543445624058</v>
      </c>
      <c r="AM462" s="64">
        <f t="shared" ca="1" si="634"/>
        <v>233.64597234256394</v>
      </c>
      <c r="AP462" s="76"/>
    </row>
    <row r="463" spans="1:42">
      <c r="B463"/>
      <c r="D463" s="70" t="s">
        <v>310</v>
      </c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7">
        <f>-Z469</f>
        <v>-15.136671287558162</v>
      </c>
      <c r="AA463" s="7">
        <f t="shared" ref="AA463:AM463" si="635">-AA469</f>
        <v>-27.924139999999998</v>
      </c>
      <c r="AB463" s="7">
        <f t="shared" si="635"/>
        <v>-31.0928</v>
      </c>
      <c r="AC463" s="7">
        <f t="shared" si="635"/>
        <v>-35.004516631243462</v>
      </c>
      <c r="AD463" s="7">
        <f t="shared" si="635"/>
        <v>-39.482275745339088</v>
      </c>
      <c r="AE463" s="7">
        <f t="shared" ca="1" si="635"/>
        <v>-43.442651522723516</v>
      </c>
      <c r="AF463" s="7">
        <f t="shared" ca="1" si="635"/>
        <v>-46.425699410677005</v>
      </c>
      <c r="AG463" s="7">
        <f t="shared" ca="1" si="635"/>
        <v>-47.672504609350355</v>
      </c>
      <c r="AH463" s="7">
        <f t="shared" ca="1" si="635"/>
        <v>-48.320127379616537</v>
      </c>
      <c r="AI463" s="7">
        <f t="shared" ca="1" si="635"/>
        <v>-47.40690093461793</v>
      </c>
      <c r="AJ463" s="7">
        <f t="shared" ca="1" si="635"/>
        <v>-45.122485597496194</v>
      </c>
      <c r="AK463" s="7">
        <f t="shared" ca="1" si="635"/>
        <v>-41.456505545124131</v>
      </c>
      <c r="AL463" s="7">
        <f t="shared" ca="1" si="635"/>
        <v>-44.369086891248116</v>
      </c>
      <c r="AM463" s="7">
        <f t="shared" ca="1" si="635"/>
        <v>-46.729194468512787</v>
      </c>
      <c r="AP463" s="1"/>
    </row>
    <row r="464" spans="1:42">
      <c r="B464"/>
      <c r="D464" s="70" t="s">
        <v>311</v>
      </c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>
        <f>+Z465-Z463-Z462</f>
        <v>54.49323423467915</v>
      </c>
      <c r="AA464" s="7">
        <f>+AA465-AA463-AA462</f>
        <v>59.968139999999991</v>
      </c>
      <c r="AB464" s="7">
        <f t="shared" ref="AB464:AM464" si="636">+AB465-AB463-AB462</f>
        <v>50.651383156217321</v>
      </c>
      <c r="AC464" s="7">
        <f t="shared" si="636"/>
        <v>57.393312201721585</v>
      </c>
      <c r="AD464" s="7">
        <f t="shared" ca="1" si="636"/>
        <v>59.28415463226122</v>
      </c>
      <c r="AE464" s="7">
        <f t="shared" ca="1" si="636"/>
        <v>58.357890962490984</v>
      </c>
      <c r="AF464" s="7">
        <f t="shared" ca="1" si="636"/>
        <v>52.659725404043769</v>
      </c>
      <c r="AG464" s="7">
        <f t="shared" ca="1" si="636"/>
        <v>50.910618460681263</v>
      </c>
      <c r="AH464" s="7">
        <f t="shared" ca="1" si="636"/>
        <v>43.753995154623482</v>
      </c>
      <c r="AI464" s="7">
        <f t="shared" ca="1" si="636"/>
        <v>35.984824249009279</v>
      </c>
      <c r="AJ464" s="7">
        <f t="shared" ca="1" si="636"/>
        <v>26.792585335635863</v>
      </c>
      <c r="AK464" s="7">
        <f t="shared" ca="1" si="636"/>
        <v>56.01941227574406</v>
      </c>
      <c r="AL464" s="7">
        <f t="shared" ca="1" si="636"/>
        <v>56.169624777571471</v>
      </c>
      <c r="AM464" s="7">
        <f t="shared" ca="1" si="636"/>
        <v>59.153136875634686</v>
      </c>
      <c r="AP464" s="1"/>
    </row>
    <row r="465" spans="1:42" s="3" customFormat="1">
      <c r="A465" s="117"/>
      <c r="D465" s="207" t="s">
        <v>411</v>
      </c>
      <c r="E465" s="2"/>
      <c r="F465" s="2"/>
      <c r="G465" s="2"/>
      <c r="H465" s="2"/>
      <c r="I465" s="2"/>
      <c r="J465" s="8"/>
      <c r="K465" s="8"/>
      <c r="L465" s="177"/>
      <c r="M465" s="177"/>
      <c r="N465" s="177"/>
      <c r="O465" s="177"/>
      <c r="P465" s="177"/>
      <c r="Q465" s="177"/>
      <c r="R465" s="177"/>
      <c r="S465" s="177"/>
      <c r="T465" s="177"/>
      <c r="U465" s="177"/>
      <c r="V465" s="177"/>
      <c r="W465" s="177"/>
      <c r="X465" s="177"/>
      <c r="Y465" s="101">
        <f>Y466*Y438</f>
        <v>84.063437052879024</v>
      </c>
      <c r="Z465" s="177">
        <f>Z280</f>
        <v>123.42</v>
      </c>
      <c r="AA465" s="177">
        <f>AA280</f>
        <v>155.464</v>
      </c>
      <c r="AB465" s="101">
        <f>AB466*AB438</f>
        <v>175.02258315621731</v>
      </c>
      <c r="AC465" s="101">
        <f t="shared" ref="AC465:AM465" si="637">AC466*AC438</f>
        <v>197.41137872669543</v>
      </c>
      <c r="AD465" s="101">
        <f t="shared" ca="1" si="637"/>
        <v>217.21325761361757</v>
      </c>
      <c r="AE465" s="101">
        <f t="shared" ca="1" si="637"/>
        <v>232.12849705338502</v>
      </c>
      <c r="AF465" s="101">
        <f t="shared" ca="1" si="637"/>
        <v>238.36252304675176</v>
      </c>
      <c r="AG465" s="101">
        <f t="shared" ca="1" si="637"/>
        <v>241.60063689808268</v>
      </c>
      <c r="AH465" s="101">
        <f t="shared" ca="1" si="637"/>
        <v>237.03450467308963</v>
      </c>
      <c r="AI465" s="101">
        <f t="shared" ca="1" si="637"/>
        <v>225.61242798748097</v>
      </c>
      <c r="AJ465" s="101">
        <f t="shared" ca="1" si="637"/>
        <v>207.28252772562064</v>
      </c>
      <c r="AK465" s="101">
        <f t="shared" ca="1" si="637"/>
        <v>221.84543445624058</v>
      </c>
      <c r="AL465" s="101">
        <f t="shared" ca="1" si="637"/>
        <v>233.64597234256394</v>
      </c>
      <c r="AM465" s="101">
        <f t="shared" ca="1" si="637"/>
        <v>246.06991474968584</v>
      </c>
      <c r="AN465"/>
    </row>
    <row r="466" spans="1:42">
      <c r="B466"/>
      <c r="D466" s="70" t="s">
        <v>412</v>
      </c>
      <c r="J466" s="7"/>
      <c r="K466" s="7"/>
      <c r="L466" s="75"/>
      <c r="M466" s="75"/>
      <c r="N466" s="75"/>
      <c r="O466" s="75"/>
      <c r="P466" s="75"/>
      <c r="Q466" s="75"/>
      <c r="R466" s="218"/>
      <c r="S466" s="218"/>
      <c r="T466" s="218"/>
      <c r="U466" s="218"/>
      <c r="V466" s="218"/>
      <c r="W466" s="218"/>
      <c r="X466" s="218"/>
      <c r="Y466" s="77">
        <f>Z466-AA466+Z466</f>
        <v>0.28319539229305796</v>
      </c>
      <c r="Z466" s="218">
        <f>Z465/Z438</f>
        <v>0.22709583400034225</v>
      </c>
      <c r="AA466" s="218">
        <f>AA465/AA438</f>
        <v>0.17099627570762654</v>
      </c>
      <c r="AB466" s="77">
        <f>AA466-0.03</f>
        <v>0.14099627570762654</v>
      </c>
      <c r="AC466" s="77">
        <f>AB466-0.02</f>
        <v>0.12099627570762654</v>
      </c>
      <c r="AD466" s="77">
        <f>MAX(0.05,AC466-0.01)</f>
        <v>0.11099627570762655</v>
      </c>
      <c r="AE466" s="77">
        <f t="shared" ref="AE466:AM466" si="638">MAX(0.05,AD466-0.01)</f>
        <v>0.10099627570762655</v>
      </c>
      <c r="AF466" s="77">
        <f t="shared" si="638"/>
        <v>9.0996275707626556E-2</v>
      </c>
      <c r="AG466" s="77">
        <f t="shared" si="638"/>
        <v>8.0996275707626561E-2</v>
      </c>
      <c r="AH466" s="77">
        <f t="shared" si="638"/>
        <v>7.0996275707626566E-2</v>
      </c>
      <c r="AI466" s="77">
        <f t="shared" si="638"/>
        <v>6.0996275707626564E-2</v>
      </c>
      <c r="AJ466" s="77">
        <f t="shared" si="638"/>
        <v>5.0996275707626562E-2</v>
      </c>
      <c r="AK466" s="77">
        <f t="shared" si="638"/>
        <v>0.05</v>
      </c>
      <c r="AL466" s="77">
        <f t="shared" si="638"/>
        <v>0.05</v>
      </c>
      <c r="AM466" s="77">
        <f t="shared" si="638"/>
        <v>0.05</v>
      </c>
    </row>
    <row r="467" spans="1:42">
      <c r="B467"/>
      <c r="D467" s="70" t="s">
        <v>413</v>
      </c>
      <c r="J467" s="7"/>
      <c r="K467" s="7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41">
        <f t="shared" ref="Z467:AM467" si="639">AVERAGE(Z465,Z462)/Z204</f>
        <v>2.6331080446397447E-2</v>
      </c>
      <c r="AA467" s="41">
        <f t="shared" si="639"/>
        <v>2.4960239431564835E-2</v>
      </c>
      <c r="AB467" s="41">
        <f t="shared" si="639"/>
        <v>1.6972568656279569E-2</v>
      </c>
      <c r="AC467" s="41">
        <f t="shared" si="639"/>
        <v>1.3410870509337669E-2</v>
      </c>
      <c r="AD467" s="41">
        <f t="shared" ca="1" si="639"/>
        <v>1.165305701217715E-2</v>
      </c>
      <c r="AE467" s="41">
        <f t="shared" ca="1" si="639"/>
        <v>1.026391342149675E-2</v>
      </c>
      <c r="AF467" s="41">
        <f t="shared" ca="1" si="639"/>
        <v>8.980633791705021E-3</v>
      </c>
      <c r="AG467" s="41">
        <f t="shared" ca="1" si="639"/>
        <v>7.9246686800049215E-3</v>
      </c>
      <c r="AH467" s="41">
        <f t="shared" ca="1" si="639"/>
        <v>6.9192797429905219E-3</v>
      </c>
      <c r="AI467" s="41">
        <f t="shared" ca="1" si="639"/>
        <v>5.9162752750619883E-3</v>
      </c>
      <c r="AJ467" s="41">
        <f t="shared" ca="1" si="639"/>
        <v>4.9367683775397063E-3</v>
      </c>
      <c r="AK467" s="41">
        <f t="shared" ca="1" si="639"/>
        <v>4.3935630262643887E-3</v>
      </c>
      <c r="AL467" s="41">
        <f t="shared" ca="1" si="639"/>
        <v>4.3393882309683491E-3</v>
      </c>
      <c r="AM467" s="41">
        <f t="shared" ca="1" si="639"/>
        <v>4.2526366341094678E-3</v>
      </c>
    </row>
    <row r="468" spans="1:42" s="3" customFormat="1">
      <c r="A468" s="117"/>
      <c r="D468" s="297"/>
      <c r="J468" s="64"/>
      <c r="K468" s="64"/>
      <c r="L468" s="298"/>
      <c r="M468" s="298"/>
      <c r="N468" s="298"/>
      <c r="O468" s="298"/>
      <c r="P468" s="298"/>
      <c r="Q468" s="298"/>
      <c r="R468" s="298"/>
      <c r="S468" s="298"/>
      <c r="T468" s="298"/>
      <c r="U468" s="298"/>
      <c r="V468" s="298"/>
      <c r="W468" s="298"/>
      <c r="X468" s="298"/>
      <c r="Y468" s="298"/>
      <c r="Z468" s="298"/>
      <c r="AA468" s="298"/>
      <c r="AB468" s="100"/>
      <c r="AC468" s="100"/>
      <c r="AD468" s="100"/>
      <c r="AE468" s="100"/>
      <c r="AF468" s="100"/>
      <c r="AG468" s="100"/>
      <c r="AH468" s="100"/>
      <c r="AI468" s="100"/>
      <c r="AJ468" s="100"/>
      <c r="AK468" s="100"/>
      <c r="AL468" s="100"/>
      <c r="AM468" s="100"/>
      <c r="AN468"/>
    </row>
    <row r="469" spans="1:42">
      <c r="B469"/>
      <c r="D469" s="70" t="s">
        <v>414</v>
      </c>
      <c r="J469" s="7"/>
      <c r="K469" s="7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>
        <f>Z471-Z470</f>
        <v>15.136671287558162</v>
      </c>
      <c r="AA469" s="75">
        <f>AA471-AA470</f>
        <v>27.924139999999998</v>
      </c>
      <c r="AB469" s="69">
        <f>AB462*AB474</f>
        <v>31.0928</v>
      </c>
      <c r="AC469" s="69">
        <f t="shared" ref="AC469:AM469" si="640">AC462*AC474</f>
        <v>35.004516631243462</v>
      </c>
      <c r="AD469" s="69">
        <f t="shared" si="640"/>
        <v>39.482275745339088</v>
      </c>
      <c r="AE469" s="69">
        <f t="shared" ca="1" si="640"/>
        <v>43.442651522723516</v>
      </c>
      <c r="AF469" s="69">
        <f t="shared" ca="1" si="640"/>
        <v>46.425699410677005</v>
      </c>
      <c r="AG469" s="69">
        <f t="shared" ca="1" si="640"/>
        <v>47.672504609350355</v>
      </c>
      <c r="AH469" s="69">
        <f t="shared" ca="1" si="640"/>
        <v>48.320127379616537</v>
      </c>
      <c r="AI469" s="69">
        <f t="shared" ca="1" si="640"/>
        <v>47.40690093461793</v>
      </c>
      <c r="AJ469" s="69">
        <f t="shared" ca="1" si="640"/>
        <v>45.122485597496194</v>
      </c>
      <c r="AK469" s="69">
        <f t="shared" ca="1" si="640"/>
        <v>41.456505545124131</v>
      </c>
      <c r="AL469" s="69">
        <f t="shared" ca="1" si="640"/>
        <v>44.369086891248116</v>
      </c>
      <c r="AM469" s="69">
        <f t="shared" ca="1" si="640"/>
        <v>46.729194468512787</v>
      </c>
    </row>
    <row r="470" spans="1:42">
      <c r="B470"/>
      <c r="D470" s="70" t="s">
        <v>415</v>
      </c>
      <c r="J470" s="7"/>
      <c r="K470" s="7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>
        <f>AVERAGE(Z462)*Z473</f>
        <v>7.0613287124418385</v>
      </c>
      <c r="AA470" s="75">
        <f>AVERAGE(AA462)*AA473</f>
        <v>10.243860000000002</v>
      </c>
      <c r="AB470" s="75">
        <f t="shared" ref="AB470:AM470" si="641">AVERAGE(AB462)*AB473</f>
        <v>12.592584</v>
      </c>
      <c r="AC470" s="75">
        <f t="shared" si="641"/>
        <v>13.826784069341167</v>
      </c>
      <c r="AD470" s="75">
        <f t="shared" si="641"/>
        <v>15.200676161955547</v>
      </c>
      <c r="AE470" s="75">
        <f t="shared" ca="1" si="641"/>
        <v>16.290994321021316</v>
      </c>
      <c r="AF470" s="75">
        <f t="shared" ca="1" si="641"/>
        <v>16.945380284897105</v>
      </c>
      <c r="AG470" s="75">
        <f t="shared" ca="1" si="641"/>
        <v>16.923739136319373</v>
      </c>
      <c r="AH470" s="75">
        <f t="shared" ca="1" si="641"/>
        <v>16.670443945967705</v>
      </c>
      <c r="AI470" s="75">
        <f t="shared" ca="1" si="641"/>
        <v>15.881311813097003</v>
      </c>
      <c r="AJ470" s="75">
        <f t="shared" ca="1" si="641"/>
        <v>14.66480781918626</v>
      </c>
      <c r="AK470" s="75">
        <f t="shared" ca="1" si="641"/>
        <v>13.058799246714097</v>
      </c>
      <c r="AL470" s="75">
        <f t="shared" ca="1" si="641"/>
        <v>13.532571501830672</v>
      </c>
      <c r="AM470" s="75">
        <f t="shared" ca="1" si="641"/>
        <v>14.018758340553836</v>
      </c>
    </row>
    <row r="471" spans="1:42" s="3" customFormat="1">
      <c r="A471" s="117"/>
      <c r="D471" s="207" t="s">
        <v>416</v>
      </c>
      <c r="E471" s="2"/>
      <c r="F471" s="2"/>
      <c r="G471" s="2"/>
      <c r="H471" s="2"/>
      <c r="I471" s="2"/>
      <c r="J471" s="8"/>
      <c r="K471" s="8"/>
      <c r="L471" s="177"/>
      <c r="M471" s="177"/>
      <c r="N471" s="177"/>
      <c r="O471" s="177"/>
      <c r="P471" s="177"/>
      <c r="Q471" s="177"/>
      <c r="R471" s="186"/>
      <c r="S471" s="186"/>
      <c r="T471" s="186"/>
      <c r="U471" s="186"/>
      <c r="V471" s="186"/>
      <c r="W471" s="186"/>
      <c r="X471" s="186"/>
      <c r="Y471" s="186"/>
      <c r="Z471" s="186">
        <v>22.198</v>
      </c>
      <c r="AA471" s="186">
        <v>38.167999999999999</v>
      </c>
      <c r="AB471" s="101">
        <f>SUM(AB469:AB470)</f>
        <v>43.685383999999999</v>
      </c>
      <c r="AC471" s="101">
        <f t="shared" ref="AC471:AM471" si="642">SUM(AC469:AC470)</f>
        <v>48.831300700584627</v>
      </c>
      <c r="AD471" s="101">
        <f t="shared" si="642"/>
        <v>54.682951907294637</v>
      </c>
      <c r="AE471" s="101">
        <f t="shared" ca="1" si="642"/>
        <v>59.733645843744831</v>
      </c>
      <c r="AF471" s="101">
        <f t="shared" ca="1" si="642"/>
        <v>63.37107969557411</v>
      </c>
      <c r="AG471" s="101">
        <f t="shared" ca="1" si="642"/>
        <v>64.596243745669724</v>
      </c>
      <c r="AH471" s="101">
        <f t="shared" ca="1" si="642"/>
        <v>64.990571325584241</v>
      </c>
      <c r="AI471" s="101">
        <f t="shared" ca="1" si="642"/>
        <v>63.288212747714937</v>
      </c>
      <c r="AJ471" s="101">
        <f t="shared" ca="1" si="642"/>
        <v>59.787293416682452</v>
      </c>
      <c r="AK471" s="101">
        <f t="shared" ca="1" si="642"/>
        <v>54.515304791838226</v>
      </c>
      <c r="AL471" s="101">
        <f t="shared" ca="1" si="642"/>
        <v>57.90165839307879</v>
      </c>
      <c r="AM471" s="101">
        <f t="shared" ca="1" si="642"/>
        <v>60.747952809066625</v>
      </c>
      <c r="AN471"/>
    </row>
    <row r="472" spans="1:42" s="3" customFormat="1">
      <c r="A472" s="117"/>
      <c r="D472" s="70" t="s">
        <v>417</v>
      </c>
      <c r="J472" s="64"/>
      <c r="K472" s="64"/>
      <c r="L472" s="298"/>
      <c r="M472" s="298"/>
      <c r="N472" s="298"/>
      <c r="O472" s="298"/>
      <c r="P472" s="298"/>
      <c r="Q472" s="298"/>
      <c r="R472" s="298"/>
      <c r="S472" s="298"/>
      <c r="T472" s="298"/>
      <c r="U472" s="298"/>
      <c r="V472" s="298"/>
      <c r="W472" s="298"/>
      <c r="X472" s="298"/>
      <c r="Y472" s="298"/>
      <c r="Z472" s="41">
        <f t="shared" ref="Z472:AM472" si="643">Z471/SUM(Z27,Z25)</f>
        <v>7.9194851157347951E-2</v>
      </c>
      <c r="AA472" s="41">
        <f t="shared" si="643"/>
        <v>8.9894838489348428E-2</v>
      </c>
      <c r="AB472" s="41">
        <f t="shared" si="643"/>
        <v>7.144257954235618E-2</v>
      </c>
      <c r="AC472" s="41">
        <f t="shared" ca="1" si="643"/>
        <v>6.0349613390930118E-2</v>
      </c>
      <c r="AD472" s="41">
        <f t="shared" ca="1" si="643"/>
        <v>5.7198380313509017E-2</v>
      </c>
      <c r="AE472" s="41">
        <f t="shared" ca="1" si="643"/>
        <v>5.5460454272475375E-2</v>
      </c>
      <c r="AF472" s="41">
        <f t="shared" ca="1" si="643"/>
        <v>5.4157614067056513E-2</v>
      </c>
      <c r="AG472" s="41">
        <f t="shared" ca="1" si="643"/>
        <v>5.3146570724101089E-2</v>
      </c>
      <c r="AH472" s="41">
        <f t="shared" ca="1" si="643"/>
        <v>5.2779017624502954E-2</v>
      </c>
      <c r="AI472" s="41">
        <f t="shared" ca="1" si="643"/>
        <v>5.2099971164084234E-2</v>
      </c>
      <c r="AJ472" s="41">
        <f t="shared" ca="1" si="643"/>
        <v>5.1392052282500697E-2</v>
      </c>
      <c r="AK472" s="41">
        <f t="shared" ca="1" si="643"/>
        <v>5.0740624244139484E-2</v>
      </c>
      <c r="AL472" s="41">
        <f t="shared" ca="1" si="643"/>
        <v>5.0147193924492663E-2</v>
      </c>
      <c r="AM472" s="41">
        <f t="shared" ca="1" si="643"/>
        <v>4.8956812774571423E-2</v>
      </c>
      <c r="AN472"/>
    </row>
    <row r="473" spans="1:42">
      <c r="B473"/>
      <c r="D473" s="70" t="s">
        <v>418</v>
      </c>
      <c r="L473" s="65"/>
      <c r="M473" s="65"/>
      <c r="N473" s="65"/>
      <c r="O473" s="65"/>
      <c r="P473" s="65"/>
      <c r="Q473" s="65"/>
      <c r="R473" s="78"/>
      <c r="S473" s="78"/>
      <c r="T473" s="78"/>
      <c r="U473" s="78"/>
      <c r="V473" s="78"/>
      <c r="W473" s="78"/>
      <c r="X473" s="78"/>
      <c r="Y473" s="78"/>
      <c r="Z473" s="78">
        <v>8.4000000000000005E-2</v>
      </c>
      <c r="AA473" s="78">
        <v>8.3000000000000004E-2</v>
      </c>
      <c r="AB473" s="78">
        <f>MAX(AA473-0.002,0.06)</f>
        <v>8.1000000000000003E-2</v>
      </c>
      <c r="AC473" s="78">
        <f t="shared" ref="AC473:AM473" si="644">MAX(AB473-0.002,0.06)</f>
        <v>7.9000000000000001E-2</v>
      </c>
      <c r="AD473" s="78">
        <f t="shared" si="644"/>
        <v>7.6999999999999999E-2</v>
      </c>
      <c r="AE473" s="78">
        <f t="shared" si="644"/>
        <v>7.4999999999999997E-2</v>
      </c>
      <c r="AF473" s="78">
        <f t="shared" si="644"/>
        <v>7.2999999999999995E-2</v>
      </c>
      <c r="AG473" s="78">
        <f t="shared" si="644"/>
        <v>7.0999999999999994E-2</v>
      </c>
      <c r="AH473" s="78">
        <f t="shared" si="644"/>
        <v>6.8999999999999992E-2</v>
      </c>
      <c r="AI473" s="78">
        <f t="shared" si="644"/>
        <v>6.699999999999999E-2</v>
      </c>
      <c r="AJ473" s="78">
        <f t="shared" si="644"/>
        <v>6.4999999999999988E-2</v>
      </c>
      <c r="AK473" s="78">
        <f t="shared" si="644"/>
        <v>6.2999999999999987E-2</v>
      </c>
      <c r="AL473" s="78">
        <f t="shared" si="644"/>
        <v>6.0999999999999985E-2</v>
      </c>
      <c r="AM473" s="78">
        <f t="shared" si="644"/>
        <v>0.06</v>
      </c>
      <c r="AP473" s="1"/>
    </row>
    <row r="474" spans="1:42">
      <c r="B474"/>
      <c r="D474" s="70" t="s">
        <v>419</v>
      </c>
      <c r="L474" s="65"/>
      <c r="M474" s="65"/>
      <c r="N474" s="65"/>
      <c r="O474" s="65"/>
      <c r="P474" s="65"/>
      <c r="Q474" s="65"/>
      <c r="R474" s="78"/>
      <c r="S474" s="78"/>
      <c r="T474" s="78"/>
      <c r="U474" s="78"/>
      <c r="V474" s="78"/>
      <c r="W474" s="78"/>
      <c r="X474" s="78"/>
      <c r="Y474" s="78"/>
      <c r="Z474" s="218">
        <f>Z469/Z462</f>
        <v>0.18006248397905303</v>
      </c>
      <c r="AA474" s="218">
        <f t="shared" ref="AA474" si="645">AA469/AA462</f>
        <v>0.22625295738129961</v>
      </c>
      <c r="AB474" s="77">
        <v>0.2</v>
      </c>
      <c r="AC474" s="77">
        <f>AB474</f>
        <v>0.2</v>
      </c>
      <c r="AD474" s="77">
        <f t="shared" ref="AD474:AM474" si="646">AC474</f>
        <v>0.2</v>
      </c>
      <c r="AE474" s="77">
        <f t="shared" si="646"/>
        <v>0.2</v>
      </c>
      <c r="AF474" s="77">
        <f t="shared" si="646"/>
        <v>0.2</v>
      </c>
      <c r="AG474" s="77">
        <f t="shared" si="646"/>
        <v>0.2</v>
      </c>
      <c r="AH474" s="77">
        <f t="shared" si="646"/>
        <v>0.2</v>
      </c>
      <c r="AI474" s="77">
        <f t="shared" si="646"/>
        <v>0.2</v>
      </c>
      <c r="AJ474" s="77">
        <f t="shared" si="646"/>
        <v>0.2</v>
      </c>
      <c r="AK474" s="77">
        <f t="shared" si="646"/>
        <v>0.2</v>
      </c>
      <c r="AL474" s="77">
        <f t="shared" si="646"/>
        <v>0.2</v>
      </c>
      <c r="AM474" s="77">
        <f t="shared" si="646"/>
        <v>0.2</v>
      </c>
      <c r="AP474" s="1"/>
    </row>
    <row r="475" spans="1:42" s="3" customFormat="1">
      <c r="A475" s="117"/>
      <c r="B475"/>
      <c r="C475"/>
      <c r="D475" s="67"/>
      <c r="E475"/>
      <c r="F475"/>
      <c r="G475"/>
      <c r="H475"/>
      <c r="I475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78"/>
      <c r="AA475" s="78"/>
      <c r="AB475" s="78"/>
      <c r="AC475" s="78"/>
      <c r="AD475" s="78"/>
      <c r="AE475" s="78"/>
      <c r="AF475" s="78"/>
      <c r="AG475" s="78"/>
      <c r="AH475" s="78"/>
      <c r="AI475" s="78"/>
      <c r="AJ475" s="78"/>
      <c r="AK475" s="78"/>
      <c r="AL475" s="78"/>
      <c r="AM475" s="78"/>
      <c r="AN475"/>
    </row>
    <row r="476" spans="1:42" s="3" customFormat="1">
      <c r="A476" s="117"/>
      <c r="B476"/>
      <c r="C476"/>
      <c r="D476" s="67"/>
      <c r="E476"/>
      <c r="F476"/>
      <c r="G476"/>
      <c r="H476"/>
      <c r="I476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78"/>
      <c r="AA476" s="78"/>
      <c r="AB476" s="78"/>
      <c r="AC476" s="78"/>
      <c r="AD476" s="78"/>
      <c r="AE476" s="78"/>
      <c r="AF476" s="78"/>
      <c r="AG476" s="78"/>
      <c r="AH476" s="78"/>
      <c r="AI476" s="78"/>
      <c r="AJ476" s="78"/>
      <c r="AK476" s="78"/>
      <c r="AL476" s="78"/>
      <c r="AM476" s="78"/>
      <c r="AN476"/>
    </row>
    <row r="477" spans="1:42">
      <c r="B477" s="153" t="s">
        <v>178</v>
      </c>
      <c r="C477" s="52" t="s">
        <v>178</v>
      </c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  <c r="AG477" s="52"/>
      <c r="AH477" s="52"/>
      <c r="AI477" s="52"/>
      <c r="AJ477" s="52"/>
      <c r="AK477" s="52"/>
      <c r="AL477" s="52"/>
      <c r="AM477" s="52"/>
    </row>
    <row r="478" spans="1:42">
      <c r="C478" s="111"/>
      <c r="D478" s="112" t="s">
        <v>208</v>
      </c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  <c r="AE478" s="111"/>
      <c r="AF478" s="111"/>
      <c r="AG478" s="111"/>
      <c r="AH478" s="111"/>
      <c r="AI478" s="111"/>
      <c r="AJ478" s="111"/>
      <c r="AK478" s="111"/>
      <c r="AL478" s="111"/>
      <c r="AM478" s="111"/>
    </row>
    <row r="479" spans="1:42" ht="5.15" customHeight="1">
      <c r="B479" s="154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3"/>
      <c r="AM479" s="63"/>
      <c r="AN479" s="7"/>
      <c r="AO479" s="1"/>
    </row>
    <row r="480" spans="1:42">
      <c r="D480" s="36" t="s">
        <v>179</v>
      </c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>
        <f t="shared" ref="X480:AM480" si="647">+SUM(X296:X299)</f>
        <v>279.54399999999998</v>
      </c>
      <c r="Y480" s="7">
        <f t="shared" si="647"/>
        <v>227.428</v>
      </c>
      <c r="Z480" s="7">
        <f t="shared" si="647"/>
        <v>191.93900000000002</v>
      </c>
      <c r="AA480" s="7">
        <f t="shared" si="647"/>
        <v>801.50300000000004</v>
      </c>
      <c r="AB480" s="7">
        <f t="shared" ca="1" si="647"/>
        <v>745.05169870880616</v>
      </c>
      <c r="AC480" s="7">
        <f t="shared" ca="1" si="647"/>
        <v>995.79425793454323</v>
      </c>
      <c r="AD480" s="7">
        <f t="shared" ca="1" si="647"/>
        <v>1289.645934371167</v>
      </c>
      <c r="AE480" s="7">
        <f t="shared" ca="1" si="647"/>
        <v>1712.8367848823978</v>
      </c>
      <c r="AF480" s="7">
        <f t="shared" ca="1" si="647"/>
        <v>1973.9797736738756</v>
      </c>
      <c r="AG480" s="7">
        <f t="shared" ca="1" si="647"/>
        <v>2545.966406394351</v>
      </c>
      <c r="AH480" s="7">
        <f t="shared" ca="1" si="647"/>
        <v>3499.2158453068646</v>
      </c>
      <c r="AI480" s="7">
        <f t="shared" ca="1" si="647"/>
        <v>4874.0869011280347</v>
      </c>
      <c r="AJ480" s="7">
        <f t="shared" ca="1" si="647"/>
        <v>6750.3211945900057</v>
      </c>
      <c r="AK480" s="7">
        <f t="shared" ca="1" si="647"/>
        <v>9210.1321257327381</v>
      </c>
      <c r="AL480" s="7">
        <f t="shared" ca="1" si="647"/>
        <v>11872.056526407219</v>
      </c>
      <c r="AM480" s="7">
        <f t="shared" ca="1" si="647"/>
        <v>14767.268287574265</v>
      </c>
      <c r="AO480" s="1"/>
    </row>
    <row r="481" spans="3:39">
      <c r="D481" s="36" t="s">
        <v>180</v>
      </c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>
        <f t="shared" ref="X481:AM481" si="648">+X480/X321</f>
        <v>2.0339348079161814</v>
      </c>
      <c r="Y481" s="4">
        <f t="shared" si="648"/>
        <v>1.5806783430636642</v>
      </c>
      <c r="Z481" s="4">
        <f t="shared" si="648"/>
        <v>1.2545032679738564</v>
      </c>
      <c r="AA481" s="4">
        <f t="shared" si="648"/>
        <v>4.8540637112403102</v>
      </c>
      <c r="AB481" s="4">
        <f t="shared" ca="1" si="648"/>
        <v>4.2438579329505934</v>
      </c>
      <c r="AC481" s="4">
        <f t="shared" ca="1" si="648"/>
        <v>5.5959750269280004</v>
      </c>
      <c r="AD481" s="4">
        <f t="shared" ca="1" si="648"/>
        <v>7.1482845921531926</v>
      </c>
      <c r="AE481" s="4">
        <f t="shared" ca="1" si="648"/>
        <v>9.3959280337596525</v>
      </c>
      <c r="AF481" s="4">
        <f t="shared" ca="1" si="648"/>
        <v>10.780812264864393</v>
      </c>
      <c r="AG481" s="4">
        <f t="shared" ca="1" si="648"/>
        <v>13.904694592891962</v>
      </c>
      <c r="AH481" s="4">
        <f t="shared" ca="1" si="648"/>
        <v>19.110828631575899</v>
      </c>
      <c r="AI481" s="4">
        <f t="shared" ca="1" si="648"/>
        <v>26.619632434768139</v>
      </c>
      <c r="AJ481" s="4">
        <f t="shared" ca="1" si="648"/>
        <v>36.866611715813342</v>
      </c>
      <c r="AK481" s="4">
        <f t="shared" ca="1" si="648"/>
        <v>50.300771718026695</v>
      </c>
      <c r="AL481" s="4">
        <f t="shared" ca="1" si="648"/>
        <v>64.83876647988609</v>
      </c>
      <c r="AM481" s="4">
        <f t="shared" ca="1" si="648"/>
        <v>80.650850987655929</v>
      </c>
    </row>
    <row r="482" spans="3:39">
      <c r="D482" s="36" t="s">
        <v>223</v>
      </c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>
        <f t="shared" ref="X482:AM482" si="649">(X480-X267)/X321</f>
        <v>0.77753201396973204</v>
      </c>
      <c r="Y482" s="4">
        <f t="shared" si="649"/>
        <v>1.0325757575757577</v>
      </c>
      <c r="Z482" s="4">
        <f t="shared" si="649"/>
        <v>0.75766666666666682</v>
      </c>
      <c r="AA482" s="4">
        <f t="shared" si="649"/>
        <v>3.0322977228682171</v>
      </c>
      <c r="AB482" s="4">
        <f t="shared" ca="1" si="649"/>
        <v>1.7953592993238867</v>
      </c>
      <c r="AC482" s="4">
        <f t="shared" ca="1" si="649"/>
        <v>4.1543505744441127</v>
      </c>
      <c r="AD482" s="4">
        <f t="shared" ca="1" si="649"/>
        <v>6.7343351034091867</v>
      </c>
      <c r="AE482" s="4">
        <f t="shared" ca="1" si="649"/>
        <v>8.9329129154121212</v>
      </c>
      <c r="AF482" s="4">
        <f t="shared" ca="1" si="649"/>
        <v>10.473772036356287</v>
      </c>
      <c r="AG482" s="4">
        <f t="shared" ca="1" si="649"/>
        <v>13.127056734857812</v>
      </c>
      <c r="AH482" s="4">
        <f t="shared" ca="1" si="649"/>
        <v>11.401623082332565</v>
      </c>
      <c r="AI482" s="4">
        <f t="shared" ca="1" si="649"/>
        <v>10.780914399048232</v>
      </c>
      <c r="AJ482" s="4">
        <f t="shared" ca="1" si="649"/>
        <v>11.372613906652779</v>
      </c>
      <c r="AK482" s="4">
        <f t="shared" ca="1" si="649"/>
        <v>8.8294339999431433</v>
      </c>
      <c r="AL482" s="4">
        <f t="shared" ca="1" si="649"/>
        <v>8.4058828960253411</v>
      </c>
      <c r="AM482" s="4">
        <f t="shared" ca="1" si="649"/>
        <v>7.9937933091582503</v>
      </c>
    </row>
    <row r="483" spans="3:39">
      <c r="D483" s="36" t="s">
        <v>25</v>
      </c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>
        <f t="shared" ref="X483:AM483" si="650">+X230</f>
        <v>-1.1955471478463331</v>
      </c>
      <c r="Y483" s="4">
        <f t="shared" si="650"/>
        <v>-1.7705379482902417</v>
      </c>
      <c r="Z483" s="4">
        <f t="shared" si="650"/>
        <v>-2.3832614379084975</v>
      </c>
      <c r="AA483" s="4">
        <f t="shared" si="650"/>
        <v>-2.7993095930232541</v>
      </c>
      <c r="AB483" s="4">
        <f t="shared" ca="1" si="650"/>
        <v>-2.5999732358805763</v>
      </c>
      <c r="AC483" s="4">
        <f t="shared" ca="1" si="650"/>
        <v>-1.9626904867110901</v>
      </c>
      <c r="AD483" s="4">
        <f t="shared" ca="1" si="650"/>
        <v>-1.1426445401256715</v>
      </c>
      <c r="AE483" s="4">
        <f t="shared" ca="1" si="650"/>
        <v>0.12721560193237913</v>
      </c>
      <c r="AF483" s="4">
        <f t="shared" ca="1" si="650"/>
        <v>1.4262220801895673</v>
      </c>
      <c r="AG483" s="4">
        <f t="shared" ca="1" si="650"/>
        <v>3.1238823212731939</v>
      </c>
      <c r="AH483" s="4">
        <f t="shared" ca="1" si="650"/>
        <v>5.2061340302790589</v>
      </c>
      <c r="AI483" s="4">
        <f t="shared" ca="1" si="650"/>
        <v>7.5088037906836185</v>
      </c>
      <c r="AJ483" s="4">
        <f t="shared" ca="1" si="650"/>
        <v>10.246979261164007</v>
      </c>
      <c r="AK483" s="4">
        <f t="shared" ca="1" si="650"/>
        <v>13.434159970033493</v>
      </c>
      <c r="AL483" s="4">
        <f t="shared" ca="1" si="650"/>
        <v>14.537994705483092</v>
      </c>
      <c r="AM483" s="4">
        <f t="shared" ca="1" si="650"/>
        <v>15.812084420027563</v>
      </c>
    </row>
    <row r="484" spans="3:39">
      <c r="D484" s="36" t="s">
        <v>1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>
        <f t="shared" ref="X484:Y484" si="651">+X483/AVERAGE(W481:X481)</f>
        <v>-0.58780013164296152</v>
      </c>
      <c r="Y484" s="1">
        <f t="shared" si="651"/>
        <v>-0.97965556718581959</v>
      </c>
      <c r="Z484" s="1">
        <f>+Z483/AVERAGE(Y481:Z481)</f>
        <v>-1.6812054851303546</v>
      </c>
      <c r="AA484" s="1">
        <f t="shared" ref="AA484:AK484" si="652">+AA483/AVERAGE(Z481:AA481)</f>
        <v>-0.91651924339982271</v>
      </c>
      <c r="AB484" s="1">
        <f t="shared" ca="1" si="652"/>
        <v>-0.57155322667362829</v>
      </c>
      <c r="AC484" s="1">
        <f t="shared" ca="1" si="652"/>
        <v>-0.39892760267656135</v>
      </c>
      <c r="AD484" s="1">
        <f t="shared" ca="1" si="652"/>
        <v>-0.1793190933453459</v>
      </c>
      <c r="AE484" s="1">
        <f t="shared" ca="1" si="652"/>
        <v>1.5378864477735744E-2</v>
      </c>
      <c r="AF484" s="1">
        <f t="shared" ca="1" si="652"/>
        <v>0.14137289364693151</v>
      </c>
      <c r="AG484" s="1">
        <f t="shared" ca="1" si="652"/>
        <v>0.25309444438582784</v>
      </c>
      <c r="AH484" s="1">
        <f t="shared" ca="1" si="652"/>
        <v>0.31537492196523992</v>
      </c>
      <c r="AI484" s="1">
        <f t="shared" ca="1" si="652"/>
        <v>0.32839396829129397</v>
      </c>
      <c r="AJ484" s="1">
        <f t="shared" ca="1" si="652"/>
        <v>0.32280943370533766</v>
      </c>
      <c r="AK484" s="1">
        <f t="shared" ca="1" si="652"/>
        <v>0.30823822950312624</v>
      </c>
      <c r="AL484" s="1">
        <f t="shared" ref="AL484" ca="1" si="653">+AL483/AVERAGE(AK481:AL481)</f>
        <v>0.25252827886965823</v>
      </c>
      <c r="AM484" s="1">
        <f t="shared" ref="AM484" ca="1" si="654">+AM483/AVERAGE(AL481:AM481)</f>
        <v>0.21736375000855518</v>
      </c>
    </row>
    <row r="485" spans="3:39">
      <c r="D485" s="36" t="s">
        <v>224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>
        <f t="shared" ref="X485:AJ485" si="655">+X483/AVERAGE(W482:X482)</f>
        <v>-1.5376179068722868</v>
      </c>
      <c r="Y485" s="1">
        <f t="shared" si="655"/>
        <v>-1.9562790416379874</v>
      </c>
      <c r="Z485" s="1">
        <f t="shared" si="655"/>
        <v>-2.6625013524824945</v>
      </c>
      <c r="AA485" s="1">
        <f t="shared" si="655"/>
        <v>-1.4772221083411257</v>
      </c>
      <c r="AB485" s="1">
        <f t="shared" ca="1" si="655"/>
        <v>-1.0771159690627738</v>
      </c>
      <c r="AC485" s="1">
        <f t="shared" ca="1" si="655"/>
        <v>-0.65976006506283724</v>
      </c>
      <c r="AD485" s="1">
        <f t="shared" ca="1" si="655"/>
        <v>-0.20987740374390962</v>
      </c>
      <c r="AE485" s="1">
        <f t="shared" ca="1" si="655"/>
        <v>1.6239686992834103E-2</v>
      </c>
      <c r="AF485" s="1">
        <f t="shared" ca="1" si="655"/>
        <v>0.14698255613817288</v>
      </c>
      <c r="AG485" s="1">
        <f t="shared" ca="1" si="655"/>
        <v>0.26472649342580623</v>
      </c>
      <c r="AH485" s="1">
        <f t="shared" ca="1" si="655"/>
        <v>0.42449361882333808</v>
      </c>
      <c r="AI485" s="1">
        <f t="shared" ca="1" si="655"/>
        <v>0.67700133918279015</v>
      </c>
      <c r="AJ485" s="1">
        <f t="shared" ca="1" si="655"/>
        <v>0.92508778915609935</v>
      </c>
      <c r="AK485" s="1">
        <f ca="1">+AK483/AVERAGE(AJ482:AK482)</f>
        <v>1.3299800131299828</v>
      </c>
      <c r="AL485" s="1">
        <f t="shared" ref="AL485" ca="1" si="656">+AL483/AVERAGE(AK482:AL482)</f>
        <v>1.6870005690331897</v>
      </c>
      <c r="AM485" s="1">
        <f t="shared" ref="AM485" ca="1" si="657">+AM483/AVERAGE(AL482:AM482)</f>
        <v>1.9283410504202145</v>
      </c>
    </row>
    <row r="486" spans="3:39">
      <c r="D486" s="36" t="s">
        <v>181</v>
      </c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92">
        <f t="shared" ref="X486:AK486" si="658">+X487+X267</f>
        <v>581.93599999999992</v>
      </c>
      <c r="Y486" s="92">
        <f t="shared" si="658"/>
        <v>860.87299999999993</v>
      </c>
      <c r="Z486" s="92">
        <f t="shared" si="658"/>
        <v>1808.6409999999998</v>
      </c>
      <c r="AA486" s="92">
        <f t="shared" si="658"/>
        <v>2671.3</v>
      </c>
      <c r="AB486" s="92">
        <f t="shared" ca="1" si="658"/>
        <v>3759.2140494709674</v>
      </c>
      <c r="AC486" s="92">
        <f t="shared" ca="1" si="658"/>
        <v>4796.6842818965333</v>
      </c>
      <c r="AD486" s="92">
        <f t="shared" ca="1" si="658"/>
        <v>5723.5888148129789</v>
      </c>
      <c r="AE486" s="92">
        <f t="shared" ca="1" si="658"/>
        <v>6840.1331168076977</v>
      </c>
      <c r="AF486" s="92">
        <f t="shared" ca="1" si="658"/>
        <v>7866.7432515528308</v>
      </c>
      <c r="AG486" s="92">
        <f t="shared" ca="1" si="658"/>
        <v>9036.0554267298521</v>
      </c>
      <c r="AH486" s="92">
        <f t="shared" ca="1" si="658"/>
        <v>11419.974450792168</v>
      </c>
      <c r="AI486" s="92">
        <f t="shared" ca="1" si="658"/>
        <v>14028.62648229962</v>
      </c>
      <c r="AJ486" s="92">
        <f t="shared" ca="1" si="658"/>
        <v>16941.89479256206</v>
      </c>
      <c r="AK486" s="92">
        <f t="shared" ca="1" si="658"/>
        <v>21060.047980830434</v>
      </c>
      <c r="AL486" s="92">
        <f ca="1">+AL487+AL267</f>
        <v>24661.464325997818</v>
      </c>
      <c r="AM486" s="92">
        <f t="shared" ref="AM486" ca="1" si="659">+AM487+AM267</f>
        <v>28498.965948875735</v>
      </c>
    </row>
    <row r="487" spans="3:39">
      <c r="D487" s="36" t="s">
        <v>225</v>
      </c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92">
        <f t="shared" ref="X487:AM487" si="660">SUM(X284,X290,X293,X296,X298,X299)-X267</f>
        <v>409.25599999999991</v>
      </c>
      <c r="Y487" s="92">
        <f t="shared" si="660"/>
        <v>782.01199999999994</v>
      </c>
      <c r="Z487" s="92">
        <f t="shared" si="660"/>
        <v>1732.6249999999998</v>
      </c>
      <c r="AA487" s="92">
        <f t="shared" si="660"/>
        <v>2370.4900000000002</v>
      </c>
      <c r="AB487" s="92">
        <f t="shared" ca="1" si="660"/>
        <v>3329.355629351463</v>
      </c>
      <c r="AC487" s="92">
        <f t="shared" ca="1" si="660"/>
        <v>4540.1496574613775</v>
      </c>
      <c r="AD487" s="92">
        <f t="shared" ca="1" si="660"/>
        <v>5648.9068028824868</v>
      </c>
      <c r="AE487" s="92">
        <f t="shared" ca="1" si="660"/>
        <v>6755.7274760010814</v>
      </c>
      <c r="AF487" s="92">
        <f t="shared" ca="1" si="660"/>
        <v>7810.5238141033442</v>
      </c>
      <c r="AG487" s="92">
        <f t="shared" ca="1" si="660"/>
        <v>8893.6689938838208</v>
      </c>
      <c r="AH487" s="92">
        <f t="shared" ca="1" si="660"/>
        <v>10008.409587086129</v>
      </c>
      <c r="AI487" s="92">
        <f t="shared" ca="1" si="660"/>
        <v>11128.538049533283</v>
      </c>
      <c r="AJ487" s="92">
        <f t="shared" ca="1" si="660"/>
        <v>12273.912959227717</v>
      </c>
      <c r="AK487" s="92">
        <f t="shared" ca="1" si="660"/>
        <v>13466.595897121188</v>
      </c>
      <c r="AL487" s="92">
        <f t="shared" ca="1" si="660"/>
        <v>14328.535119770731</v>
      </c>
      <c r="AM487" s="92">
        <f t="shared" ca="1" si="660"/>
        <v>15195.370877221088</v>
      </c>
    </row>
    <row r="488" spans="3:39">
      <c r="D488" s="36" t="s">
        <v>55</v>
      </c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344">
        <f t="shared" ref="X488:AM488" si="661">+(X215*(1+SUM(X220,X222)))/AVERAGE(W486:X486)</f>
        <v>-0.26919970580957364</v>
      </c>
      <c r="Y488" s="344">
        <f t="shared" si="661"/>
        <v>-0.3184440906592626</v>
      </c>
      <c r="Z488" s="344">
        <f t="shared" si="661"/>
        <v>-0.21279753543154309</v>
      </c>
      <c r="AA488" s="344">
        <f t="shared" si="661"/>
        <v>-0.14766557048274842</v>
      </c>
      <c r="AB488" s="344">
        <f t="shared" ca="1" si="661"/>
        <v>-0.10679115313903204</v>
      </c>
      <c r="AC488" s="344">
        <f t="shared" ca="1" si="661"/>
        <v>-4.6076301207262832E-2</v>
      </c>
      <c r="AD488" s="344">
        <f t="shared" ca="1" si="661"/>
        <v>-5.0580287384332833E-3</v>
      </c>
      <c r="AE488" s="344">
        <f t="shared" ca="1" si="661"/>
        <v>2.871358056479912E-2</v>
      </c>
      <c r="AF488" s="344">
        <f t="shared" ca="1" si="661"/>
        <v>5.9822554976835023E-2</v>
      </c>
      <c r="AG488" s="344">
        <f t="shared" ca="1" si="661"/>
        <v>9.115356532784713E-2</v>
      </c>
      <c r="AH488" s="344">
        <f t="shared" ca="1" si="661"/>
        <v>0.11568418208942331</v>
      </c>
      <c r="AI488" s="344">
        <f t="shared" ca="1" si="661"/>
        <v>0.12941175098461177</v>
      </c>
      <c r="AJ488" s="344">
        <f t="shared" ca="1" si="661"/>
        <v>0.14096268701050127</v>
      </c>
      <c r="AK488" s="344">
        <f t="shared" ca="1" si="661"/>
        <v>0.14782009866540091</v>
      </c>
      <c r="AL488" s="344">
        <f t="shared" ca="1" si="661"/>
        <v>0.13349230875673321</v>
      </c>
      <c r="AM488" s="344">
        <f t="shared" ca="1" si="661"/>
        <v>0.12470213663869503</v>
      </c>
    </row>
    <row r="489" spans="3:39">
      <c r="D489" s="36" t="s">
        <v>218</v>
      </c>
      <c r="E489" s="98"/>
      <c r="F489" s="98"/>
      <c r="G489" s="98"/>
      <c r="H489" s="98"/>
      <c r="I489" s="107"/>
      <c r="J489" s="107"/>
      <c r="K489" s="107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345">
        <f t="shared" ref="X489:AM489" si="662">+(X215*(1+SUM(X220,X222)))/AVERAGE(W487:X487)</f>
        <v>-0.38278485837715287</v>
      </c>
      <c r="Y489" s="345">
        <f t="shared" si="662"/>
        <v>-0.38568483330367309</v>
      </c>
      <c r="Z489" s="345">
        <f t="shared" si="662"/>
        <v>-0.22590377855730284</v>
      </c>
      <c r="AA489" s="345">
        <f t="shared" si="662"/>
        <v>-0.16122702958460935</v>
      </c>
      <c r="AB489" s="345">
        <f t="shared" ca="1" si="662"/>
        <v>-0.12048080865268757</v>
      </c>
      <c r="AC489" s="345">
        <f t="shared" ca="1" si="662"/>
        <v>-5.0095162814798457E-2</v>
      </c>
      <c r="AD489" s="345">
        <f t="shared" ca="1" si="662"/>
        <v>-5.2224505641347094E-3</v>
      </c>
      <c r="AE489" s="345">
        <f t="shared" ca="1" si="662"/>
        <v>2.9081828110920475E-2</v>
      </c>
      <c r="AF489" s="345">
        <f t="shared" ca="1" si="662"/>
        <v>6.0400092141857882E-2</v>
      </c>
      <c r="AG489" s="345">
        <f t="shared" ca="1" si="662"/>
        <v>9.2237343118284285E-2</v>
      </c>
      <c r="AH489" s="345">
        <f t="shared" ca="1" si="662"/>
        <v>0.12519464856951773</v>
      </c>
      <c r="AI489" s="345">
        <f t="shared" ca="1" si="662"/>
        <v>0.15581000925386038</v>
      </c>
      <c r="AJ489" s="345">
        <f t="shared" ca="1" si="662"/>
        <v>0.18654831903658503</v>
      </c>
      <c r="AK489" s="345">
        <f t="shared" ca="1" si="662"/>
        <v>0.21823387259316951</v>
      </c>
      <c r="AL489" s="345">
        <f t="shared" ca="1" si="662"/>
        <v>0.21958774844337436</v>
      </c>
      <c r="AM489" s="345">
        <f t="shared" ca="1" si="662"/>
        <v>0.22453733732198411</v>
      </c>
    </row>
    <row r="490" spans="3:39">
      <c r="D490" s="36"/>
      <c r="L490" s="108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10"/>
      <c r="AA490" s="109"/>
    </row>
    <row r="491" spans="3:39">
      <c r="D491" s="156" t="s">
        <v>183</v>
      </c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>
        <f t="shared" ref="X491:AK491" si="663">+X501</f>
        <v>-0.1913164972580251</v>
      </c>
      <c r="Y491" s="65">
        <f t="shared" si="663"/>
        <v>-0.1302732288501928</v>
      </c>
      <c r="Z491" s="65">
        <f t="shared" si="663"/>
        <v>-9.2550412498197954E-2</v>
      </c>
      <c r="AA491" s="65">
        <f t="shared" si="663"/>
        <v>-8.2738140521053577E-2</v>
      </c>
      <c r="AB491" s="65">
        <f t="shared" ca="1" si="663"/>
        <v>-4.6883301436481908E-2</v>
      </c>
      <c r="AC491" s="65">
        <f t="shared" ca="1" si="663"/>
        <v>-2.5152627268287837E-2</v>
      </c>
      <c r="AD491" s="65">
        <f t="shared" ca="1" si="663"/>
        <v>-1.1587628697861821E-2</v>
      </c>
      <c r="AE491" s="65">
        <f t="shared" ca="1" si="663"/>
        <v>1.0594558789424953E-3</v>
      </c>
      <c r="AF491" s="65">
        <f t="shared" ca="1" si="663"/>
        <v>9.9692850635425337E-3</v>
      </c>
      <c r="AG491" s="65">
        <f t="shared" ca="1" si="663"/>
        <v>1.8888135306978214E-2</v>
      </c>
      <c r="AH491" s="65">
        <f t="shared" ca="1" si="663"/>
        <v>2.7560866137128995E-2</v>
      </c>
      <c r="AI491" s="65">
        <f t="shared" ca="1" si="663"/>
        <v>3.5163382958904879E-2</v>
      </c>
      <c r="AJ491" s="65">
        <f t="shared" ca="1" si="663"/>
        <v>4.2793449110815236E-2</v>
      </c>
      <c r="AK491" s="65">
        <f t="shared" ca="1" si="663"/>
        <v>5.0368819145323443E-2</v>
      </c>
      <c r="AL491" s="65">
        <f t="shared" ref="AL491:AM491" ca="1" si="664">+AL501</f>
        <v>5.0719391161276439E-2</v>
      </c>
      <c r="AM491" s="65">
        <f t="shared" ca="1" si="664"/>
        <v>5.1331564913029051E-2</v>
      </c>
    </row>
    <row r="492" spans="3:39">
      <c r="D492" s="156" t="s">
        <v>184</v>
      </c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>
        <f t="shared" ref="X492:AM492" si="665">+X204/X282</f>
        <v>1.3396044839090553</v>
      </c>
      <c r="Y492" s="65">
        <f t="shared" si="665"/>
        <v>1.9732001497457654</v>
      </c>
      <c r="Z492" s="65">
        <f t="shared" si="665"/>
        <v>1.9146639918979387</v>
      </c>
      <c r="AA492" s="65">
        <f t="shared" si="665"/>
        <v>1.8409978345912437</v>
      </c>
      <c r="AB492" s="65">
        <f t="shared" ca="1" si="665"/>
        <v>2.3616818275799356</v>
      </c>
      <c r="AC492" s="65">
        <f t="shared" ca="1" si="665"/>
        <v>2.6910374455653545</v>
      </c>
      <c r="AD492" s="65">
        <f t="shared" ca="1" si="665"/>
        <v>2.9227710094449653</v>
      </c>
      <c r="AE492" s="65">
        <f t="shared" ca="1" si="665"/>
        <v>3.0387742183248698</v>
      </c>
      <c r="AF492" s="65">
        <f t="shared" ca="1" si="665"/>
        <v>3.1828478564827685</v>
      </c>
      <c r="AG492" s="65">
        <f t="shared" ca="1" si="665"/>
        <v>3.2218247254943528</v>
      </c>
      <c r="AH492" s="65">
        <f t="shared" ca="1" si="665"/>
        <v>2.9352848059394643</v>
      </c>
      <c r="AI492" s="65">
        <f t="shared" ca="1" si="665"/>
        <v>2.7167799844204592</v>
      </c>
      <c r="AJ492" s="65">
        <f t="shared" ca="1" si="665"/>
        <v>2.5335823066912901</v>
      </c>
      <c r="AK492" s="65">
        <f t="shared" ca="1" si="665"/>
        <v>2.2795756773026383</v>
      </c>
      <c r="AL492" s="65">
        <f t="shared" ca="1" si="665"/>
        <v>2.0972629607947999</v>
      </c>
      <c r="AM492" s="65">
        <f t="shared" ca="1" si="665"/>
        <v>1.9541884581435469</v>
      </c>
    </row>
    <row r="493" spans="3:39">
      <c r="D493" s="156" t="s">
        <v>185</v>
      </c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>
        <f t="shared" ref="X493:AM493" si="666">+X282/SUM(X296:X299)</f>
        <v>2.2935101450934381</v>
      </c>
      <c r="Y493" s="65">
        <f t="shared" si="666"/>
        <v>4.3574801695481646</v>
      </c>
      <c r="Z493" s="65">
        <f t="shared" si="666"/>
        <v>10.720843601352511</v>
      </c>
      <c r="AA493" s="65">
        <f t="shared" si="666"/>
        <v>3.7860507072337839</v>
      </c>
      <c r="AB493" s="65">
        <f t="shared" ca="1" si="666"/>
        <v>5.5330993226581082</v>
      </c>
      <c r="AC493" s="65">
        <f t="shared" ca="1" si="666"/>
        <v>5.1817082100866161</v>
      </c>
      <c r="AD493" s="65">
        <f t="shared" ca="1" si="666"/>
        <v>4.7197604029054068</v>
      </c>
      <c r="AE493" s="65">
        <f t="shared" ca="1" si="666"/>
        <v>4.2055169414768701</v>
      </c>
      <c r="AF493" s="65">
        <f t="shared" ca="1" si="666"/>
        <v>4.1692292703869001</v>
      </c>
      <c r="AG493" s="65">
        <f t="shared" ca="1" si="666"/>
        <v>3.6918344260642906</v>
      </c>
      <c r="AH493" s="65">
        <f t="shared" ca="1" si="666"/>
        <v>3.3673845717736324</v>
      </c>
      <c r="AI493" s="65">
        <f t="shared" ca="1" si="666"/>
        <v>2.9527289468246534</v>
      </c>
      <c r="AJ493" s="65">
        <f t="shared" ca="1" si="666"/>
        <v>2.5636003522959947</v>
      </c>
      <c r="AK493" s="65">
        <f t="shared" ca="1" si="666"/>
        <v>2.3260555536412619</v>
      </c>
      <c r="AL493" s="65">
        <f t="shared" ca="1" si="666"/>
        <v>2.1078652439309868</v>
      </c>
      <c r="AM493" s="65">
        <f t="shared" ca="1" si="666"/>
        <v>1.9544709547372061</v>
      </c>
    </row>
    <row r="494" spans="3:39">
      <c r="D494" s="156" t="s">
        <v>1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>
        <f t="shared" ref="X494:AK494" si="667">+X491*X492*X493</f>
        <v>-0.58780013164296152</v>
      </c>
      <c r="Y494" s="1">
        <f t="shared" si="667"/>
        <v>-1.1201127389767309</v>
      </c>
      <c r="Z494" s="1">
        <f t="shared" si="667"/>
        <v>-1.8997650295145854</v>
      </c>
      <c r="AA494" s="1">
        <f t="shared" si="667"/>
        <v>-0.57669403607971481</v>
      </c>
      <c r="AB494" s="1">
        <f t="shared" ca="1" si="667"/>
        <v>-0.61264379650732403</v>
      </c>
      <c r="AC494" s="1">
        <f t="shared" ca="1" si="667"/>
        <v>-0.35073253133502286</v>
      </c>
      <c r="AD494" s="1">
        <f t="shared" ca="1" si="667"/>
        <v>-0.15984877559738483</v>
      </c>
      <c r="AE494" s="1">
        <f t="shared" ca="1" si="667"/>
        <v>1.3539439785456867E-2</v>
      </c>
      <c r="AF494" s="1">
        <f t="shared" ca="1" si="667"/>
        <v>0.1322926365681302</v>
      </c>
      <c r="AG494" s="1">
        <f t="shared" ca="1" si="667"/>
        <v>0.22466385702650898</v>
      </c>
      <c r="AH494" s="1">
        <f t="shared" ca="1" si="667"/>
        <v>0.27241801622240813</v>
      </c>
      <c r="AI494" s="1">
        <f t="shared" ca="1" si="667"/>
        <v>0.28207766576812099</v>
      </c>
      <c r="AJ494" s="1">
        <f t="shared" ca="1" si="667"/>
        <v>0.27794741011222773</v>
      </c>
      <c r="AK494" s="1">
        <f t="shared" ca="1" si="667"/>
        <v>0.26707661709543978</v>
      </c>
      <c r="AL494" s="1">
        <f t="shared" ref="AL494:AM494" ca="1" si="668">+AL491*AL492*AL493</f>
        <v>0.22421763194552846</v>
      </c>
      <c r="AM494" s="1">
        <f t="shared" ca="1" si="668"/>
        <v>0.19605601420563243</v>
      </c>
    </row>
    <row r="496" spans="3:39">
      <c r="C496" s="111"/>
      <c r="D496" s="112" t="s">
        <v>209</v>
      </c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111"/>
      <c r="AF496" s="111"/>
      <c r="AG496" s="111"/>
      <c r="AH496" s="111"/>
      <c r="AI496" s="111"/>
      <c r="AJ496" s="111"/>
      <c r="AK496" s="111"/>
      <c r="AL496" s="111"/>
      <c r="AM496" s="111"/>
    </row>
    <row r="497" spans="2:41" ht="5.15" customHeight="1">
      <c r="B497" s="154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3"/>
      <c r="AM497" s="63"/>
      <c r="AN497" s="7"/>
      <c r="AO497" s="1"/>
    </row>
    <row r="498" spans="2:41">
      <c r="D498" s="156" t="s">
        <v>164</v>
      </c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>
        <f t="shared" ref="X498:AM498" si="669">+X206/X$204</f>
        <v>7.9279751301128229E-2</v>
      </c>
      <c r="Y498" s="65">
        <f t="shared" si="669"/>
        <v>0.100594384870724</v>
      </c>
      <c r="Z498" s="65">
        <f t="shared" si="669"/>
        <v>0.12853486487968205</v>
      </c>
      <c r="AA498" s="65">
        <f t="shared" si="669"/>
        <v>0.1420846262417067</v>
      </c>
      <c r="AB498" s="65">
        <f t="shared" si="669"/>
        <v>0.14102648390899289</v>
      </c>
      <c r="AC498" s="65">
        <f t="shared" si="669"/>
        <v>0.15062161721696576</v>
      </c>
      <c r="AD498" s="65">
        <f t="shared" ca="1" si="669"/>
        <v>0.15571946099236053</v>
      </c>
      <c r="AE498" s="65">
        <f t="shared" ca="1" si="669"/>
        <v>0.15931450327742397</v>
      </c>
      <c r="AF498" s="65">
        <f t="shared" ca="1" si="669"/>
        <v>0.16215376779958257</v>
      </c>
      <c r="AG498" s="65">
        <f t="shared" ca="1" si="669"/>
        <v>0.16511330611049402</v>
      </c>
      <c r="AH498" s="65">
        <f t="shared" ca="1" si="669"/>
        <v>0.16823484612985692</v>
      </c>
      <c r="AI498" s="65">
        <f t="shared" ca="1" si="669"/>
        <v>0.17023235737417416</v>
      </c>
      <c r="AJ498" s="65">
        <f t="shared" ca="1" si="669"/>
        <v>0.17192679516702622</v>
      </c>
      <c r="AK498" s="65">
        <f t="shared" ca="1" si="669"/>
        <v>0.17369277741611464</v>
      </c>
      <c r="AL498" s="65">
        <f t="shared" ca="1" si="669"/>
        <v>0.17451520830219311</v>
      </c>
      <c r="AM498" s="65">
        <f t="shared" ca="1" si="669"/>
        <v>0.17532131270329779</v>
      </c>
    </row>
    <row r="499" spans="2:41">
      <c r="D499" s="156" t="s">
        <v>104</v>
      </c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>
        <f t="shared" ref="X499:AM499" si="670">+X209/X$204</f>
        <v>-0.16893010583673901</v>
      </c>
      <c r="Y499" s="65">
        <f t="shared" si="670"/>
        <v>-0.10544182029152115</v>
      </c>
      <c r="Z499" s="65">
        <f t="shared" si="670"/>
        <v>-6.1617870116368587E-2</v>
      </c>
      <c r="AA499" s="65">
        <f t="shared" si="670"/>
        <v>-4.6031505943276374E-2</v>
      </c>
      <c r="AB499" s="65">
        <f t="shared" si="670"/>
        <v>-2.2651800693246057E-2</v>
      </c>
      <c r="AC499" s="65">
        <f t="shared" ca="1" si="670"/>
        <v>-2.1604216113448355E-3</v>
      </c>
      <c r="AD499" s="65">
        <f t="shared" ca="1" si="670"/>
        <v>1.0822539666854068E-2</v>
      </c>
      <c r="AE499" s="65">
        <f t="shared" ca="1" si="670"/>
        <v>2.2659924630150152E-2</v>
      </c>
      <c r="AF499" s="65">
        <f t="shared" ca="1" si="670"/>
        <v>3.3508697729875976E-2</v>
      </c>
      <c r="AG499" s="65">
        <f t="shared" ca="1" si="670"/>
        <v>4.47273055334243E-2</v>
      </c>
      <c r="AH499" s="65">
        <f t="shared" ca="1" si="670"/>
        <v>5.6242410893324386E-2</v>
      </c>
      <c r="AI499" s="65">
        <f t="shared" ca="1" si="670"/>
        <v>6.655440153257175E-2</v>
      </c>
      <c r="AJ499" s="65">
        <f t="shared" ca="1" si="670"/>
        <v>7.6540043363743773E-2</v>
      </c>
      <c r="AK499" s="65">
        <f t="shared" ca="1" si="670"/>
        <v>8.658289741754728E-2</v>
      </c>
      <c r="AL499" s="65">
        <f t="shared" ca="1" si="670"/>
        <v>8.7592255552755113E-2</v>
      </c>
      <c r="AM499" s="65">
        <f t="shared" ca="1" si="670"/>
        <v>8.8157025681765602E-2</v>
      </c>
    </row>
    <row r="500" spans="2:41">
      <c r="D500" s="156" t="s">
        <v>182</v>
      </c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>
        <f t="shared" ref="X500:AM500" si="671">+X215/X$204</f>
        <v>-0.18239896608334211</v>
      </c>
      <c r="Y500" s="65">
        <f t="shared" si="671"/>
        <v>-0.11747935403665721</v>
      </c>
      <c r="Z500" s="65">
        <f t="shared" si="671"/>
        <v>-7.2091496831388477E-2</v>
      </c>
      <c r="AA500" s="65">
        <f t="shared" si="671"/>
        <v>-5.9240159203374478E-2</v>
      </c>
      <c r="AB500" s="65">
        <f t="shared" si="671"/>
        <v>-3.5267502727978156E-2</v>
      </c>
      <c r="AC500" s="65">
        <f t="shared" ca="1" si="671"/>
        <v>-1.4195507257174285E-2</v>
      </c>
      <c r="AD500" s="65">
        <f t="shared" ca="1" si="671"/>
        <v>-1.4955229225120253E-3</v>
      </c>
      <c r="AE500" s="65">
        <f t="shared" ca="1" si="671"/>
        <v>1.0701659921818905E-2</v>
      </c>
      <c r="AF500" s="65">
        <f t="shared" ca="1" si="671"/>
        <v>2.1809731669911691E-2</v>
      </c>
      <c r="AG500" s="65">
        <f t="shared" ca="1" si="671"/>
        <v>3.3038077206757319E-2</v>
      </c>
      <c r="AH500" s="65">
        <f t="shared" ca="1" si="671"/>
        <v>4.4428424452054381E-2</v>
      </c>
      <c r="AI500" s="65">
        <f t="shared" ca="1" si="671"/>
        <v>5.4694742922305813E-2</v>
      </c>
      <c r="AJ500" s="65">
        <f t="shared" ca="1" si="671"/>
        <v>6.4657987941092052E-2</v>
      </c>
      <c r="AK500" s="14">
        <f t="shared" ca="1" si="671"/>
        <v>7.4692777416114631E-2</v>
      </c>
      <c r="AL500" s="14">
        <f t="shared" ca="1" si="671"/>
        <v>7.5515208302193118E-2</v>
      </c>
      <c r="AM500" s="14">
        <f t="shared" ca="1" si="671"/>
        <v>7.6321312703297783E-2</v>
      </c>
    </row>
    <row r="501" spans="2:41">
      <c r="D501" s="156" t="s">
        <v>165</v>
      </c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>
        <f t="shared" ref="X501:AM501" si="672">+X223/X$204</f>
        <v>-0.1913164972580251</v>
      </c>
      <c r="Y501" s="65">
        <f t="shared" si="672"/>
        <v>-0.1302732288501928</v>
      </c>
      <c r="Z501" s="65">
        <f t="shared" si="672"/>
        <v>-9.2550412498197954E-2</v>
      </c>
      <c r="AA501" s="65">
        <f t="shared" si="672"/>
        <v>-8.2738140521053577E-2</v>
      </c>
      <c r="AB501" s="65">
        <f t="shared" ca="1" si="672"/>
        <v>-4.6883301436481908E-2</v>
      </c>
      <c r="AC501" s="65">
        <f t="shared" ca="1" si="672"/>
        <v>-2.5152627268287837E-2</v>
      </c>
      <c r="AD501" s="65">
        <f t="shared" ca="1" si="672"/>
        <v>-1.1587628697861821E-2</v>
      </c>
      <c r="AE501" s="65">
        <f t="shared" ca="1" si="672"/>
        <v>1.0594558789424953E-3</v>
      </c>
      <c r="AF501" s="65">
        <f t="shared" ca="1" si="672"/>
        <v>9.9692850635425337E-3</v>
      </c>
      <c r="AG501" s="65">
        <f t="shared" ca="1" si="672"/>
        <v>1.8888135306978214E-2</v>
      </c>
      <c r="AH501" s="65">
        <f t="shared" ca="1" si="672"/>
        <v>2.7560866137128995E-2</v>
      </c>
      <c r="AI501" s="65">
        <f t="shared" ca="1" si="672"/>
        <v>3.5163382958904879E-2</v>
      </c>
      <c r="AJ501" s="65">
        <f t="shared" ca="1" si="672"/>
        <v>4.2793449110815236E-2</v>
      </c>
      <c r="AK501" s="65">
        <f t="shared" ca="1" si="672"/>
        <v>5.0368819145323443E-2</v>
      </c>
      <c r="AL501" s="65">
        <f t="shared" ca="1" si="672"/>
        <v>5.0719391161276439E-2</v>
      </c>
      <c r="AM501" s="65">
        <f t="shared" ca="1" si="672"/>
        <v>5.1331564913029051E-2</v>
      </c>
    </row>
    <row r="503" spans="2:41">
      <c r="D503" s="163"/>
    </row>
    <row r="504" spans="2:41">
      <c r="P504" s="4"/>
      <c r="Q504" s="1"/>
      <c r="R504" s="4"/>
    </row>
    <row r="505" spans="2:41">
      <c r="P505" s="4"/>
      <c r="Q505" s="1"/>
      <c r="R505" s="4"/>
    </row>
    <row r="506" spans="2:41">
      <c r="P506" s="4"/>
      <c r="Q506" s="1"/>
      <c r="R506" s="4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</row>
    <row r="507" spans="2:41"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</row>
    <row r="508" spans="2:41">
      <c r="T508" s="65"/>
      <c r="U508" s="65"/>
      <c r="V508" s="65"/>
      <c r="W508" s="65"/>
      <c r="X508" s="65"/>
      <c r="Y508" s="65"/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  <c r="AL508" s="65"/>
      <c r="AM508" s="65"/>
      <c r="AN508" s="65"/>
    </row>
    <row r="509" spans="2:41">
      <c r="T509" s="65"/>
      <c r="U509" s="65"/>
      <c r="V509" s="65"/>
      <c r="W509" s="65"/>
      <c r="X509" s="65"/>
      <c r="Y509" s="65"/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  <c r="AL509" s="65"/>
      <c r="AM509" s="65"/>
      <c r="AN509" s="65"/>
    </row>
    <row r="510" spans="2:41">
      <c r="U510" s="65"/>
      <c r="V510" s="65"/>
      <c r="W510" s="65"/>
      <c r="X510" s="65"/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  <c r="AL510" s="65"/>
      <c r="AM510" s="65"/>
      <c r="AN510" s="65"/>
    </row>
  </sheetData>
  <conditionalFormatting sqref="N301:Q301 V301:AM301">
    <cfRule type="cellIs" dxfId="4" priority="27" operator="equal">
      <formula>FALSE</formula>
    </cfRule>
  </conditionalFormatting>
  <conditionalFormatting sqref="L301:M301">
    <cfRule type="cellIs" dxfId="3" priority="9" operator="equal">
      <formula>FALSE</formula>
    </cfRule>
  </conditionalFormatting>
  <conditionalFormatting sqref="L301">
    <cfRule type="cellIs" dxfId="2" priority="8" operator="equal">
      <formula>FALSE</formula>
    </cfRule>
  </conditionalFormatting>
  <conditionalFormatting sqref="L384:Q384 W384:AM384">
    <cfRule type="cellIs" dxfId="1" priority="2" operator="equal">
      <formula>FALSE</formula>
    </cfRule>
  </conditionalFormatting>
  <conditionalFormatting sqref="L372:Q372 U372:AM372">
    <cfRule type="cellIs" dxfId="0" priority="1" operator="equal">
      <formula>FALSE</formula>
    </cfRule>
  </conditionalFormatting>
  <pageMargins left="0.7" right="0.7" top="0.75" bottom="0.75" header="0.3" footer="0.3"/>
  <pageSetup scale="10" orientation="landscape" r:id="rId1"/>
  <ignoredErrors>
    <ignoredError sqref="X196:Z196 V306:AM306 X321:AA321 X320:AA320 AC320:AM320 AC321:AM321" formulaRange="1"/>
    <ignoredError sqref="AB277:AM277 Y332:AA33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3A10-2994-461D-9365-63D4F8D917EA}">
  <sheetPr>
    <tabColor theme="6" tint="0.59999389629810485"/>
  </sheetPr>
  <dimension ref="A2:AQ101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45" sqref="C45"/>
    </sheetView>
  </sheetViews>
  <sheetFormatPr defaultRowHeight="14.5" outlineLevelCol="1"/>
  <cols>
    <col min="1" max="1" width="5.54296875" customWidth="1"/>
    <col min="2" max="2" width="28.1796875" bestFit="1" customWidth="1"/>
    <col min="4" max="7" width="8.7265625" outlineLevel="1"/>
    <col min="8" max="8" width="8.7265625" style="3"/>
    <col min="9" max="12" width="8.7265625" outlineLevel="1"/>
    <col min="13" max="13" width="8.7265625" style="3"/>
    <col min="14" max="17" width="8.7265625" outlineLevel="1"/>
    <col min="18" max="18" width="8.7265625" style="3"/>
    <col min="19" max="22" width="8.7265625" outlineLevel="1"/>
    <col min="23" max="23" width="8.7265625" style="3"/>
    <col min="24" max="27" width="8.7265625" outlineLevel="1"/>
    <col min="28" max="28" width="8.7265625" style="3"/>
    <col min="29" max="32" width="8.7265625" outlineLevel="1"/>
    <col min="33" max="33" width="8.7265625" style="3"/>
    <col min="34" max="37" width="8.7265625" outlineLevel="1"/>
    <col min="38" max="38" width="8.7265625" style="3"/>
    <col min="39" max="42" width="8.7265625" outlineLevel="1"/>
    <col min="43" max="43" width="8.7265625" style="3"/>
  </cols>
  <sheetData>
    <row r="2" spans="1:43">
      <c r="A2" s="116"/>
      <c r="B2" s="54"/>
      <c r="C2" s="54"/>
      <c r="D2" s="234">
        <v>2014</v>
      </c>
      <c r="E2" s="235">
        <f>+D2</f>
        <v>2014</v>
      </c>
      <c r="F2" s="235">
        <f>+E2</f>
        <v>2014</v>
      </c>
      <c r="G2" s="235">
        <f>+F2</f>
        <v>2014</v>
      </c>
      <c r="H2" s="232">
        <f>+G2</f>
        <v>2014</v>
      </c>
      <c r="I2" s="235">
        <f>+D2+1</f>
        <v>2015</v>
      </c>
      <c r="J2" s="235">
        <f>+E2+1</f>
        <v>2015</v>
      </c>
      <c r="K2" s="235">
        <f>+F2+1</f>
        <v>2015</v>
      </c>
      <c r="L2" s="235">
        <f>+G2+1</f>
        <v>2015</v>
      </c>
      <c r="M2" s="232">
        <f>+L2</f>
        <v>2015</v>
      </c>
      <c r="N2" s="235">
        <f>+I2+1</f>
        <v>2016</v>
      </c>
      <c r="O2" s="235">
        <f>+J2+1</f>
        <v>2016</v>
      </c>
      <c r="P2" s="235">
        <f>+K2+1</f>
        <v>2016</v>
      </c>
      <c r="Q2" s="235">
        <f>+L2+1</f>
        <v>2016</v>
      </c>
      <c r="R2" s="232">
        <f>+Q2</f>
        <v>2016</v>
      </c>
      <c r="S2" s="235">
        <f>+N2+1</f>
        <v>2017</v>
      </c>
      <c r="T2" s="235">
        <f>+O2+1</f>
        <v>2017</v>
      </c>
      <c r="U2" s="235">
        <f>+P2+1</f>
        <v>2017</v>
      </c>
      <c r="V2" s="235">
        <f>+Q2+1</f>
        <v>2017</v>
      </c>
      <c r="W2" s="232">
        <f>+V2</f>
        <v>2017</v>
      </c>
      <c r="X2" s="235">
        <f>+S2+1</f>
        <v>2018</v>
      </c>
      <c r="Y2" s="235">
        <f>+T2+1</f>
        <v>2018</v>
      </c>
      <c r="Z2" s="235">
        <f>+U2+1</f>
        <v>2018</v>
      </c>
      <c r="AA2" s="235">
        <f>+V2+1</f>
        <v>2018</v>
      </c>
      <c r="AB2" s="232">
        <f>+AA2</f>
        <v>2018</v>
      </c>
      <c r="AC2" s="235">
        <f>+X2+1</f>
        <v>2019</v>
      </c>
      <c r="AD2" s="235">
        <f>+Y2+1</f>
        <v>2019</v>
      </c>
      <c r="AE2" s="235">
        <f>+Z2+1</f>
        <v>2019</v>
      </c>
      <c r="AF2" s="235">
        <f>+AA2+1</f>
        <v>2019</v>
      </c>
      <c r="AG2" s="232">
        <f>+AF2</f>
        <v>2019</v>
      </c>
      <c r="AH2" s="235">
        <f>+AC2+1</f>
        <v>2020</v>
      </c>
      <c r="AI2" s="235">
        <f>+AD2+1</f>
        <v>2020</v>
      </c>
      <c r="AJ2" s="235">
        <f>+AE2+1</f>
        <v>2020</v>
      </c>
      <c r="AK2" s="235">
        <f>+AF2+1</f>
        <v>2020</v>
      </c>
      <c r="AL2" s="232">
        <f>+AK2</f>
        <v>2020</v>
      </c>
      <c r="AM2" s="235">
        <f>+AH2+1</f>
        <v>2021</v>
      </c>
      <c r="AN2" s="235">
        <f>+AI2+1</f>
        <v>2021</v>
      </c>
      <c r="AO2" s="235">
        <f t="shared" ref="AO2" si="0">+AJ2+1</f>
        <v>2021</v>
      </c>
      <c r="AP2" s="235">
        <f t="shared" ref="AP2" si="1">+AK2+1</f>
        <v>2021</v>
      </c>
      <c r="AQ2" s="232">
        <f>+AP2</f>
        <v>2021</v>
      </c>
    </row>
    <row r="3" spans="1:43">
      <c r="A3" s="116"/>
      <c r="B3" s="54" t="s">
        <v>206</v>
      </c>
      <c r="C3" s="233"/>
      <c r="D3" s="236">
        <v>1</v>
      </c>
      <c r="E3" s="236">
        <v>2</v>
      </c>
      <c r="F3" s="236">
        <v>3</v>
      </c>
      <c r="G3" s="236">
        <v>4</v>
      </c>
      <c r="H3" s="232"/>
      <c r="I3" s="237">
        <f>+D3</f>
        <v>1</v>
      </c>
      <c r="J3" s="237">
        <f>+E3</f>
        <v>2</v>
      </c>
      <c r="K3" s="237">
        <f>+F3</f>
        <v>3</v>
      </c>
      <c r="L3" s="237">
        <f>+G3</f>
        <v>4</v>
      </c>
      <c r="M3" s="232"/>
      <c r="N3" s="237">
        <f>+I3</f>
        <v>1</v>
      </c>
      <c r="O3" s="237">
        <f>+J3</f>
        <v>2</v>
      </c>
      <c r="P3" s="237">
        <f>+K3</f>
        <v>3</v>
      </c>
      <c r="Q3" s="237">
        <f>+L3</f>
        <v>4</v>
      </c>
      <c r="R3" s="232"/>
      <c r="S3" s="237">
        <f>+N3</f>
        <v>1</v>
      </c>
      <c r="T3" s="237">
        <f>+O3</f>
        <v>2</v>
      </c>
      <c r="U3" s="237">
        <f>+P3</f>
        <v>3</v>
      </c>
      <c r="V3" s="237">
        <f>+Q3</f>
        <v>4</v>
      </c>
      <c r="W3" s="232"/>
      <c r="X3" s="237">
        <f>+S3</f>
        <v>1</v>
      </c>
      <c r="Y3" s="237">
        <f>+T3</f>
        <v>2</v>
      </c>
      <c r="Z3" s="237">
        <f>+U3</f>
        <v>3</v>
      </c>
      <c r="AA3" s="237">
        <f>+V3</f>
        <v>4</v>
      </c>
      <c r="AB3" s="232"/>
      <c r="AC3" s="237">
        <f>+X3</f>
        <v>1</v>
      </c>
      <c r="AD3" s="237">
        <f>+Y3</f>
        <v>2</v>
      </c>
      <c r="AE3" s="237">
        <f>+Z3</f>
        <v>3</v>
      </c>
      <c r="AF3" s="237">
        <f>+AA3</f>
        <v>4</v>
      </c>
      <c r="AG3" s="232"/>
      <c r="AH3" s="237">
        <f>+AC3</f>
        <v>1</v>
      </c>
      <c r="AI3" s="237">
        <f>+AD3</f>
        <v>2</v>
      </c>
      <c r="AJ3" s="237">
        <f>+AE3</f>
        <v>3</v>
      </c>
      <c r="AK3" s="237">
        <f>+AF3</f>
        <v>4</v>
      </c>
      <c r="AL3" s="232"/>
      <c r="AM3" s="237">
        <f>+AH3</f>
        <v>1</v>
      </c>
      <c r="AN3" s="237">
        <f>+AI3</f>
        <v>2</v>
      </c>
      <c r="AO3" s="237">
        <f t="shared" ref="AO3" si="2">+AJ3</f>
        <v>3</v>
      </c>
      <c r="AP3" s="237">
        <f t="shared" ref="AP3" si="3">+AK3</f>
        <v>4</v>
      </c>
      <c r="AQ3" s="232"/>
    </row>
    <row r="4" spans="1:43">
      <c r="A4" s="116"/>
      <c r="B4" s="52"/>
      <c r="C4" s="53"/>
      <c r="D4" s="238" t="str">
        <f>D3&amp;"Q"&amp;RIGHT(D2,2)</f>
        <v>1Q14</v>
      </c>
      <c r="E4" s="238" t="str">
        <f t="shared" ref="E4:AN4" si="4">E3&amp;"Q"&amp;RIGHT(E2,2)</f>
        <v>2Q14</v>
      </c>
      <c r="F4" s="238" t="str">
        <f t="shared" si="4"/>
        <v>3Q14</v>
      </c>
      <c r="G4" s="238" t="str">
        <f t="shared" si="4"/>
        <v>4Q14</v>
      </c>
      <c r="H4" s="231">
        <f>+H2</f>
        <v>2014</v>
      </c>
      <c r="I4" s="238" t="str">
        <f t="shared" si="4"/>
        <v>1Q15</v>
      </c>
      <c r="J4" s="238" t="str">
        <f t="shared" si="4"/>
        <v>2Q15</v>
      </c>
      <c r="K4" s="238" t="str">
        <f t="shared" si="4"/>
        <v>3Q15</v>
      </c>
      <c r="L4" s="238" t="str">
        <f t="shared" si="4"/>
        <v>4Q15</v>
      </c>
      <c r="M4" s="231">
        <f>+M2</f>
        <v>2015</v>
      </c>
      <c r="N4" s="238" t="str">
        <f t="shared" si="4"/>
        <v>1Q16</v>
      </c>
      <c r="O4" s="238" t="str">
        <f t="shared" si="4"/>
        <v>2Q16</v>
      </c>
      <c r="P4" s="238" t="str">
        <f t="shared" si="4"/>
        <v>3Q16</v>
      </c>
      <c r="Q4" s="238" t="str">
        <f t="shared" si="4"/>
        <v>4Q16</v>
      </c>
      <c r="R4" s="231">
        <f>+R2</f>
        <v>2016</v>
      </c>
      <c r="S4" s="238" t="str">
        <f t="shared" si="4"/>
        <v>1Q17</v>
      </c>
      <c r="T4" s="238" t="str">
        <f t="shared" si="4"/>
        <v>2Q17</v>
      </c>
      <c r="U4" s="238" t="str">
        <f t="shared" si="4"/>
        <v>3Q17</v>
      </c>
      <c r="V4" s="238" t="str">
        <f t="shared" si="4"/>
        <v>4Q17</v>
      </c>
      <c r="W4" s="231">
        <f>+W2</f>
        <v>2017</v>
      </c>
      <c r="X4" s="238" t="str">
        <f t="shared" si="4"/>
        <v>1Q18</v>
      </c>
      <c r="Y4" s="238" t="str">
        <f t="shared" si="4"/>
        <v>2Q18</v>
      </c>
      <c r="Z4" s="238" t="str">
        <f t="shared" si="4"/>
        <v>3Q18</v>
      </c>
      <c r="AA4" s="238" t="str">
        <f t="shared" si="4"/>
        <v>4Q18</v>
      </c>
      <c r="AB4" s="231">
        <f>+AB2</f>
        <v>2018</v>
      </c>
      <c r="AC4" s="238" t="str">
        <f t="shared" si="4"/>
        <v>1Q19</v>
      </c>
      <c r="AD4" s="238" t="str">
        <f t="shared" si="4"/>
        <v>2Q19</v>
      </c>
      <c r="AE4" s="238" t="str">
        <f t="shared" si="4"/>
        <v>3Q19</v>
      </c>
      <c r="AF4" s="238" t="str">
        <f t="shared" si="4"/>
        <v>4Q19</v>
      </c>
      <c r="AG4" s="231">
        <f>+AG2</f>
        <v>2019</v>
      </c>
      <c r="AH4" s="238" t="str">
        <f t="shared" si="4"/>
        <v>1Q20</v>
      </c>
      <c r="AI4" s="238" t="str">
        <f t="shared" si="4"/>
        <v>2Q20</v>
      </c>
      <c r="AJ4" s="238" t="str">
        <f t="shared" si="4"/>
        <v>3Q20</v>
      </c>
      <c r="AK4" s="238" t="str">
        <f t="shared" si="4"/>
        <v>4Q20</v>
      </c>
      <c r="AL4" s="231">
        <f>+AL2</f>
        <v>2020</v>
      </c>
      <c r="AM4" s="238" t="str">
        <f t="shared" si="4"/>
        <v>1Q21</v>
      </c>
      <c r="AN4" s="238" t="str">
        <f t="shared" si="4"/>
        <v>2Q21</v>
      </c>
      <c r="AO4" s="238" t="str">
        <f t="shared" ref="AO4" si="5">AO3&amp;"Q"&amp;RIGHT(AO2,2)</f>
        <v>3Q21</v>
      </c>
      <c r="AP4" s="238" t="str">
        <f t="shared" ref="AP4" si="6">AP3&amp;"Q"&amp;RIGHT(AP2,2)</f>
        <v>4Q21</v>
      </c>
      <c r="AQ4" s="231">
        <f>+AQ2</f>
        <v>2021</v>
      </c>
    </row>
    <row r="5" spans="1:43">
      <c r="H5" s="247"/>
      <c r="M5" s="247"/>
      <c r="R5" s="247"/>
      <c r="W5" s="247"/>
      <c r="AB5" s="247"/>
      <c r="AG5" s="247"/>
      <c r="AL5" s="247"/>
      <c r="AQ5" s="247"/>
    </row>
    <row r="6" spans="1:43">
      <c r="B6" s="70" t="s">
        <v>248</v>
      </c>
      <c r="D6" s="80">
        <v>6.22</v>
      </c>
      <c r="E6" s="80">
        <v>9.2690000000000001</v>
      </c>
      <c r="F6" s="80">
        <v>11.648</v>
      </c>
      <c r="G6" s="75">
        <f>+H6-SUM(D6:F6)</f>
        <v>13.985999999999997</v>
      </c>
      <c r="H6" s="242">
        <f>INDEX(Model!52:52,1,MATCH('Quarterly Data'!H$4,Model!$3:$3,0))</f>
        <v>41.122999999999998</v>
      </c>
      <c r="I6" s="80">
        <v>22.844999999999999</v>
      </c>
      <c r="J6" s="80">
        <v>27.173999999999999</v>
      </c>
      <c r="K6" s="80">
        <v>34.061999999999998</v>
      </c>
      <c r="L6" s="75">
        <f>+M6-SUM(I6:K6)</f>
        <v>40.891000000000005</v>
      </c>
      <c r="M6" s="242">
        <f>INDEX(Model!52:52,1,MATCH('Quarterly Data'!M$4,Model!$3:$3,0))</f>
        <v>124.97199999999999</v>
      </c>
      <c r="N6" s="80">
        <v>68.495000000000005</v>
      </c>
      <c r="O6" s="80">
        <v>80.488</v>
      </c>
      <c r="P6" s="80">
        <v>92.114999999999995</v>
      </c>
      <c r="Q6" s="75">
        <f>+R6-SUM(N6:P6)</f>
        <v>100.89099999999996</v>
      </c>
      <c r="R6" s="242">
        <f>INDEX(Model!52:52,1,MATCH('Quarterly Data'!R$4,Model!$3:$3,0))</f>
        <v>341.98899999999998</v>
      </c>
      <c r="S6" s="80">
        <v>148.38200000000001</v>
      </c>
      <c r="T6" s="80">
        <v>193.947</v>
      </c>
      <c r="U6" s="80">
        <v>208.113</v>
      </c>
      <c r="V6" s="75">
        <f>+W6-SUM(S6:U6)</f>
        <v>246.47299999999996</v>
      </c>
      <c r="W6" s="242">
        <f>INDEX(Model!52:52,1,MATCH('Quarterly Data'!W$4,Model!$3:$3,0))</f>
        <v>796.91499999999996</v>
      </c>
      <c r="X6" s="80">
        <v>334.05599999999998</v>
      </c>
      <c r="Y6" s="80">
        <v>437.92200000000003</v>
      </c>
      <c r="Z6" s="80">
        <v>486.26900000000001</v>
      </c>
      <c r="AA6" s="75">
        <f>+AB6-SUM(X6:Z6)</f>
        <v>526.798</v>
      </c>
      <c r="AB6" s="242">
        <f>INDEX(Model!52:52,1,MATCH('Quarterly Data'!AB$4,Model!$3:$3,0))</f>
        <v>1785.0450000000001</v>
      </c>
      <c r="AC6" s="80">
        <v>683.82899999999995</v>
      </c>
      <c r="AD6" s="80">
        <v>855.78499999999997</v>
      </c>
      <c r="AE6" s="80">
        <v>931.01599999999996</v>
      </c>
      <c r="AF6" s="75">
        <f>+AG6-SUM(AC6:AE6)</f>
        <v>949.971</v>
      </c>
      <c r="AG6" s="242">
        <f>INDEX(Model!52:52,1,MATCH('Quarterly Data'!AG$4,Model!$3:$3,0))</f>
        <v>3420.6010000000001</v>
      </c>
      <c r="AH6" s="80">
        <v>964</v>
      </c>
      <c r="AI6" s="80">
        <v>991.80200000000002</v>
      </c>
      <c r="AJ6" s="80">
        <v>1289.1279999999999</v>
      </c>
      <c r="AK6" s="75">
        <f>+AL6-SUM(AH6:AJ6)</f>
        <v>1495.665</v>
      </c>
      <c r="AL6" s="242">
        <f>INDEX(Model!52:52,1,MATCH('Quarterly Data'!AL$4,Model!$3:$3,0))</f>
        <v>4740.5950000000003</v>
      </c>
      <c r="AM6" s="80">
        <v>1800</v>
      </c>
      <c r="AN6" s="80"/>
      <c r="AO6" s="80"/>
      <c r="AP6" s="80"/>
      <c r="AQ6" s="242"/>
    </row>
    <row r="7" spans="1:43">
      <c r="B7" s="70" t="s">
        <v>249</v>
      </c>
      <c r="D7" s="80">
        <v>7.0000000000000007E-2</v>
      </c>
      <c r="E7" s="80">
        <v>0.17</v>
      </c>
      <c r="F7" s="80">
        <v>0.14399999999999999</v>
      </c>
      <c r="G7" s="75">
        <f>+H7-SUM(D7:F7)</f>
        <v>0.13800000000000001</v>
      </c>
      <c r="H7" s="242">
        <f>INDEX(Model!53:53,1,MATCH('Quarterly Data'!H$4,Model!$3:$3,0))</f>
        <v>0.52200000000000002</v>
      </c>
      <c r="I7" s="80">
        <v>0.436</v>
      </c>
      <c r="J7" s="80">
        <v>1.1839999999999999</v>
      </c>
      <c r="K7" s="80">
        <v>1.167</v>
      </c>
      <c r="L7" s="75">
        <f>+M7-SUM(I7:K7)</f>
        <v>0.95599999999999996</v>
      </c>
      <c r="M7" s="242">
        <f>INDEX(Model!53:53,1,MATCH('Quarterly Data'!M$4,Model!$3:$3,0))</f>
        <v>3.7429999999999999</v>
      </c>
      <c r="N7" s="80">
        <v>1.5589999999999999</v>
      </c>
      <c r="O7" s="80">
        <v>2.4750000000000001</v>
      </c>
      <c r="P7" s="80">
        <v>2.87</v>
      </c>
      <c r="Q7" s="75">
        <f>+R7-SUM(N7:P7)</f>
        <v>3.2590000000000003</v>
      </c>
      <c r="R7" s="242">
        <f>INDEX(Model!53:53,1,MATCH('Quarterly Data'!R$4,Model!$3:$3,0))</f>
        <v>10.163</v>
      </c>
      <c r="S7" s="80">
        <v>5.726</v>
      </c>
      <c r="T7" s="80">
        <v>7.8179999999999996</v>
      </c>
      <c r="U7" s="80">
        <v>7.4589999999999996</v>
      </c>
      <c r="V7" s="75">
        <f>+W7-SUM(S7:U7)</f>
        <v>7.5109999999999992</v>
      </c>
      <c r="W7" s="242">
        <f>INDEX(Model!53:53,1,MATCH('Quarterly Data'!W$4,Model!$3:$3,0))</f>
        <v>28.513999999999999</v>
      </c>
      <c r="X7" s="80">
        <v>10.132999999999999</v>
      </c>
      <c r="Y7" s="80">
        <v>16.622</v>
      </c>
      <c r="Z7" s="80">
        <v>21.44</v>
      </c>
      <c r="AA7" s="75">
        <f>+AB7-SUM(X7:Z7)</f>
        <v>25.389000000000003</v>
      </c>
      <c r="AB7" s="242">
        <f>INDEX(Model!53:53,1,MATCH('Quarterly Data'!AB$4,Model!$3:$3,0))</f>
        <v>73.584000000000003</v>
      </c>
      <c r="AC7" s="80">
        <v>33.03</v>
      </c>
      <c r="AD7" s="80">
        <v>63.014000000000003</v>
      </c>
      <c r="AE7" s="80">
        <v>92.43</v>
      </c>
      <c r="AF7" s="75">
        <f>+AG7-SUM(AC7:AE7)</f>
        <v>79.111999999999995</v>
      </c>
      <c r="AG7" s="242">
        <f>INDEX(Model!53:53,1,MATCH('Quarterly Data'!AG$4,Model!$3:$3,0))</f>
        <v>267.58600000000001</v>
      </c>
      <c r="AH7" s="80">
        <v>80</v>
      </c>
      <c r="AI7" s="80">
        <v>49.433999999999997</v>
      </c>
      <c r="AJ7" s="80">
        <v>129.92500000000001</v>
      </c>
      <c r="AK7" s="75">
        <f>+AL7-SUM(AH7:AJ7)</f>
        <v>185.87699999999995</v>
      </c>
      <c r="AL7" s="242">
        <f>INDEX(Model!53:53,1,MATCH('Quarterly Data'!AL$4,Model!$3:$3,0))</f>
        <v>445.23599999999999</v>
      </c>
      <c r="AM7" s="80">
        <v>240</v>
      </c>
      <c r="AN7" s="80"/>
      <c r="AO7" s="80"/>
      <c r="AP7" s="80"/>
      <c r="AQ7" s="242"/>
    </row>
    <row r="8" spans="1:43">
      <c r="B8" s="70" t="s">
        <v>128</v>
      </c>
      <c r="D8" s="80">
        <v>8.0000000000000002E-3</v>
      </c>
      <c r="E8" s="80">
        <v>0.01</v>
      </c>
      <c r="F8" s="80">
        <v>3.0000000000000001E-3</v>
      </c>
      <c r="G8" s="75">
        <f>+H8-SUM(D8:F8)</f>
        <v>1.3000000000000001E-2</v>
      </c>
      <c r="H8" s="242">
        <f>INDEX(Model!54:54,1,MATCH('Quarterly Data'!H$4,Model!$3:$3,0))</f>
        <v>3.4000000000000002E-2</v>
      </c>
      <c r="I8" s="80">
        <v>0.32200000000000001</v>
      </c>
      <c r="J8" s="80">
        <v>2.4899999999999999E-2</v>
      </c>
      <c r="K8" s="80">
        <v>0.439</v>
      </c>
      <c r="L8" s="75">
        <f>+M8-SUM(I8:K8)</f>
        <v>0.8911</v>
      </c>
      <c r="M8" s="242">
        <f>INDEX(Model!54:54,1,MATCH('Quarterly Data'!M$4,Model!$3:$3,0))</f>
        <v>1.677</v>
      </c>
      <c r="N8" s="80">
        <v>2.8969999999999998</v>
      </c>
      <c r="O8" s="80">
        <v>3.5630000000000002</v>
      </c>
      <c r="P8" s="80">
        <v>3.859</v>
      </c>
      <c r="Q8" s="75">
        <f>+R8-SUM(N8:P8)</f>
        <v>2.6770000000000014</v>
      </c>
      <c r="R8" s="242">
        <f>INDEX(Model!54:54,1,MATCH('Quarterly Data'!R$4,Model!$3:$3,0))</f>
        <v>12.996</v>
      </c>
      <c r="S8" s="80">
        <v>4.9649999999999999</v>
      </c>
      <c r="T8" s="80">
        <v>7.6</v>
      </c>
      <c r="U8" s="80">
        <v>9.8070000000000004</v>
      </c>
      <c r="V8" s="75">
        <f>+W8-SUM(S8:U8)</f>
        <v>11.069000000000003</v>
      </c>
      <c r="W8" s="242">
        <f>INDEX(Model!54:54,1,MATCH('Quarterly Data'!W$4,Model!$3:$3,0))</f>
        <v>33.441000000000003</v>
      </c>
      <c r="X8" s="80">
        <v>16.233000000000001</v>
      </c>
      <c r="Y8" s="80">
        <v>20.742000000000001</v>
      </c>
      <c r="Z8" s="80">
        <v>27.212</v>
      </c>
      <c r="AA8" s="75">
        <f>+AB8-SUM(X8:Z8)</f>
        <v>32.650999999999996</v>
      </c>
      <c r="AB8" s="242">
        <f>INDEX(Model!54:54,1,MATCH('Quarterly Data'!AB$4,Model!$3:$3,0))</f>
        <v>96.837999999999994</v>
      </c>
      <c r="AC8" s="80">
        <v>38.375</v>
      </c>
      <c r="AD8" s="80">
        <v>67.421999999999997</v>
      </c>
      <c r="AE8" s="80">
        <v>71.408000000000001</v>
      </c>
      <c r="AF8" s="75">
        <f>+AG8-SUM(AC8:AE8)</f>
        <v>74.504000000000019</v>
      </c>
      <c r="AG8" s="242">
        <f>INDEX(Model!54:54,1,MATCH('Quarterly Data'!AG$4,Model!$3:$3,0))</f>
        <v>251.709</v>
      </c>
      <c r="AH8" s="80">
        <v>54</v>
      </c>
      <c r="AI8" s="80">
        <v>77.097999999999999</v>
      </c>
      <c r="AJ8" s="80">
        <v>124.556</v>
      </c>
      <c r="AK8" s="75">
        <f>+AL8-SUM(AH8:AJ8)</f>
        <v>145.07999999999998</v>
      </c>
      <c r="AL8" s="242">
        <f>INDEX(Model!54:54,1,MATCH('Quarterly Data'!AL$4,Model!$3:$3,0))</f>
        <v>400.73399999999998</v>
      </c>
      <c r="AM8" s="80">
        <v>205</v>
      </c>
      <c r="AN8" s="80"/>
      <c r="AO8" s="80"/>
      <c r="AP8" s="80"/>
      <c r="AQ8" s="242"/>
    </row>
    <row r="9" spans="1:43">
      <c r="B9" s="2" t="s">
        <v>210</v>
      </c>
      <c r="C9" s="2"/>
      <c r="D9" s="8">
        <f t="shared" ref="D9:P9" si="7">SUM(D6:D8)</f>
        <v>6.298</v>
      </c>
      <c r="E9" s="8">
        <f t="shared" si="7"/>
        <v>9.4489999999999998</v>
      </c>
      <c r="F9" s="8">
        <f t="shared" si="7"/>
        <v>11.795</v>
      </c>
      <c r="G9" s="8">
        <f t="shared" si="7"/>
        <v>14.136999999999997</v>
      </c>
      <c r="H9" s="239">
        <f t="shared" si="7"/>
        <v>41.678999999999995</v>
      </c>
      <c r="I9" s="8">
        <f t="shared" si="7"/>
        <v>23.602999999999998</v>
      </c>
      <c r="J9" s="8">
        <f t="shared" si="7"/>
        <v>28.382899999999999</v>
      </c>
      <c r="K9" s="8">
        <f t="shared" si="7"/>
        <v>35.667999999999999</v>
      </c>
      <c r="L9" s="8">
        <f t="shared" si="7"/>
        <v>42.73810000000001</v>
      </c>
      <c r="M9" s="239">
        <f t="shared" si="7"/>
        <v>130.392</v>
      </c>
      <c r="N9" s="8">
        <f t="shared" si="7"/>
        <v>72.951000000000008</v>
      </c>
      <c r="O9" s="8">
        <f t="shared" si="7"/>
        <v>86.525999999999996</v>
      </c>
      <c r="P9" s="8">
        <f t="shared" si="7"/>
        <v>98.843999999999994</v>
      </c>
      <c r="Q9" s="8">
        <f t="shared" ref="Q9:AM9" si="8">SUM(Q6:Q8)</f>
        <v>106.82699999999997</v>
      </c>
      <c r="R9" s="239">
        <f t="shared" si="8"/>
        <v>365.14799999999997</v>
      </c>
      <c r="S9" s="8">
        <f t="shared" si="8"/>
        <v>159.07300000000001</v>
      </c>
      <c r="T9" s="8">
        <f t="shared" si="8"/>
        <v>209.36500000000001</v>
      </c>
      <c r="U9" s="8">
        <f t="shared" si="8"/>
        <v>225.37899999999999</v>
      </c>
      <c r="V9" s="8">
        <f t="shared" si="8"/>
        <v>265.05299999999994</v>
      </c>
      <c r="W9" s="239">
        <f t="shared" si="8"/>
        <v>858.87</v>
      </c>
      <c r="X9" s="8">
        <f t="shared" si="8"/>
        <v>360.42199999999997</v>
      </c>
      <c r="Y9" s="8">
        <f t="shared" si="8"/>
        <v>475.28600000000006</v>
      </c>
      <c r="Z9" s="8">
        <f t="shared" si="8"/>
        <v>534.92100000000005</v>
      </c>
      <c r="AA9" s="8">
        <f t="shared" si="8"/>
        <v>584.83799999999997</v>
      </c>
      <c r="AB9" s="239">
        <f t="shared" si="8"/>
        <v>1955.4670000000001</v>
      </c>
      <c r="AC9" s="8">
        <f t="shared" si="8"/>
        <v>755.23399999999992</v>
      </c>
      <c r="AD9" s="8">
        <f t="shared" si="8"/>
        <v>986.221</v>
      </c>
      <c r="AE9" s="8">
        <f t="shared" si="8"/>
        <v>1094.8539999999998</v>
      </c>
      <c r="AF9" s="8">
        <f t="shared" si="8"/>
        <v>1103.587</v>
      </c>
      <c r="AG9" s="239">
        <f t="shared" si="8"/>
        <v>3939.8959999999997</v>
      </c>
      <c r="AH9" s="8">
        <f t="shared" si="8"/>
        <v>1098</v>
      </c>
      <c r="AI9" s="8">
        <f t="shared" si="8"/>
        <v>1118.3340000000001</v>
      </c>
      <c r="AJ9" s="8">
        <f t="shared" si="8"/>
        <v>1543.6089999999999</v>
      </c>
      <c r="AK9" s="8">
        <f t="shared" si="8"/>
        <v>1826.6219999999998</v>
      </c>
      <c r="AL9" s="239">
        <f t="shared" si="8"/>
        <v>5586.5650000000005</v>
      </c>
      <c r="AM9" s="8">
        <f t="shared" si="8"/>
        <v>2245</v>
      </c>
      <c r="AN9" s="8">
        <f t="shared" ref="AN9" si="9">SUM(AN6:AN8)</f>
        <v>0</v>
      </c>
      <c r="AO9" s="8">
        <f t="shared" ref="AO9" si="10">SUM(AO6:AO8)</f>
        <v>0</v>
      </c>
      <c r="AP9" s="8">
        <f t="shared" ref="AP9" si="11">SUM(AP6:AP8)</f>
        <v>0</v>
      </c>
      <c r="AQ9" s="239"/>
    </row>
    <row r="10" spans="1:43">
      <c r="H10" s="247"/>
      <c r="M10" s="247"/>
      <c r="R10" s="247"/>
      <c r="W10" s="247"/>
      <c r="AB10" s="247"/>
      <c r="AG10" s="247"/>
      <c r="AL10" s="247"/>
      <c r="AQ10" s="247"/>
    </row>
    <row r="11" spans="1:43">
      <c r="B11" s="70" t="s">
        <v>248</v>
      </c>
      <c r="D11" s="80"/>
      <c r="E11" s="80"/>
      <c r="F11" s="80"/>
      <c r="G11" s="75"/>
      <c r="H11" s="242">
        <f>INDEX(Model!57:57,1,MATCH('Quarterly Data'!H$4,Model!$3:$3,0))</f>
        <v>-0.44900000000000001</v>
      </c>
      <c r="I11" s="80"/>
      <c r="J11" s="80"/>
      <c r="K11" s="80"/>
      <c r="L11" s="75"/>
      <c r="M11" s="242">
        <f>INDEX(Model!57:57,1,MATCH('Quarterly Data'!M$4,Model!$3:$3,0))</f>
        <v>-0.21199999999999999</v>
      </c>
      <c r="N11" s="80">
        <v>1.1299999999999999</v>
      </c>
      <c r="O11" s="80">
        <v>2.3109999999999999</v>
      </c>
      <c r="P11" s="80">
        <v>2.8490000000000002</v>
      </c>
      <c r="Q11" s="75">
        <f>+R11-SUM(N11:P11)</f>
        <v>-0.34600000000000009</v>
      </c>
      <c r="R11" s="242">
        <f>INDEX(Model!57:57,1,MATCH('Quarterly Data'!R$4,Model!$3:$3,0))</f>
        <v>5.944</v>
      </c>
      <c r="S11" s="80">
        <v>4.6260000000000003</v>
      </c>
      <c r="T11" s="80">
        <v>8.1720000000000006</v>
      </c>
      <c r="U11" s="80">
        <v>9.859</v>
      </c>
      <c r="V11" s="75">
        <f>+W11-SUM(S11:U11)</f>
        <v>10.148999999999994</v>
      </c>
      <c r="W11" s="242">
        <f>INDEX(Model!57:57,1,MATCH('Quarterly Data'!W$4,Model!$3:$3,0))</f>
        <v>32.805999999999997</v>
      </c>
      <c r="X11" s="80">
        <v>16.646000000000001</v>
      </c>
      <c r="Y11" s="80">
        <v>26.640999999999998</v>
      </c>
      <c r="Z11" s="80">
        <v>28.55</v>
      </c>
      <c r="AA11" s="75">
        <f>+AB11-SUM(X11:Z11)</f>
        <v>22.481999999999999</v>
      </c>
      <c r="AB11" s="242">
        <f>INDEX(Model!57:57,1,MATCH('Quarterly Data'!AB$4,Model!$3:$3,0))</f>
        <v>94.319000000000003</v>
      </c>
      <c r="AC11" s="80">
        <v>47.122</v>
      </c>
      <c r="AD11" s="80">
        <v>63.378</v>
      </c>
      <c r="AE11" s="80">
        <v>60.563000000000002</v>
      </c>
      <c r="AF11" s="75">
        <f>+AG11-SUM(AC11:AE11)</f>
        <v>66.792000000000002</v>
      </c>
      <c r="AG11" s="242">
        <f>INDEX(Model!57:57,1,MATCH('Quarterly Data'!AG$4,Model!$3:$3,0))</f>
        <v>237.85499999999999</v>
      </c>
      <c r="AH11" s="80">
        <v>83</v>
      </c>
      <c r="AI11" s="80">
        <v>65.566000000000003</v>
      </c>
      <c r="AJ11" s="80">
        <v>119.607</v>
      </c>
      <c r="AK11" s="75">
        <f>+AL11-SUM(AH11:AJ11)</f>
        <v>91.168000000000006</v>
      </c>
      <c r="AL11" s="242">
        <f>INDEX(Model!57:57,1,MATCH('Quarterly Data'!AL$4,Model!$3:$3,0))</f>
        <v>359.34100000000001</v>
      </c>
      <c r="AM11" s="80">
        <v>112</v>
      </c>
      <c r="AN11" s="80"/>
      <c r="AO11" s="80"/>
      <c r="AP11" s="80"/>
      <c r="AQ11" s="242"/>
    </row>
    <row r="12" spans="1:43">
      <c r="B12" s="70" t="s">
        <v>249</v>
      </c>
      <c r="D12" s="80"/>
      <c r="E12" s="80"/>
      <c r="F12" s="80"/>
      <c r="G12" s="75"/>
      <c r="H12" s="242">
        <f>INDEX(Model!58:58,1,MATCH('Quarterly Data'!H$4,Model!$3:$3,0))</f>
        <v>-8.9999999999999993E-3</v>
      </c>
      <c r="I12" s="80"/>
      <c r="J12" s="80"/>
      <c r="K12" s="80"/>
      <c r="L12" s="75"/>
      <c r="M12" s="242">
        <f>INDEX(Model!58:58,1,MATCH('Quarterly Data'!M$4,Model!$3:$3,0))</f>
        <v>-0.11899999999999999</v>
      </c>
      <c r="N12" s="80">
        <v>-7.0000000000000007E-2</v>
      </c>
      <c r="O12" s="80">
        <v>0.16300000000000001</v>
      </c>
      <c r="P12" s="80">
        <v>5.8000000000000003E-2</v>
      </c>
      <c r="Q12" s="75">
        <f>+R12-SUM(N12:P12)</f>
        <v>0.10600000000000001</v>
      </c>
      <c r="R12" s="242">
        <f>INDEX(Model!58:58,1,MATCH('Quarterly Data'!R$4,Model!$3:$3,0))</f>
        <v>0.25700000000000001</v>
      </c>
      <c r="S12" s="80">
        <v>0.155</v>
      </c>
      <c r="T12" s="80">
        <v>0.26700000000000002</v>
      </c>
      <c r="U12" s="80">
        <v>0.751</v>
      </c>
      <c r="V12" s="75">
        <f>+W12-SUM(S12:U12)</f>
        <v>0.67199999999999993</v>
      </c>
      <c r="W12" s="242">
        <f>INDEX(Model!58:58,1,MATCH('Quarterly Data'!W$4,Model!$3:$3,0))</f>
        <v>1.845</v>
      </c>
      <c r="X12" s="80">
        <v>1.355</v>
      </c>
      <c r="Y12" s="80">
        <v>1.6519999999999999</v>
      </c>
      <c r="Z12" s="80">
        <v>1.544</v>
      </c>
      <c r="AA12" s="75">
        <f>+AB12-SUM(X12:Z12)</f>
        <v>1.0009999999999994</v>
      </c>
      <c r="AB12" s="242">
        <f>INDEX(Model!58:58,1,MATCH('Quarterly Data'!AB$4,Model!$3:$3,0))</f>
        <v>5.5519999999999996</v>
      </c>
      <c r="AC12" s="80">
        <v>3.0350000000000001</v>
      </c>
      <c r="AD12" s="80">
        <v>6.9930000000000003</v>
      </c>
      <c r="AE12" s="80">
        <v>5.5720000000000001</v>
      </c>
      <c r="AF12" s="75">
        <f>+AG12-SUM(AC12:AE12)</f>
        <v>1.25</v>
      </c>
      <c r="AG12" s="242">
        <f>INDEX(Model!58:58,1,MATCH('Quarterly Data'!AG$4,Model!$3:$3,0))</f>
        <v>16.850000000000001</v>
      </c>
      <c r="AH12" s="80">
        <v>1</v>
      </c>
      <c r="AI12" s="80">
        <v>7.5419999999999998</v>
      </c>
      <c r="AJ12" s="80">
        <v>17.11</v>
      </c>
      <c r="AK12" s="75">
        <f>+AL12-SUM(AH12:AJ12)</f>
        <v>8.0379999999999967</v>
      </c>
      <c r="AL12" s="242">
        <f>INDEX(Model!58:58,1,MATCH('Quarterly Data'!AL$4,Model!$3:$3,0))</f>
        <v>33.69</v>
      </c>
      <c r="AM12" s="80">
        <v>21</v>
      </c>
      <c r="AN12" s="80"/>
      <c r="AO12" s="80"/>
      <c r="AP12" s="80"/>
      <c r="AQ12" s="242"/>
    </row>
    <row r="13" spans="1:43">
      <c r="B13" s="70" t="s">
        <v>128</v>
      </c>
      <c r="D13" s="80"/>
      <c r="E13" s="80"/>
      <c r="F13" s="80"/>
      <c r="G13" s="75"/>
      <c r="H13" s="242">
        <f>INDEX(Model!59:59,1,MATCH('Quarterly Data'!H$4,Model!$3:$3,0))</f>
        <v>3.4000000000000002E-2</v>
      </c>
      <c r="I13" s="80"/>
      <c r="J13" s="80"/>
      <c r="K13" s="80"/>
      <c r="L13" s="75"/>
      <c r="M13" s="242">
        <f>INDEX(Model!59:59,1,MATCH('Quarterly Data'!M$4,Model!$3:$3,0))</f>
        <v>1.677</v>
      </c>
      <c r="N13" s="80">
        <v>2.8969999999999998</v>
      </c>
      <c r="O13" s="80">
        <v>3.5630000000000002</v>
      </c>
      <c r="P13" s="80">
        <v>3.859</v>
      </c>
      <c r="Q13" s="75">
        <f>+R13-SUM(N13:P13)</f>
        <v>2.6770000000000014</v>
      </c>
      <c r="R13" s="242">
        <f>INDEX(Model!59:59,1,MATCH('Quarterly Data'!R$4,Model!$3:$3,0))</f>
        <v>12.996</v>
      </c>
      <c r="S13" s="80">
        <v>4.9649999999999999</v>
      </c>
      <c r="T13" s="80">
        <v>7.6</v>
      </c>
      <c r="U13" s="80">
        <v>9.8059999999999992</v>
      </c>
      <c r="V13" s="75">
        <f>+W13-SUM(S13:U13)</f>
        <v>11.068999999999999</v>
      </c>
      <c r="W13" s="242">
        <f>INDEX(Model!59:59,1,MATCH('Quarterly Data'!W$4,Model!$3:$3,0))</f>
        <v>33.44</v>
      </c>
      <c r="X13" s="80">
        <v>16.233000000000001</v>
      </c>
      <c r="Y13" s="80">
        <v>20.742000000000001</v>
      </c>
      <c r="Z13" s="80">
        <v>27.212</v>
      </c>
      <c r="AA13" s="75">
        <f>+AB13-SUM(X13:Z13)</f>
        <v>32.650999999999996</v>
      </c>
      <c r="AB13" s="242">
        <f>INDEX(Model!59:59,1,MATCH('Quarterly Data'!AB$4,Model!$3:$3,0))</f>
        <v>96.837999999999994</v>
      </c>
      <c r="AC13" s="80">
        <v>38.375</v>
      </c>
      <c r="AD13" s="80">
        <v>67.421999999999997</v>
      </c>
      <c r="AE13" s="80">
        <v>71.408000000000001</v>
      </c>
      <c r="AF13" s="75">
        <f>+AG13-SUM(AC13:AE13)</f>
        <v>74.504000000000019</v>
      </c>
      <c r="AG13" s="242">
        <f>INDEX(Model!59:59,1,MATCH('Quarterly Data'!AG$4,Model!$3:$3,0))</f>
        <v>251.709</v>
      </c>
      <c r="AH13" s="80">
        <v>54</v>
      </c>
      <c r="AI13" s="80">
        <v>77.097999999999999</v>
      </c>
      <c r="AJ13" s="80">
        <v>124.556</v>
      </c>
      <c r="AK13" s="75">
        <f>+AL13-SUM(AH13:AJ13)</f>
        <v>145.07999999999998</v>
      </c>
      <c r="AL13" s="242">
        <f>INDEX(Model!59:59,1,MATCH('Quarterly Data'!AL$4,Model!$3:$3,0))</f>
        <v>400.73399999999998</v>
      </c>
      <c r="AM13" s="80">
        <v>205</v>
      </c>
      <c r="AN13" s="80"/>
      <c r="AO13" s="80"/>
      <c r="AP13" s="80"/>
      <c r="AQ13" s="242"/>
    </row>
    <row r="14" spans="1:43">
      <c r="B14" s="2" t="s">
        <v>264</v>
      </c>
      <c r="C14" s="2"/>
      <c r="D14" s="8"/>
      <c r="E14" s="8"/>
      <c r="F14" s="8"/>
      <c r="G14" s="8"/>
      <c r="H14" s="239">
        <f>SUM(H11:H13)</f>
        <v>-0.42400000000000004</v>
      </c>
      <c r="I14" s="8"/>
      <c r="J14" s="8"/>
      <c r="K14" s="8"/>
      <c r="L14" s="8"/>
      <c r="M14" s="239">
        <f>SUM(M11:M13)</f>
        <v>1.3460000000000001</v>
      </c>
      <c r="N14" s="8">
        <f t="shared" ref="N14" si="12">SUM(N11:N13)</f>
        <v>3.9569999999999999</v>
      </c>
      <c r="O14" s="8">
        <f t="shared" ref="O14" si="13">SUM(O11:O13)</f>
        <v>6.0369999999999999</v>
      </c>
      <c r="P14" s="8">
        <f t="shared" ref="P14:Q14" si="14">SUM(P11:P13)</f>
        <v>6.766</v>
      </c>
      <c r="Q14" s="8">
        <f t="shared" si="14"/>
        <v>2.4370000000000012</v>
      </c>
      <c r="R14" s="239">
        <f>SUM(R11:R13)</f>
        <v>19.196999999999999</v>
      </c>
      <c r="S14" s="8">
        <f t="shared" ref="S14" si="15">SUM(S11:S13)</f>
        <v>9.7460000000000004</v>
      </c>
      <c r="T14" s="8">
        <f t="shared" ref="T14" si="16">SUM(T11:T13)</f>
        <v>16.039000000000001</v>
      </c>
      <c r="U14" s="8">
        <f t="shared" ref="U14:V14" si="17">SUM(U11:U13)</f>
        <v>20.415999999999997</v>
      </c>
      <c r="V14" s="8">
        <f t="shared" si="17"/>
        <v>21.889999999999993</v>
      </c>
      <c r="W14" s="239">
        <f>SUM(W11:W13)</f>
        <v>68.090999999999994</v>
      </c>
      <c r="X14" s="8">
        <f t="shared" ref="X14" si="18">SUM(X11:X13)</f>
        <v>34.234000000000002</v>
      </c>
      <c r="Y14" s="8">
        <f t="shared" ref="Y14" si="19">SUM(Y11:Y13)</f>
        <v>49.034999999999997</v>
      </c>
      <c r="Z14" s="8">
        <f t="shared" ref="Z14:AA14" si="20">SUM(Z11:Z13)</f>
        <v>57.305999999999997</v>
      </c>
      <c r="AA14" s="8">
        <f t="shared" si="20"/>
        <v>56.133999999999993</v>
      </c>
      <c r="AB14" s="239">
        <f>SUM(AB11:AB13)</f>
        <v>196.709</v>
      </c>
      <c r="AC14" s="8">
        <f t="shared" ref="AC14" si="21">SUM(AC11:AC13)</f>
        <v>88.531999999999996</v>
      </c>
      <c r="AD14" s="8">
        <f t="shared" ref="AD14" si="22">SUM(AD11:AD13)</f>
        <v>137.79300000000001</v>
      </c>
      <c r="AE14" s="8">
        <f t="shared" ref="AE14:AF14" si="23">SUM(AE11:AE13)</f>
        <v>137.54300000000001</v>
      </c>
      <c r="AF14" s="8">
        <f t="shared" si="23"/>
        <v>142.54600000000002</v>
      </c>
      <c r="AG14" s="239">
        <f>SUM(AG11:AG13)</f>
        <v>506.41399999999999</v>
      </c>
      <c r="AH14" s="8">
        <f t="shared" ref="AH14" si="24">SUM(AH11:AH13)</f>
        <v>138</v>
      </c>
      <c r="AI14" s="8">
        <f t="shared" ref="AI14" si="25">SUM(AI11:AI13)</f>
        <v>150.20600000000002</v>
      </c>
      <c r="AJ14" s="8">
        <f t="shared" ref="AJ14" si="26">SUM(AJ11:AJ13)</f>
        <v>261.27299999999997</v>
      </c>
      <c r="AK14" s="8">
        <f t="shared" ref="AK14" si="27">SUM(AK11:AK13)</f>
        <v>244.286</v>
      </c>
      <c r="AL14" s="239">
        <f>SUM(AL11:AL13)</f>
        <v>793.76499999999999</v>
      </c>
      <c r="AM14" s="8">
        <f t="shared" ref="AM14" si="28">SUM(AM11:AM13)</f>
        <v>338</v>
      </c>
      <c r="AN14" s="8">
        <f t="shared" ref="AN14" si="29">SUM(AN11:AN13)</f>
        <v>0</v>
      </c>
      <c r="AO14" s="8">
        <f t="shared" ref="AO14" si="30">SUM(AO11:AO13)</f>
        <v>0</v>
      </c>
      <c r="AP14" s="8">
        <f t="shared" ref="AP14" si="31">SUM(AP11:AP13)</f>
        <v>0</v>
      </c>
      <c r="AQ14" s="239"/>
    </row>
    <row r="15" spans="1:43">
      <c r="H15" s="247"/>
      <c r="M15" s="247"/>
      <c r="R15" s="247"/>
      <c r="W15" s="247"/>
      <c r="AB15" s="247"/>
      <c r="AG15" s="247"/>
      <c r="AL15" s="247"/>
      <c r="AQ15" s="247"/>
    </row>
    <row r="16" spans="1:43">
      <c r="B16" s="176" t="s">
        <v>257</v>
      </c>
      <c r="E16" s="7"/>
      <c r="F16" s="7"/>
      <c r="G16" s="75"/>
      <c r="H16" s="242">
        <f>INDEX(Model!22:22,1,MATCH('Quarterly Data'!H$4,Model!$3:$3,0))</f>
        <v>4.4130000000000003</v>
      </c>
      <c r="I16" s="7"/>
      <c r="J16" s="7"/>
      <c r="K16" s="7"/>
      <c r="L16" s="75"/>
      <c r="M16" s="242">
        <f>INDEX(Model!22:22,1,MATCH('Quarterly Data'!M$4,Model!$3:$3,0))</f>
        <v>11.657</v>
      </c>
      <c r="N16" s="80">
        <v>6.6470000000000002</v>
      </c>
      <c r="O16" s="80">
        <v>7.875</v>
      </c>
      <c r="P16" s="80">
        <v>9.8680000000000003</v>
      </c>
      <c r="Q16" s="75">
        <f t="shared" ref="Q16:Q21" si="32">+R16-SUM(N16:P16)</f>
        <v>12.829999999999998</v>
      </c>
      <c r="R16" s="242">
        <f>INDEX(Model!22:22,1,MATCH('Quarterly Data'!R$4,Model!$3:$3,0))</f>
        <v>37.22</v>
      </c>
      <c r="S16" s="80">
        <v>16.303000000000001</v>
      </c>
      <c r="T16" s="80">
        <v>18.789000000000001</v>
      </c>
      <c r="U16" s="80">
        <v>19.404</v>
      </c>
      <c r="V16" s="75">
        <f t="shared" ref="V16:V21" si="33">+W16-SUM(S16:U16)</f>
        <v>22.219000000000008</v>
      </c>
      <c r="W16" s="242">
        <f>INDEX(Model!22:22,1,MATCH('Quarterly Data'!W$4,Model!$3:$3,0))</f>
        <v>76.715000000000003</v>
      </c>
      <c r="X16" s="80">
        <v>24.986999999999998</v>
      </c>
      <c r="Y16" s="80">
        <v>29.251000000000001</v>
      </c>
      <c r="Z16" s="80">
        <v>34.411000000000001</v>
      </c>
      <c r="AA16" s="75">
        <f t="shared" ref="AA16:AA21" si="34">+AB16-SUM(X16:Z16)</f>
        <v>43.064999999999998</v>
      </c>
      <c r="AB16" s="242">
        <f>INDEX(Model!22:22,1,MATCH('Quarterly Data'!AB$4,Model!$3:$3,0))</f>
        <v>131.714</v>
      </c>
      <c r="AC16" s="80">
        <v>48.804000000000002</v>
      </c>
      <c r="AD16" s="80">
        <v>54.183999999999997</v>
      </c>
      <c r="AE16" s="80">
        <v>60.655000000000001</v>
      </c>
      <c r="AF16" s="75">
        <f t="shared" ref="AF16:AF21" si="35">+AG16-SUM(AC16:AE16)</f>
        <v>72.938999999999993</v>
      </c>
      <c r="AG16" s="242">
        <f>INDEX(Model!22:22,1,MATCH('Quarterly Data'!AG$4,Model!$3:$3,0))</f>
        <v>236.58199999999999</v>
      </c>
      <c r="AH16" s="80">
        <v>84</v>
      </c>
      <c r="AI16" s="80">
        <v>74.201999999999998</v>
      </c>
      <c r="AJ16" s="80">
        <v>80.248000000000005</v>
      </c>
      <c r="AK16" s="75">
        <f t="shared" ref="AK16:AK21" si="36">+AL16-SUM(AH16:AJ16)</f>
        <v>99.871000000000038</v>
      </c>
      <c r="AL16" s="242">
        <f>INDEX(Model!22:22,1,MATCH('Quarterly Data'!AL$4,Model!$3:$3,0))</f>
        <v>338.32100000000003</v>
      </c>
      <c r="AM16" s="80">
        <v>126</v>
      </c>
      <c r="AQ16" s="242"/>
    </row>
    <row r="17" spans="2:43">
      <c r="B17" s="176" t="s">
        <v>258</v>
      </c>
      <c r="E17" s="7"/>
      <c r="F17" s="7"/>
      <c r="G17" s="75"/>
      <c r="H17" s="242">
        <f>INDEX(Model!23:23,1,MATCH('Quarterly Data'!H$4,Model!$3:$3,0))</f>
        <v>0</v>
      </c>
      <c r="I17" s="7"/>
      <c r="J17" s="7"/>
      <c r="K17" s="7"/>
      <c r="L17" s="75"/>
      <c r="M17" s="242">
        <f>INDEX(Model!23:23,1,MATCH('Quarterly Data'!M$4,Model!$3:$3,0))</f>
        <v>0</v>
      </c>
      <c r="N17" s="80">
        <v>0</v>
      </c>
      <c r="O17" s="80">
        <v>0</v>
      </c>
      <c r="P17" s="80">
        <v>0</v>
      </c>
      <c r="Q17" s="75">
        <f t="shared" si="32"/>
        <v>0</v>
      </c>
      <c r="R17" s="242">
        <f>INDEX(Model!23:23,1,MATCH('Quarterly Data'!R$4,Model!$3:$3,0))</f>
        <v>0</v>
      </c>
      <c r="S17" s="80">
        <v>0</v>
      </c>
      <c r="T17" s="80">
        <v>0</v>
      </c>
      <c r="U17" s="80">
        <v>0</v>
      </c>
      <c r="V17" s="75">
        <f t="shared" si="33"/>
        <v>0</v>
      </c>
      <c r="W17" s="242">
        <f>INDEX(Model!23:23,1,MATCH('Quarterly Data'!W$4,Model!$3:$3,0))</f>
        <v>0</v>
      </c>
      <c r="X17" s="80">
        <v>0</v>
      </c>
      <c r="Y17" s="80">
        <v>0</v>
      </c>
      <c r="Z17" s="80">
        <v>6.76</v>
      </c>
      <c r="AA17" s="75">
        <f t="shared" si="34"/>
        <v>1.0579999999999998</v>
      </c>
      <c r="AB17" s="242">
        <f>INDEX(Model!23:23,1,MATCH('Quarterly Data'!AB$4,Model!$3:$3,0))</f>
        <v>7.8179999999999996</v>
      </c>
      <c r="AC17" s="80">
        <v>2.1880000000000002</v>
      </c>
      <c r="AD17" s="80">
        <v>1.415</v>
      </c>
      <c r="AE17" s="80">
        <v>2.903</v>
      </c>
      <c r="AF17" s="75">
        <f t="shared" si="35"/>
        <v>1.2629999999999999</v>
      </c>
      <c r="AG17" s="242">
        <f>INDEX(Model!23:23,1,MATCH('Quarterly Data'!AG$4,Model!$3:$3,0))</f>
        <v>7.7690000000000001</v>
      </c>
      <c r="AH17" s="80">
        <v>0</v>
      </c>
      <c r="AI17" s="80">
        <v>0</v>
      </c>
      <c r="AJ17" s="80">
        <v>0</v>
      </c>
      <c r="AK17" s="75">
        <f t="shared" si="36"/>
        <v>0</v>
      </c>
      <c r="AL17" s="242">
        <f>INDEX(Model!23:23,1,MATCH('Quarterly Data'!AL$4,Model!$3:$3,0))</f>
        <v>0</v>
      </c>
      <c r="AM17" s="80">
        <v>0</v>
      </c>
      <c r="AQ17" s="242"/>
    </row>
    <row r="18" spans="2:43">
      <c r="B18" s="176" t="s">
        <v>259</v>
      </c>
      <c r="E18" s="7"/>
      <c r="F18" s="7"/>
      <c r="G18" s="75"/>
      <c r="H18" s="242">
        <f>INDEX(Model!24:24,1,MATCH('Quarterly Data'!H$4,Model!$3:$3,0))</f>
        <v>4.0780000000000003</v>
      </c>
      <c r="I18" s="7"/>
      <c r="J18" s="7"/>
      <c r="K18" s="7"/>
      <c r="L18" s="75"/>
      <c r="M18" s="242">
        <f>INDEX(Model!24:24,1,MATCH('Quarterly Data'!M$4,Model!$3:$3,0))</f>
        <v>10.779</v>
      </c>
      <c r="N18" s="80">
        <v>5.66</v>
      </c>
      <c r="O18" s="80">
        <v>5.5910000000000002</v>
      </c>
      <c r="P18" s="80">
        <v>6.6769999999999996</v>
      </c>
      <c r="Q18" s="75">
        <f t="shared" si="32"/>
        <v>9.0599999999999987</v>
      </c>
      <c r="R18" s="242">
        <f>INDEX(Model!24:24,1,MATCH('Quarterly Data'!R$4,Model!$3:$3,0))</f>
        <v>26.988</v>
      </c>
      <c r="S18" s="80">
        <v>11.439</v>
      </c>
      <c r="T18" s="80">
        <v>12.385</v>
      </c>
      <c r="U18" s="80">
        <v>15.475</v>
      </c>
      <c r="V18" s="75">
        <f t="shared" si="33"/>
        <v>16.398000000000003</v>
      </c>
      <c r="W18" s="242">
        <f>INDEX(Model!24:24,1,MATCH('Quarterly Data'!W$4,Model!$3:$3,0))</f>
        <v>55.697000000000003</v>
      </c>
      <c r="X18" s="80">
        <v>25.009</v>
      </c>
      <c r="Y18" s="80">
        <v>26.782</v>
      </c>
      <c r="Z18" s="80">
        <v>27.466999999999999</v>
      </c>
      <c r="AA18" s="75">
        <f t="shared" si="34"/>
        <v>31.971000000000004</v>
      </c>
      <c r="AB18" s="242">
        <f>INDEX(Model!24:24,1,MATCH('Quarterly Data'!AB$4,Model!$3:$3,0))</f>
        <v>111.229</v>
      </c>
      <c r="AC18" s="80">
        <v>39.521999999999998</v>
      </c>
      <c r="AD18" s="80">
        <v>50.366999999999997</v>
      </c>
      <c r="AE18" s="80">
        <v>55.264000000000003</v>
      </c>
      <c r="AF18" s="75">
        <f t="shared" si="35"/>
        <v>58.867000000000019</v>
      </c>
      <c r="AG18" s="242">
        <f>INDEX(Model!24:24,1,MATCH('Quarterly Data'!AG$4,Model!$3:$3,0))</f>
        <v>204.02</v>
      </c>
      <c r="AH18" s="80">
        <v>75</v>
      </c>
      <c r="AI18" s="80">
        <v>62.33</v>
      </c>
      <c r="AJ18" s="80">
        <v>65.147999999999996</v>
      </c>
      <c r="AK18" s="75">
        <f t="shared" si="36"/>
        <v>83.955000000000013</v>
      </c>
      <c r="AL18" s="242">
        <f>INDEX(Model!24:24,1,MATCH('Quarterly Data'!AL$4,Model!$3:$3,0))</f>
        <v>286.43299999999999</v>
      </c>
      <c r="AM18" s="80">
        <v>100</v>
      </c>
      <c r="AQ18" s="242"/>
    </row>
    <row r="19" spans="2:43">
      <c r="B19" s="176" t="s">
        <v>260</v>
      </c>
      <c r="E19" s="7"/>
      <c r="F19" s="7"/>
      <c r="G19" s="75"/>
      <c r="H19" s="242">
        <f>INDEX(Model!25:25,1,MATCH('Quarterly Data'!H$4,Model!$3:$3,0))</f>
        <v>0.52600000000000002</v>
      </c>
      <c r="I19" s="7"/>
      <c r="J19" s="7"/>
      <c r="K19" s="7"/>
      <c r="L19" s="75"/>
      <c r="M19" s="242">
        <f>INDEX(Model!25:25,1,MATCH('Quarterly Data'!M$4,Model!$3:$3,0))</f>
        <v>0.55400000000000005</v>
      </c>
      <c r="N19" s="80">
        <v>0.45300000000000001</v>
      </c>
      <c r="O19" s="80">
        <v>0.4</v>
      </c>
      <c r="P19" s="80">
        <v>0.34599999999999997</v>
      </c>
      <c r="Q19" s="75">
        <f t="shared" si="32"/>
        <v>0.56900000000000017</v>
      </c>
      <c r="R19" s="242">
        <f>INDEX(Model!25:25,1,MATCH('Quarterly Data'!R$4,Model!$3:$3,0))</f>
        <v>1.768</v>
      </c>
      <c r="S19" s="80">
        <v>0.98299999999999998</v>
      </c>
      <c r="T19" s="80">
        <v>1.4239999999999999</v>
      </c>
      <c r="U19" s="80">
        <v>1.734</v>
      </c>
      <c r="V19" s="75">
        <f t="shared" si="33"/>
        <v>2.0810000000000004</v>
      </c>
      <c r="W19" s="242">
        <f>INDEX(Model!25:25,1,MATCH('Quarterly Data'!W$4,Model!$3:$3,0))</f>
        <v>6.2220000000000004</v>
      </c>
      <c r="X19" s="80">
        <v>2.5099999999999998</v>
      </c>
      <c r="Y19" s="80">
        <v>2.6179999999999999</v>
      </c>
      <c r="Z19" s="80">
        <v>3.11</v>
      </c>
      <c r="AA19" s="75">
        <f t="shared" si="34"/>
        <v>3.859</v>
      </c>
      <c r="AB19" s="242">
        <f>INDEX(Model!25:25,1,MATCH('Quarterly Data'!AB$4,Model!$3:$3,0))</f>
        <v>12.097</v>
      </c>
      <c r="AC19" s="80">
        <v>4.37</v>
      </c>
      <c r="AD19" s="80">
        <v>4.72</v>
      </c>
      <c r="AE19" s="80">
        <v>5.5170000000000003</v>
      </c>
      <c r="AF19" s="75">
        <f t="shared" si="35"/>
        <v>6.6440000000000019</v>
      </c>
      <c r="AG19" s="242">
        <f>INDEX(Model!25:25,1,MATCH('Quarterly Data'!AG$4,Model!$3:$3,0))</f>
        <v>21.251000000000001</v>
      </c>
      <c r="AH19" s="80">
        <v>8</v>
      </c>
      <c r="AI19" s="80">
        <v>8.0190000000000001</v>
      </c>
      <c r="AJ19" s="80">
        <v>9.7330000000000005</v>
      </c>
      <c r="AK19" s="75">
        <f t="shared" si="36"/>
        <v>10.696000000000002</v>
      </c>
      <c r="AL19" s="242">
        <f>INDEX(Model!25:25,1,MATCH('Quarterly Data'!AL$4,Model!$3:$3,0))</f>
        <v>36.448</v>
      </c>
      <c r="AM19" s="80">
        <v>13</v>
      </c>
      <c r="AQ19" s="242"/>
    </row>
    <row r="20" spans="2:43">
      <c r="B20" s="176" t="s">
        <v>261</v>
      </c>
      <c r="E20" s="7"/>
      <c r="F20" s="7"/>
      <c r="G20" s="75"/>
      <c r="H20" s="242">
        <f>INDEX(Model!26:26,1,MATCH('Quarterly Data'!H$4,Model!$3:$3,0))</f>
        <v>0.48799999999999999</v>
      </c>
      <c r="I20" s="7"/>
      <c r="J20" s="7"/>
      <c r="K20" s="7"/>
      <c r="L20" s="75"/>
      <c r="M20" s="242">
        <f>INDEX(Model!26:26,1,MATCH('Quarterly Data'!M$4,Model!$3:$3,0))</f>
        <v>1.3819999999999999</v>
      </c>
      <c r="N20" s="80">
        <v>1.431</v>
      </c>
      <c r="O20" s="80">
        <v>1.8320000000000001</v>
      </c>
      <c r="P20" s="80">
        <v>2.2519999999999998</v>
      </c>
      <c r="Q20" s="75">
        <f t="shared" si="32"/>
        <v>2.835</v>
      </c>
      <c r="R20" s="242">
        <f>INDEX(Model!26:26,1,MATCH('Quarterly Data'!R$4,Model!$3:$3,0))</f>
        <v>8.35</v>
      </c>
      <c r="S20" s="80">
        <v>2.8079999999999998</v>
      </c>
      <c r="T20" s="80">
        <v>3.1160000000000001</v>
      </c>
      <c r="U20" s="80">
        <v>3.9049999999999998</v>
      </c>
      <c r="V20" s="75">
        <f t="shared" si="33"/>
        <v>4.5550000000000015</v>
      </c>
      <c r="W20" s="242">
        <f>INDEX(Model!26:26,1,MATCH('Quarterly Data'!W$4,Model!$3:$3,0))</f>
        <v>14.384</v>
      </c>
      <c r="X20" s="80">
        <v>6.3179999999999996</v>
      </c>
      <c r="Y20" s="80">
        <v>7.8259999999999996</v>
      </c>
      <c r="Z20" s="80">
        <v>9.9130000000000003</v>
      </c>
      <c r="AA20" s="75">
        <f t="shared" si="34"/>
        <v>11.140000000000004</v>
      </c>
      <c r="AB20" s="242">
        <f>INDEX(Model!26:26,1,MATCH('Quarterly Data'!AB$4,Model!$3:$3,0))</f>
        <v>35.197000000000003</v>
      </c>
      <c r="AC20" s="80">
        <v>12.249000000000001</v>
      </c>
      <c r="AD20" s="80">
        <v>13.643000000000001</v>
      </c>
      <c r="AE20" s="80">
        <v>14.068</v>
      </c>
      <c r="AF20" s="75">
        <f t="shared" si="35"/>
        <v>18.089999999999996</v>
      </c>
      <c r="AG20" s="242">
        <f>INDEX(Model!26:26,1,MATCH('Quarterly Data'!AG$4,Model!$3:$3,0))</f>
        <v>58.05</v>
      </c>
      <c r="AH20" s="80">
        <v>19</v>
      </c>
      <c r="AI20" s="80">
        <v>16.699000000000002</v>
      </c>
      <c r="AJ20" s="80">
        <v>18.073</v>
      </c>
      <c r="AK20" s="75">
        <f t="shared" si="36"/>
        <v>23.050000000000004</v>
      </c>
      <c r="AL20" s="242">
        <f>INDEX(Model!26:26,1,MATCH('Quarterly Data'!AL$4,Model!$3:$3,0))</f>
        <v>76.822000000000003</v>
      </c>
      <c r="AM20" s="80">
        <v>30</v>
      </c>
      <c r="AQ20" s="242"/>
    </row>
    <row r="21" spans="2:43">
      <c r="B21" s="176" t="s">
        <v>128</v>
      </c>
      <c r="E21" s="7"/>
      <c r="F21" s="7"/>
      <c r="G21" s="75"/>
      <c r="H21" s="242">
        <f>INDEX(Model!27:27,1,MATCH('Quarterly Data'!H$4,Model!$3:$3,0))</f>
        <v>5.1790000000000003</v>
      </c>
      <c r="I21" s="7"/>
      <c r="J21" s="7"/>
      <c r="K21" s="7"/>
      <c r="L21" s="75"/>
      <c r="M21" s="242">
        <f>INDEX(Model!27:27,1,MATCH('Quarterly Data'!M$4,Model!$3:$3,0))</f>
        <v>12.305999999999999</v>
      </c>
      <c r="N21" s="80">
        <v>6.4409999999999998</v>
      </c>
      <c r="O21" s="80">
        <v>7.6459999999999999</v>
      </c>
      <c r="P21" s="80">
        <v>8.8520000000000003</v>
      </c>
      <c r="Q21" s="75">
        <f t="shared" si="32"/>
        <v>11.411000000000001</v>
      </c>
      <c r="R21" s="242">
        <f>INDEX(Model!27:27,1,MATCH('Quarterly Data'!R$4,Model!$3:$3,0))</f>
        <v>34.35</v>
      </c>
      <c r="S21" s="80">
        <v>14.375</v>
      </c>
      <c r="T21" s="80">
        <v>16.297000000000001</v>
      </c>
      <c r="U21" s="80">
        <v>18.158000000000001</v>
      </c>
      <c r="V21" s="75">
        <f t="shared" si="33"/>
        <v>21.552000000000007</v>
      </c>
      <c r="W21" s="242">
        <f>INDEX(Model!27:27,1,MATCH('Quarterly Data'!W$4,Model!$3:$3,0))</f>
        <v>70.382000000000005</v>
      </c>
      <c r="X21" s="80">
        <v>24.361999999999998</v>
      </c>
      <c r="Y21" s="80">
        <v>29.175000000000001</v>
      </c>
      <c r="Z21" s="80">
        <v>34.106999999999999</v>
      </c>
      <c r="AA21" s="75">
        <f t="shared" si="34"/>
        <v>39.558999999999997</v>
      </c>
      <c r="AB21" s="242">
        <f>INDEX(Model!27:27,1,MATCH('Quarterly Data'!AB$4,Model!$3:$3,0))</f>
        <v>127.203</v>
      </c>
      <c r="AC21" s="80">
        <v>48.107999999999997</v>
      </c>
      <c r="AD21" s="80">
        <v>57.514000000000003</v>
      </c>
      <c r="AE21" s="80">
        <v>69.563000000000002</v>
      </c>
      <c r="AF21" s="75">
        <f t="shared" si="35"/>
        <v>83.860000000000014</v>
      </c>
      <c r="AG21" s="242">
        <f>INDEX(Model!27:27,1,MATCH('Quarterly Data'!AG$4,Model!$3:$3,0))</f>
        <v>259.04500000000002</v>
      </c>
      <c r="AH21" s="80">
        <v>90</v>
      </c>
      <c r="AI21" s="80">
        <v>78.683999999999997</v>
      </c>
      <c r="AJ21" s="80">
        <v>94.64</v>
      </c>
      <c r="AK21" s="75">
        <f t="shared" si="36"/>
        <v>124.81299999999999</v>
      </c>
      <c r="AL21" s="242">
        <f>INDEX(Model!27:27,1,MATCH('Quarterly Data'!AL$4,Model!$3:$3,0))</f>
        <v>388.137</v>
      </c>
      <c r="AM21" s="80">
        <v>128</v>
      </c>
      <c r="AQ21" s="242"/>
    </row>
    <row r="22" spans="2:43">
      <c r="B22" s="2" t="s">
        <v>262</v>
      </c>
      <c r="C22" s="2"/>
      <c r="D22" s="2"/>
      <c r="E22" s="222"/>
      <c r="F22" s="222"/>
      <c r="G22" s="177"/>
      <c r="H22" s="240">
        <f t="shared" ref="H22" si="37">SUM(H16:H21)</f>
        <v>14.683999999999999</v>
      </c>
      <c r="I22" s="222"/>
      <c r="J22" s="222"/>
      <c r="K22" s="223"/>
      <c r="L22" s="177"/>
      <c r="M22" s="240">
        <f t="shared" ref="M22" si="38">SUM(M16:M21)</f>
        <v>36.677999999999997</v>
      </c>
      <c r="N22" s="177">
        <f>SUM(N16:N21)</f>
        <v>20.631999999999998</v>
      </c>
      <c r="O22" s="177">
        <f t="shared" ref="O22:P22" si="39">SUM(O16:O21)</f>
        <v>23.344000000000001</v>
      </c>
      <c r="P22" s="177">
        <f t="shared" si="39"/>
        <v>27.995000000000001</v>
      </c>
      <c r="Q22" s="177">
        <f t="shared" ref="Q22" si="40">SUM(Q16:Q21)</f>
        <v>36.704999999999998</v>
      </c>
      <c r="R22" s="240">
        <f t="shared" ref="R22" si="41">SUM(R16:R21)</f>
        <v>108.67599999999999</v>
      </c>
      <c r="S22" s="177">
        <f>SUM(S16:S21)</f>
        <v>45.908000000000001</v>
      </c>
      <c r="T22" s="177">
        <f t="shared" ref="T22" si="42">SUM(T16:T21)</f>
        <v>52.010999999999996</v>
      </c>
      <c r="U22" s="177">
        <f t="shared" ref="U22" si="43">SUM(U16:U21)</f>
        <v>58.676000000000002</v>
      </c>
      <c r="V22" s="177">
        <f t="shared" ref="V22:W22" si="44">SUM(V16:V21)</f>
        <v>66.805000000000021</v>
      </c>
      <c r="W22" s="240">
        <f t="shared" si="44"/>
        <v>223.40000000000003</v>
      </c>
      <c r="X22" s="177">
        <f t="shared" ref="X22:AC22" si="45">SUM(X16:X21)</f>
        <v>83.185999999999993</v>
      </c>
      <c r="Y22" s="177">
        <f t="shared" si="45"/>
        <v>95.652000000000001</v>
      </c>
      <c r="Z22" s="177">
        <f t="shared" si="45"/>
        <v>115.768</v>
      </c>
      <c r="AA22" s="177">
        <f t="shared" si="45"/>
        <v>130.65199999999999</v>
      </c>
      <c r="AB22" s="240">
        <f t="shared" si="45"/>
        <v>425.25800000000004</v>
      </c>
      <c r="AC22" s="177">
        <f t="shared" si="45"/>
        <v>155.24100000000001</v>
      </c>
      <c r="AD22" s="177">
        <f>SUM(AD16:AD21)</f>
        <v>181.84299999999999</v>
      </c>
      <c r="AE22" s="177">
        <f t="shared" ref="AE22:AM22" si="46">SUM(AE16:AE21)</f>
        <v>207.97000000000003</v>
      </c>
      <c r="AF22" s="177">
        <f t="shared" si="46"/>
        <v>241.66300000000004</v>
      </c>
      <c r="AG22" s="240">
        <f t="shared" si="46"/>
        <v>786.71699999999987</v>
      </c>
      <c r="AH22" s="177">
        <f t="shared" si="46"/>
        <v>276</v>
      </c>
      <c r="AI22" s="177">
        <f t="shared" si="46"/>
        <v>239.934</v>
      </c>
      <c r="AJ22" s="177">
        <f t="shared" si="46"/>
        <v>267.84200000000004</v>
      </c>
      <c r="AK22" s="177">
        <f t="shared" si="46"/>
        <v>342.38500000000005</v>
      </c>
      <c r="AL22" s="240">
        <f t="shared" si="46"/>
        <v>1126.1610000000001</v>
      </c>
      <c r="AM22" s="177">
        <f t="shared" si="46"/>
        <v>397</v>
      </c>
      <c r="AN22" s="177">
        <f t="shared" ref="AN22" si="47">SUM(AN16:AN21)</f>
        <v>0</v>
      </c>
      <c r="AO22" s="177">
        <f t="shared" ref="AO22" si="48">SUM(AO16:AO21)</f>
        <v>0</v>
      </c>
      <c r="AP22" s="177">
        <f t="shared" ref="AP22" si="49">SUM(AP16:AP21)</f>
        <v>0</v>
      </c>
      <c r="AQ22" s="240"/>
    </row>
    <row r="23" spans="2:43">
      <c r="B23" s="70" t="s">
        <v>324</v>
      </c>
      <c r="D23" s="80"/>
      <c r="E23" s="80"/>
      <c r="F23" s="80"/>
      <c r="G23" s="80"/>
      <c r="H23" s="265">
        <f>+H22/H9</f>
        <v>0.35231171573214332</v>
      </c>
      <c r="I23" s="80"/>
      <c r="J23" s="80"/>
      <c r="K23" s="80"/>
      <c r="L23" s="80"/>
      <c r="M23" s="265">
        <f>+M22/M9</f>
        <v>0.28129026320633166</v>
      </c>
      <c r="N23" s="218">
        <f>+N22/N9</f>
        <v>0.282819975051747</v>
      </c>
      <c r="O23" s="218">
        <f t="shared" ref="O23:Q23" si="50">+O22/O9</f>
        <v>0.26979173889929042</v>
      </c>
      <c r="P23" s="218">
        <f t="shared" si="50"/>
        <v>0.28322407025211449</v>
      </c>
      <c r="Q23" s="218">
        <f t="shared" si="50"/>
        <v>0.34359291190429392</v>
      </c>
      <c r="R23" s="265">
        <f>+R22/R9</f>
        <v>0.29762178623462265</v>
      </c>
      <c r="S23" s="218">
        <f>+S22/S9</f>
        <v>0.28859705921180839</v>
      </c>
      <c r="T23" s="218">
        <f t="shared" ref="T23" si="51">+T22/T9</f>
        <v>0.24842261122919301</v>
      </c>
      <c r="U23" s="218">
        <f t="shared" ref="U23" si="52">+U22/U9</f>
        <v>0.2603436877437561</v>
      </c>
      <c r="V23" s="218">
        <f t="shared" ref="V23" si="53">+V22/V9</f>
        <v>0.25204393083647436</v>
      </c>
      <c r="W23" s="265">
        <f>+W22/W9</f>
        <v>0.26010921326859715</v>
      </c>
      <c r="X23" s="218">
        <f>+X22/X9</f>
        <v>0.23080167137411145</v>
      </c>
      <c r="Y23" s="218">
        <f t="shared" ref="Y23" si="54">+Y22/Y9</f>
        <v>0.20125145701745895</v>
      </c>
      <c r="Z23" s="218">
        <f t="shared" ref="Z23" si="55">+Z22/Z9</f>
        <v>0.21642074250216387</v>
      </c>
      <c r="AA23" s="218">
        <f t="shared" ref="AA23" si="56">+AA22/AA9</f>
        <v>0.22339861636897737</v>
      </c>
      <c r="AB23" s="265">
        <f>+AB22/AB9</f>
        <v>0.21747132526399066</v>
      </c>
      <c r="AC23" s="218">
        <f>+AC22/AC9</f>
        <v>0.20555351056758572</v>
      </c>
      <c r="AD23" s="218">
        <f t="shared" ref="AD23" si="57">+AD22/AD9</f>
        <v>0.18438362192652558</v>
      </c>
      <c r="AE23" s="218">
        <f t="shared" ref="AE23" si="58">+AE22/AE9</f>
        <v>0.1899522676082839</v>
      </c>
      <c r="AF23" s="218">
        <f t="shared" ref="AF23" si="59">+AF22/AF9</f>
        <v>0.21897956391294934</v>
      </c>
      <c r="AG23" s="265">
        <f>+AG22/AG9</f>
        <v>0.19967963621374776</v>
      </c>
      <c r="AH23" s="218">
        <f>+AH22/AH9</f>
        <v>0.25136612021857924</v>
      </c>
      <c r="AI23" s="218">
        <f t="shared" ref="AI23" si="60">+AI22/AI9</f>
        <v>0.21454592277441265</v>
      </c>
      <c r="AJ23" s="218">
        <f t="shared" ref="AJ23" si="61">+AJ22/AJ9</f>
        <v>0.17351673901875414</v>
      </c>
      <c r="AK23" s="218">
        <f t="shared" ref="AK23:AM23" si="62">+AK22/AK9</f>
        <v>0.18744162722227153</v>
      </c>
      <c r="AL23" s="265">
        <f>+AL22/AL9</f>
        <v>0.20158379970518556</v>
      </c>
      <c r="AM23" s="218">
        <f t="shared" si="62"/>
        <v>0.17683741648106904</v>
      </c>
      <c r="AN23" s="80"/>
      <c r="AO23" s="80"/>
      <c r="AP23" s="80"/>
      <c r="AQ23" s="248"/>
    </row>
    <row r="24" spans="2:43">
      <c r="B24" s="67"/>
      <c r="D24" s="80"/>
      <c r="E24" s="80"/>
      <c r="F24" s="80"/>
      <c r="G24" s="80"/>
      <c r="H24" s="248"/>
      <c r="I24" s="80"/>
      <c r="J24" s="80"/>
      <c r="K24" s="80"/>
      <c r="L24" s="80"/>
      <c r="M24" s="248"/>
      <c r="N24" s="80"/>
      <c r="O24" s="80"/>
      <c r="P24" s="80"/>
      <c r="Q24" s="80"/>
      <c r="R24" s="248"/>
      <c r="S24" s="80"/>
      <c r="T24" s="80"/>
      <c r="U24" s="80"/>
      <c r="V24" s="80"/>
      <c r="W24" s="248"/>
      <c r="X24" s="80"/>
      <c r="Y24" s="80"/>
      <c r="Z24" s="80"/>
      <c r="AA24" s="80"/>
      <c r="AB24" s="248"/>
      <c r="AC24" s="80"/>
      <c r="AD24" s="80"/>
      <c r="AE24" s="80"/>
      <c r="AF24" s="80"/>
      <c r="AG24" s="248"/>
      <c r="AH24" s="80"/>
      <c r="AI24" s="80"/>
      <c r="AJ24" s="80"/>
      <c r="AK24" s="80"/>
      <c r="AL24" s="248"/>
      <c r="AM24" s="60"/>
      <c r="AN24" s="80"/>
      <c r="AO24" s="80"/>
      <c r="AP24" s="80"/>
      <c r="AQ24" s="248"/>
    </row>
    <row r="25" spans="2:43">
      <c r="B25" s="67" t="s">
        <v>268</v>
      </c>
      <c r="D25" s="80">
        <v>0.315</v>
      </c>
      <c r="E25" s="80">
        <v>0.436</v>
      </c>
      <c r="F25" s="80">
        <v>0.57899999999999996</v>
      </c>
      <c r="G25" s="75">
        <f>+H25-SUM(D25:F25)</f>
        <v>0.77499999999999991</v>
      </c>
      <c r="H25" s="242">
        <f>INDEX(Model!69:69,1,MATCH('Quarterly Data'!H$4,Model!$3:$3,0))</f>
        <v>2.105</v>
      </c>
      <c r="I25" s="80">
        <v>1.212</v>
      </c>
      <c r="J25" s="80">
        <v>1.343</v>
      </c>
      <c r="K25" s="80">
        <v>1.776</v>
      </c>
      <c r="L25" s="75">
        <f>+M25-SUM(I25:K25)</f>
        <v>2.1920000000000002</v>
      </c>
      <c r="M25" s="242">
        <f>INDEX(Model!69:69,1,MATCH('Quarterly Data'!M$4,Model!$3:$3,0))</f>
        <v>6.5229999999999997</v>
      </c>
      <c r="N25" s="80">
        <v>3.7829999999999999</v>
      </c>
      <c r="O25" s="80">
        <v>4.3550000000000004</v>
      </c>
      <c r="P25" s="80">
        <v>5.0229999999999997</v>
      </c>
      <c r="Q25" s="75">
        <f>+R25-SUM(N25:P25)</f>
        <v>5.6</v>
      </c>
      <c r="R25" s="242">
        <f>INDEX(Model!69:69,1,MATCH('Quarterly Data'!R$4,Model!$3:$3,0))</f>
        <v>18.760999999999999</v>
      </c>
      <c r="S25" s="80">
        <v>8.3339999999999996</v>
      </c>
      <c r="T25" s="80">
        <v>10.682</v>
      </c>
      <c r="U25" s="80">
        <v>11.718999999999999</v>
      </c>
      <c r="V25" s="75">
        <f>+W25-SUM(S25:U25)</f>
        <v>13.517000000000003</v>
      </c>
      <c r="W25" s="242">
        <f>INDEX(Model!69:69,1,MATCH('Quarterly Data'!W$4,Model!$3:$3,0))</f>
        <v>44.252000000000002</v>
      </c>
      <c r="X25" s="80">
        <v>18.463999999999999</v>
      </c>
      <c r="Y25" s="80">
        <v>22.57</v>
      </c>
      <c r="Z25" s="80">
        <v>25.324000000000002</v>
      </c>
      <c r="AA25" s="75">
        <f>+AB25-SUM(X25:Z25)</f>
        <v>27.75</v>
      </c>
      <c r="AB25" s="242">
        <f>INDEX(Model!69:69,1,MATCH('Quarterly Data'!AB$4,Model!$3:$3,0))</f>
        <v>94.108000000000004</v>
      </c>
      <c r="AC25" s="80">
        <v>36.765999999999998</v>
      </c>
      <c r="AD25" s="80">
        <v>44</v>
      </c>
      <c r="AE25" s="80">
        <v>46.412999999999997</v>
      </c>
      <c r="AF25" s="75">
        <f>+AG25-SUM(AC25:AE25)</f>
        <v>50.370000000000019</v>
      </c>
      <c r="AG25" s="242">
        <f>INDEX(Model!69:69,1,MATCH('Quarterly Data'!AG$4,Model!$3:$3,0))</f>
        <v>177.54900000000001</v>
      </c>
      <c r="AH25" s="80">
        <v>52.427</v>
      </c>
      <c r="AI25" s="80">
        <v>55.097999999999999</v>
      </c>
      <c r="AJ25" s="80">
        <v>64.414000000000001</v>
      </c>
      <c r="AK25" s="75">
        <f>+AL25-SUM(AH25:AJ25)</f>
        <v>72.171999999999969</v>
      </c>
      <c r="AL25" s="242">
        <f>INDEX(Model!69:69,1,MATCH('Quarterly Data'!AL$4,Model!$3:$3,0))</f>
        <v>244.11099999999999</v>
      </c>
      <c r="AM25" s="80">
        <v>92.456999999999994</v>
      </c>
      <c r="AN25" s="80"/>
      <c r="AO25" s="80"/>
      <c r="AP25" s="80"/>
      <c r="AQ25" s="242"/>
    </row>
    <row r="26" spans="2:43">
      <c r="B26" t="s">
        <v>273</v>
      </c>
      <c r="G26" s="75">
        <f>+H26-SUM(D26:F26)</f>
        <v>0.13700000000000001</v>
      </c>
      <c r="H26" s="242">
        <f>INDEX(Model!91:91,1,MATCH('Quarterly Data'!H$4,Model!$3:$3,0))</f>
        <v>0.13700000000000001</v>
      </c>
      <c r="L26" s="75">
        <f>+M26-SUM(I26:K26)</f>
        <v>1.07</v>
      </c>
      <c r="M26" s="242">
        <f>INDEX(Model!91:91,1,MATCH('Quarterly Data'!M$4,Model!$3:$3,0))</f>
        <v>1.07</v>
      </c>
      <c r="N26" s="80">
        <v>0.504</v>
      </c>
      <c r="O26" s="80">
        <v>0.629</v>
      </c>
      <c r="P26" s="80">
        <v>0.78700000000000003</v>
      </c>
      <c r="Q26" s="75">
        <f>+R26-SUM(N26:P26)</f>
        <v>0.73099999999999987</v>
      </c>
      <c r="R26" s="242">
        <f>INDEX(Model!91:91,1,MATCH('Quarterly Data'!R$4,Model!$3:$3,0))</f>
        <v>2.6509999999999998</v>
      </c>
      <c r="S26" s="80">
        <v>1.288</v>
      </c>
      <c r="T26" s="80">
        <v>1.58</v>
      </c>
      <c r="U26" s="80">
        <v>1.7969999999999999</v>
      </c>
      <c r="V26" s="75">
        <f>+W26-SUM(S26:U26)</f>
        <v>1.8440000000000003</v>
      </c>
      <c r="W26" s="242">
        <f>INDEX(Model!91:91,1,MATCH('Quarterly Data'!W$4,Model!$3:$3,0))</f>
        <v>6.5090000000000003</v>
      </c>
      <c r="X26" s="80">
        <v>2.3420000000000001</v>
      </c>
      <c r="Y26" s="80">
        <v>3.6579999999999999</v>
      </c>
      <c r="Z26" s="80">
        <v>4.4080000000000004</v>
      </c>
      <c r="AA26" s="75">
        <f>+AB26-SUM(X26:Z26)</f>
        <v>4.7169999999999987</v>
      </c>
      <c r="AB26" s="242">
        <f>INDEX(Model!91:91,1,MATCH('Quarterly Data'!AB$4,Model!$3:$3,0))</f>
        <v>15.125</v>
      </c>
      <c r="AC26" s="80">
        <v>6.7009999999999996</v>
      </c>
      <c r="AD26" s="80">
        <v>10.756</v>
      </c>
      <c r="AE26" s="80">
        <v>11.698</v>
      </c>
      <c r="AF26" s="75">
        <f>+AG26-SUM(AC26:AE26)</f>
        <v>10.740000000000002</v>
      </c>
      <c r="AG26" s="242">
        <f>INDEX(Model!91:91,1,MATCH('Quarterly Data'!AG$4,Model!$3:$3,0))</f>
        <v>39.895000000000003</v>
      </c>
      <c r="AH26" s="80">
        <v>10.754</v>
      </c>
      <c r="AI26" s="80">
        <v>7.2770000000000001</v>
      </c>
      <c r="AJ26" s="80">
        <v>15.375</v>
      </c>
      <c r="AK26" s="75">
        <f>+AL26-SUM(AH26:AJ26)</f>
        <v>21.798000000000002</v>
      </c>
      <c r="AL26" s="242">
        <f>INDEX(Model!91:91,1,MATCH('Quarterly Data'!AL$4,Model!$3:$3,0))</f>
        <v>55.204000000000001</v>
      </c>
      <c r="AM26" s="80">
        <v>26.04</v>
      </c>
      <c r="AQ26" s="242"/>
    </row>
    <row r="27" spans="2:43">
      <c r="B27" s="67" t="s">
        <v>286</v>
      </c>
      <c r="H27" s="246">
        <f t="shared" ref="H27" si="63">+H26/SUM(H25:H26)</f>
        <v>6.1106155218554864E-2</v>
      </c>
      <c r="M27" s="246">
        <f t="shared" ref="M27:AM27" si="64">+M26/SUM(M25:M26)</f>
        <v>0.14091926774660873</v>
      </c>
      <c r="N27" s="14">
        <f>+N26/SUM(N25:N26)</f>
        <v>0.11756473058082575</v>
      </c>
      <c r="O27" s="14">
        <f t="shared" si="64"/>
        <v>0.12620385232744782</v>
      </c>
      <c r="P27" s="14">
        <f t="shared" si="64"/>
        <v>0.13545611015490536</v>
      </c>
      <c r="Q27" s="14">
        <f t="shared" si="64"/>
        <v>0.1154635918496288</v>
      </c>
      <c r="R27" s="246">
        <f t="shared" si="64"/>
        <v>0.12380907902110966</v>
      </c>
      <c r="S27" s="14">
        <f t="shared" si="64"/>
        <v>0.13385990438578257</v>
      </c>
      <c r="T27" s="14">
        <f t="shared" si="64"/>
        <v>0.12885336812917958</v>
      </c>
      <c r="U27" s="14">
        <f t="shared" si="64"/>
        <v>0.13295353654927491</v>
      </c>
      <c r="V27" s="14">
        <f t="shared" si="64"/>
        <v>0.12004426795130524</v>
      </c>
      <c r="W27" s="246">
        <f t="shared" si="64"/>
        <v>0.12822836429542364</v>
      </c>
      <c r="X27" s="14">
        <f t="shared" si="64"/>
        <v>0.11256368355282131</v>
      </c>
      <c r="Y27" s="14">
        <f t="shared" si="64"/>
        <v>0.13946926948299526</v>
      </c>
      <c r="Z27" s="14">
        <f t="shared" si="64"/>
        <v>0.14825776940669985</v>
      </c>
      <c r="AA27" s="14">
        <f t="shared" si="64"/>
        <v>0.14528598269011608</v>
      </c>
      <c r="AB27" s="246">
        <f t="shared" si="64"/>
        <v>0.13846548204297235</v>
      </c>
      <c r="AC27" s="14">
        <f t="shared" si="64"/>
        <v>0.15416292819840338</v>
      </c>
      <c r="AD27" s="14">
        <f t="shared" si="64"/>
        <v>0.19643509387099131</v>
      </c>
      <c r="AE27" s="14">
        <f t="shared" si="64"/>
        <v>0.20130440019961798</v>
      </c>
      <c r="AF27" s="14">
        <f t="shared" si="64"/>
        <v>0.17574864997545409</v>
      </c>
      <c r="AG27" s="246">
        <f t="shared" si="64"/>
        <v>0.18347252625963467</v>
      </c>
      <c r="AH27" s="14">
        <f t="shared" si="64"/>
        <v>0.17020939839508714</v>
      </c>
      <c r="AI27" s="14">
        <f t="shared" si="64"/>
        <v>0.11666533066132265</v>
      </c>
      <c r="AJ27" s="14">
        <f t="shared" si="64"/>
        <v>0.19269573500106529</v>
      </c>
      <c r="AK27" s="14">
        <f t="shared" si="64"/>
        <v>0.23196764924976065</v>
      </c>
      <c r="AL27" s="246">
        <f t="shared" si="64"/>
        <v>0.18443445868065417</v>
      </c>
      <c r="AM27" s="14">
        <f t="shared" si="64"/>
        <v>0.21975239879490621</v>
      </c>
      <c r="AQ27" s="246"/>
    </row>
    <row r="28" spans="2:43">
      <c r="H28" s="247"/>
      <c r="M28" s="247"/>
      <c r="R28" s="247"/>
      <c r="W28" s="247"/>
      <c r="AB28" s="247"/>
      <c r="AG28" s="247"/>
      <c r="AJ28" s="7"/>
      <c r="AL28" s="247"/>
      <c r="AQ28" s="247"/>
    </row>
    <row r="29" spans="2:43">
      <c r="B29" t="s">
        <v>276</v>
      </c>
      <c r="D29" s="7"/>
      <c r="E29" s="7"/>
      <c r="F29" s="7"/>
      <c r="G29" s="7"/>
      <c r="H29" s="241">
        <f t="shared" ref="H29:AB29" si="65">+H6/H25*1000</f>
        <v>19535.866983372918</v>
      </c>
      <c r="I29" s="7"/>
      <c r="J29" s="7"/>
      <c r="K29" s="7"/>
      <c r="L29" s="7"/>
      <c r="M29" s="241">
        <f t="shared" si="65"/>
        <v>19158.669323930706</v>
      </c>
      <c r="N29" s="7">
        <f t="shared" si="65"/>
        <v>18106.000528680943</v>
      </c>
      <c r="O29" s="7">
        <f t="shared" si="65"/>
        <v>18481.745120551088</v>
      </c>
      <c r="P29" s="7">
        <f t="shared" si="65"/>
        <v>18338.642245669918</v>
      </c>
      <c r="Q29" s="7">
        <f t="shared" si="65"/>
        <v>18016.249999999996</v>
      </c>
      <c r="R29" s="241">
        <f t="shared" si="65"/>
        <v>18228.71915143116</v>
      </c>
      <c r="S29" s="7">
        <f t="shared" si="65"/>
        <v>17804.415646748261</v>
      </c>
      <c r="T29" s="7">
        <f t="shared" si="65"/>
        <v>18156.431379891405</v>
      </c>
      <c r="U29" s="7">
        <f t="shared" si="65"/>
        <v>17758.597149927467</v>
      </c>
      <c r="V29" s="7">
        <f t="shared" si="65"/>
        <v>18234.297551231775</v>
      </c>
      <c r="W29" s="241">
        <f t="shared" si="65"/>
        <v>18008.564584651536</v>
      </c>
      <c r="X29" s="7">
        <f t="shared" si="65"/>
        <v>18092.287694974006</v>
      </c>
      <c r="Y29" s="7">
        <f t="shared" si="65"/>
        <v>19402.835622507755</v>
      </c>
      <c r="Z29" s="7">
        <f t="shared" si="65"/>
        <v>19201.903332806822</v>
      </c>
      <c r="AA29" s="7">
        <f t="shared" si="65"/>
        <v>18983.711711711712</v>
      </c>
      <c r="AB29" s="241">
        <f t="shared" si="65"/>
        <v>18968.047349853361</v>
      </c>
      <c r="AC29" s="7">
        <f t="shared" ref="AC29:AD29" si="66">+AC6/AC25*1000</f>
        <v>18599.494097807757</v>
      </c>
      <c r="AD29" s="7">
        <f t="shared" si="66"/>
        <v>19449.659090909092</v>
      </c>
      <c r="AE29" s="7">
        <f t="shared" ref="AE29" si="67">+AE6/AE25*1000</f>
        <v>20059.379915109992</v>
      </c>
      <c r="AF29" s="7">
        <f t="shared" ref="AF29:AG29" si="68">+AF6/AF25*1000</f>
        <v>18859.857057772475</v>
      </c>
      <c r="AG29" s="241">
        <f t="shared" si="68"/>
        <v>19265.673138119615</v>
      </c>
      <c r="AH29" s="7">
        <f t="shared" ref="AH29:AJ29" si="69">+AH6/AH25*1000</f>
        <v>18387.472104068514</v>
      </c>
      <c r="AI29" s="7">
        <f t="shared" si="69"/>
        <v>18000.689680206178</v>
      </c>
      <c r="AJ29" s="7">
        <f t="shared" si="69"/>
        <v>20013.164839941626</v>
      </c>
      <c r="AK29" s="7">
        <f>+AK6/AK25*1000</f>
        <v>20723.618577841829</v>
      </c>
      <c r="AL29" s="241">
        <f>+AL6/AL25*1000</f>
        <v>19419.833600288395</v>
      </c>
      <c r="AM29" s="7">
        <f>+AM6/AM25*1000</f>
        <v>19468.509685583569</v>
      </c>
      <c r="AQ29" s="241"/>
    </row>
    <row r="30" spans="2:43">
      <c r="B30" t="s">
        <v>274</v>
      </c>
      <c r="D30" s="7"/>
      <c r="E30" s="7"/>
      <c r="F30" s="7"/>
      <c r="G30" s="7"/>
      <c r="H30" s="241">
        <f t="shared" ref="H30:AB30" si="70">+H11/H25*1000</f>
        <v>-213.30166270783849</v>
      </c>
      <c r="I30" s="7"/>
      <c r="J30" s="7"/>
      <c r="K30" s="7"/>
      <c r="L30" s="7"/>
      <c r="M30" s="241">
        <f t="shared" si="70"/>
        <v>-32.50038325923655</v>
      </c>
      <c r="N30" s="7">
        <f t="shared" si="70"/>
        <v>298.70473169442243</v>
      </c>
      <c r="O30" s="7">
        <f t="shared" si="70"/>
        <v>530.65442020665898</v>
      </c>
      <c r="P30" s="7">
        <f t="shared" si="70"/>
        <v>567.19092175990454</v>
      </c>
      <c r="Q30" s="7">
        <f t="shared" si="70"/>
        <v>-61.785714285714306</v>
      </c>
      <c r="R30" s="241">
        <f t="shared" si="70"/>
        <v>316.82746122274938</v>
      </c>
      <c r="S30" s="7">
        <f t="shared" si="70"/>
        <v>555.07559395248381</v>
      </c>
      <c r="T30" s="7">
        <f t="shared" si="70"/>
        <v>765.02527616551208</v>
      </c>
      <c r="U30" s="7">
        <f t="shared" si="70"/>
        <v>841.28338595443302</v>
      </c>
      <c r="V30" s="7">
        <f t="shared" si="70"/>
        <v>750.83228527039955</v>
      </c>
      <c r="W30" s="241">
        <f t="shared" si="70"/>
        <v>741.34502395371953</v>
      </c>
      <c r="X30" s="7">
        <f t="shared" si="70"/>
        <v>901.53812824956685</v>
      </c>
      <c r="Y30" s="7">
        <f t="shared" si="70"/>
        <v>1180.3721754541425</v>
      </c>
      <c r="Z30" s="7">
        <f t="shared" si="70"/>
        <v>1127.389038066656</v>
      </c>
      <c r="AA30" s="7">
        <f t="shared" si="70"/>
        <v>810.16216216216219</v>
      </c>
      <c r="AB30" s="241">
        <f t="shared" si="70"/>
        <v>1002.2421048157435</v>
      </c>
      <c r="AC30" s="7">
        <f t="shared" ref="AC30:AD30" si="71">+AC11/AC25*1000</f>
        <v>1281.6732851003644</v>
      </c>
      <c r="AD30" s="7">
        <f t="shared" si="71"/>
        <v>1440.409090909091</v>
      </c>
      <c r="AE30" s="7">
        <f t="shared" ref="AE30" si="72">+AE11/AE25*1000</f>
        <v>1304.8714799732834</v>
      </c>
      <c r="AF30" s="7">
        <f t="shared" ref="AF30:AG30" si="73">+AF11/AF25*1000</f>
        <v>1326.0273972602733</v>
      </c>
      <c r="AG30" s="241">
        <f t="shared" si="73"/>
        <v>1339.6583478363718</v>
      </c>
      <c r="AH30" s="7">
        <f t="shared" ref="AH30:AJ30" si="74">+AH11/AH25*1000</f>
        <v>1583.1537185038244</v>
      </c>
      <c r="AI30" s="7">
        <f t="shared" si="74"/>
        <v>1189.9887473229519</v>
      </c>
      <c r="AJ30" s="7">
        <f t="shared" si="74"/>
        <v>1856.8478902102029</v>
      </c>
      <c r="AK30" s="7">
        <f>+AK11/AK25*1000</f>
        <v>1263.204566868038</v>
      </c>
      <c r="AL30" s="241">
        <f>+AL11/AL25*1000</f>
        <v>1472.0393591439961</v>
      </c>
      <c r="AM30" s="7">
        <f>+AM11/AM25*1000</f>
        <v>1211.3739359918666</v>
      </c>
      <c r="AQ30" s="241"/>
    </row>
    <row r="31" spans="2:43">
      <c r="B31" t="s">
        <v>315</v>
      </c>
      <c r="D31" s="7"/>
      <c r="E31" s="7"/>
      <c r="F31" s="7"/>
      <c r="G31" s="7"/>
      <c r="H31" s="246">
        <f t="shared" ref="H31" si="75">+H30/H29</f>
        <v>-1.0918464119835618E-2</v>
      </c>
      <c r="I31" s="7"/>
      <c r="J31" s="7"/>
      <c r="K31" s="7"/>
      <c r="L31" s="7"/>
      <c r="M31" s="246">
        <f t="shared" ref="M31:R31" si="76">+M30/M29</f>
        <v>-1.6963799891175624E-3</v>
      </c>
      <c r="N31" s="14">
        <f>+N30/N29</f>
        <v>1.6497554566026716E-2</v>
      </c>
      <c r="O31" s="14">
        <f t="shared" si="76"/>
        <v>2.8712354636716036E-2</v>
      </c>
      <c r="P31" s="14">
        <f t="shared" si="76"/>
        <v>3.0928730391358634E-2</v>
      </c>
      <c r="Q31" s="14">
        <f t="shared" si="76"/>
        <v>-3.4294436570159893E-3</v>
      </c>
      <c r="R31" s="246">
        <f t="shared" si="76"/>
        <v>1.7380675986654544E-2</v>
      </c>
      <c r="S31" s="14">
        <f>+S30/S29</f>
        <v>3.1176288229030475E-2</v>
      </c>
      <c r="T31" s="14">
        <f t="shared" ref="T31" si="77">+T30/T29</f>
        <v>4.2135222509242218E-2</v>
      </c>
      <c r="U31" s="14">
        <f t="shared" ref="U31" si="78">+U30/U29</f>
        <v>4.7373302004199647E-2</v>
      </c>
      <c r="V31" s="14">
        <f t="shared" ref="V31" si="79">+V30/V29</f>
        <v>4.1176924044418639E-2</v>
      </c>
      <c r="W31" s="246">
        <f t="shared" ref="W31" si="80">+W30/W29</f>
        <v>4.1166247341309935E-2</v>
      </c>
      <c r="X31" s="14">
        <f>+X30/X29</f>
        <v>4.9829968628014462E-2</v>
      </c>
      <c r="Y31" s="14">
        <f t="shared" ref="Y31" si="81">+Y30/Y29</f>
        <v>6.0835034549531639E-2</v>
      </c>
      <c r="Z31" s="14">
        <f t="shared" ref="Z31" si="82">+Z30/Z29</f>
        <v>5.8712358797291211E-2</v>
      </c>
      <c r="AA31" s="14">
        <f t="shared" ref="AA31" si="83">+AA30/AA29</f>
        <v>4.2676699607819314E-2</v>
      </c>
      <c r="AB31" s="246">
        <f t="shared" ref="AB31" si="84">+AB30/AB29</f>
        <v>5.2838443848754503E-2</v>
      </c>
      <c r="AC31" s="14">
        <f>+AC30/AC29</f>
        <v>6.8909040125528453E-2</v>
      </c>
      <c r="AD31" s="14">
        <f t="shared" ref="AD31" si="85">+AD30/AD29</f>
        <v>7.4058320723078816E-2</v>
      </c>
      <c r="AE31" s="14">
        <f t="shared" ref="AE31" si="86">+AE30/AE29</f>
        <v>6.5050439519836398E-2</v>
      </c>
      <c r="AF31" s="14">
        <f t="shared" ref="AF31" si="87">+AF30/AF29</f>
        <v>7.0309514711501722E-2</v>
      </c>
      <c r="AG31" s="246">
        <f t="shared" ref="AG31" si="88">+AG30/AG29</f>
        <v>6.9536025979060404E-2</v>
      </c>
      <c r="AH31" s="14">
        <f>+AH30/AH29</f>
        <v>8.6099585062240663E-2</v>
      </c>
      <c r="AI31" s="14">
        <f t="shared" ref="AI31" si="89">+AI30/AI29</f>
        <v>6.6107952998683203E-2</v>
      </c>
      <c r="AJ31" s="14">
        <f t="shared" ref="AJ31" si="90">+AJ30/AJ29</f>
        <v>9.2781321947859346E-2</v>
      </c>
      <c r="AK31" s="14">
        <f t="shared" ref="AK31:AM31" si="91">+AK30/AK29</f>
        <v>6.0954826114136523E-2</v>
      </c>
      <c r="AL31" s="246">
        <f t="shared" ref="AL31" si="92">+AL30/AL29</f>
        <v>7.5800822470597037E-2</v>
      </c>
      <c r="AM31" s="14">
        <f t="shared" si="91"/>
        <v>6.2222222222222227E-2</v>
      </c>
      <c r="AQ31" s="241"/>
    </row>
    <row r="32" spans="2:43">
      <c r="H32" s="241"/>
      <c r="M32" s="241"/>
      <c r="R32" s="241"/>
      <c r="W32" s="241"/>
      <c r="AB32" s="241"/>
      <c r="AG32" s="241"/>
      <c r="AL32" s="241"/>
      <c r="AQ32" s="241"/>
    </row>
    <row r="33" spans="2:43">
      <c r="B33" t="s">
        <v>277</v>
      </c>
      <c r="D33" s="7"/>
      <c r="E33" s="7"/>
      <c r="F33" s="7"/>
      <c r="G33" s="7"/>
      <c r="H33" s="241">
        <f t="shared" ref="H33:AB33" si="93">+H7/H26*1000</f>
        <v>3810.2189781021898</v>
      </c>
      <c r="I33" s="7"/>
      <c r="J33" s="7"/>
      <c r="K33" s="7"/>
      <c r="L33" s="7"/>
      <c r="M33" s="241">
        <f t="shared" si="93"/>
        <v>3498.130841121495</v>
      </c>
      <c r="N33" s="7">
        <f t="shared" si="93"/>
        <v>3093.2539682539677</v>
      </c>
      <c r="O33" s="7">
        <f t="shared" si="93"/>
        <v>3934.8171701112879</v>
      </c>
      <c r="P33" s="7">
        <f t="shared" si="93"/>
        <v>3646.7598475222362</v>
      </c>
      <c r="Q33" s="7">
        <f t="shared" si="93"/>
        <v>4458.2763337893311</v>
      </c>
      <c r="R33" s="241">
        <f t="shared" si="93"/>
        <v>3833.6476801207095</v>
      </c>
      <c r="S33" s="7">
        <f t="shared" si="93"/>
        <v>4445.652173913043</v>
      </c>
      <c r="T33" s="7">
        <f t="shared" si="93"/>
        <v>4948.1012658227846</v>
      </c>
      <c r="U33" s="7">
        <f t="shared" si="93"/>
        <v>4150.806900389538</v>
      </c>
      <c r="V33" s="7">
        <f t="shared" si="93"/>
        <v>4073.210412147504</v>
      </c>
      <c r="W33" s="241">
        <f t="shared" si="93"/>
        <v>4380.7036411123063</v>
      </c>
      <c r="X33" s="7">
        <f t="shared" si="93"/>
        <v>4326.6438941076003</v>
      </c>
      <c r="Y33" s="7">
        <f t="shared" si="93"/>
        <v>4544.0131219245495</v>
      </c>
      <c r="Z33" s="7">
        <f t="shared" si="93"/>
        <v>4863.8838475499088</v>
      </c>
      <c r="AA33" s="7">
        <f t="shared" si="93"/>
        <v>5382.4464702141204</v>
      </c>
      <c r="AB33" s="241">
        <f t="shared" si="93"/>
        <v>4865.0578512396696</v>
      </c>
      <c r="AC33" s="7">
        <f t="shared" ref="AC33:AD33" si="94">+AC7/AC26*1000</f>
        <v>4929.1150574541116</v>
      </c>
      <c r="AD33" s="7">
        <f t="shared" si="94"/>
        <v>5858.4975827445151</v>
      </c>
      <c r="AE33" s="7">
        <f t="shared" ref="AE33" si="95">+AE7/AE26*1000</f>
        <v>7901.350658232177</v>
      </c>
      <c r="AF33" s="7">
        <f t="shared" ref="AF33:AG33" si="96">+AF7/AF26*1000</f>
        <v>7366.1080074487882</v>
      </c>
      <c r="AG33" s="241">
        <f t="shared" si="96"/>
        <v>6707.2565484396537</v>
      </c>
      <c r="AH33" s="7">
        <f t="shared" ref="AH33:AJ33" si="97">+AH7/AH26*1000</f>
        <v>7439.0924307234518</v>
      </c>
      <c r="AI33" s="7">
        <f t="shared" si="97"/>
        <v>6793.1840043974162</v>
      </c>
      <c r="AJ33" s="7">
        <f t="shared" si="97"/>
        <v>8450.4065040650421</v>
      </c>
      <c r="AK33" s="7">
        <f>+AK7/AK26*1000</f>
        <v>8527.2502064409546</v>
      </c>
      <c r="AL33" s="241">
        <f>+AL7/AL26*1000</f>
        <v>8065.2851242663564</v>
      </c>
      <c r="AM33" s="7">
        <f>+AM7/AM26*1000</f>
        <v>9216.5898617511539</v>
      </c>
      <c r="AQ33" s="241"/>
    </row>
    <row r="34" spans="2:43">
      <c r="B34" t="s">
        <v>275</v>
      </c>
      <c r="D34" s="7"/>
      <c r="E34" s="7"/>
      <c r="F34" s="7"/>
      <c r="G34" s="7"/>
      <c r="H34" s="241">
        <f t="shared" ref="H34:AB34" si="98">+H12/H26*1000</f>
        <v>-65.693430656934297</v>
      </c>
      <c r="I34" s="7"/>
      <c r="J34" s="7"/>
      <c r="K34" s="7"/>
      <c r="L34" s="7"/>
      <c r="M34" s="241">
        <f t="shared" si="98"/>
        <v>-111.21495327102802</v>
      </c>
      <c r="N34" s="7">
        <f t="shared" si="98"/>
        <v>-138.88888888888889</v>
      </c>
      <c r="O34" s="7">
        <f t="shared" si="98"/>
        <v>259.14149443561206</v>
      </c>
      <c r="P34" s="7">
        <f t="shared" si="98"/>
        <v>73.697585768742073</v>
      </c>
      <c r="Q34" s="7">
        <f t="shared" si="98"/>
        <v>145.00683994528049</v>
      </c>
      <c r="R34" s="241">
        <f t="shared" si="98"/>
        <v>96.944549226706911</v>
      </c>
      <c r="S34" s="7">
        <f t="shared" si="98"/>
        <v>120.34161490683229</v>
      </c>
      <c r="T34" s="7">
        <f t="shared" si="98"/>
        <v>168.98734177215192</v>
      </c>
      <c r="U34" s="7">
        <f t="shared" si="98"/>
        <v>417.91875347801891</v>
      </c>
      <c r="V34" s="7">
        <f t="shared" si="98"/>
        <v>364.42516268980467</v>
      </c>
      <c r="W34" s="241">
        <f t="shared" si="98"/>
        <v>283.45367952066368</v>
      </c>
      <c r="X34" s="7">
        <f t="shared" si="98"/>
        <v>578.56532877882148</v>
      </c>
      <c r="Y34" s="7">
        <f t="shared" si="98"/>
        <v>451.61290322580646</v>
      </c>
      <c r="Z34" s="7">
        <f t="shared" si="98"/>
        <v>350.27223230490017</v>
      </c>
      <c r="AA34" s="7">
        <f t="shared" si="98"/>
        <v>212.21115115539533</v>
      </c>
      <c r="AB34" s="241">
        <f t="shared" si="98"/>
        <v>367.0743801652892</v>
      </c>
      <c r="AC34" s="7">
        <f t="shared" ref="AC34:AD34" si="99">+AC12/AC26*1000</f>
        <v>452.91747500373083</v>
      </c>
      <c r="AD34" s="7">
        <f t="shared" si="99"/>
        <v>650.14875418371139</v>
      </c>
      <c r="AE34" s="7">
        <f t="shared" ref="AE34" si="100">+AE12/AE26*1000</f>
        <v>476.32073858779279</v>
      </c>
      <c r="AF34" s="7">
        <f t="shared" ref="AF34:AG34" si="101">+AF12/AF26*1000</f>
        <v>116.38733705772809</v>
      </c>
      <c r="AG34" s="241">
        <f t="shared" si="101"/>
        <v>422.35869156535904</v>
      </c>
      <c r="AH34" s="7">
        <f t="shared" ref="AH34:AJ34" si="102">+AH12/AH26*1000</f>
        <v>92.988655384043142</v>
      </c>
      <c r="AI34" s="7">
        <f t="shared" si="102"/>
        <v>1036.4161055379964</v>
      </c>
      <c r="AJ34" s="7">
        <f t="shared" si="102"/>
        <v>1112.8455284552845</v>
      </c>
      <c r="AK34" s="7">
        <f>+AK12/AK26*1000</f>
        <v>368.74942655289453</v>
      </c>
      <c r="AL34" s="241">
        <f>+AL12/AL26*1000</f>
        <v>610.28186363306997</v>
      </c>
      <c r="AM34" s="7">
        <f>+AM12/AM26*1000</f>
        <v>806.45161290322585</v>
      </c>
      <c r="AQ34" s="241"/>
    </row>
    <row r="35" spans="2:43">
      <c r="B35" t="s">
        <v>316</v>
      </c>
      <c r="D35" s="7"/>
      <c r="E35" s="7"/>
      <c r="F35" s="7"/>
      <c r="G35" s="7"/>
      <c r="H35" s="246">
        <f t="shared" ref="H35" si="103">+H34/H33</f>
        <v>-1.7241379310344824E-2</v>
      </c>
      <c r="I35" s="7"/>
      <c r="J35" s="7"/>
      <c r="K35" s="7"/>
      <c r="L35" s="7"/>
      <c r="M35" s="246">
        <f t="shared" ref="M35" si="104">+M34/M33</f>
        <v>-3.1792679668714935E-2</v>
      </c>
      <c r="N35" s="14">
        <f>+N34/N33</f>
        <v>-4.490057729313663E-2</v>
      </c>
      <c r="O35" s="14">
        <f t="shared" ref="O35" si="105">+O34/O33</f>
        <v>6.5858585858585852E-2</v>
      </c>
      <c r="P35" s="14">
        <f t="shared" ref="P35" si="106">+P34/P33</f>
        <v>2.0209059233449483E-2</v>
      </c>
      <c r="Q35" s="14">
        <f t="shared" ref="Q35" si="107">+Q34/Q33</f>
        <v>3.2525314513654494E-2</v>
      </c>
      <c r="R35" s="246">
        <f t="shared" ref="R35" si="108">+R34/R33</f>
        <v>2.5287808717898257E-2</v>
      </c>
      <c r="S35" s="14">
        <f>+S34/S33</f>
        <v>2.7069507509605309E-2</v>
      </c>
      <c r="T35" s="14">
        <f t="shared" ref="T35" si="109">+T34/T33</f>
        <v>3.4151957022256339E-2</v>
      </c>
      <c r="U35" s="14">
        <f t="shared" ref="U35" si="110">+U34/U33</f>
        <v>0.10068373776645663</v>
      </c>
      <c r="V35" s="14">
        <f t="shared" ref="V35" si="111">+V34/V33</f>
        <v>8.9468779123951542E-2</v>
      </c>
      <c r="W35" s="246">
        <f t="shared" ref="W35" si="112">+W34/W33</f>
        <v>6.470505716490145E-2</v>
      </c>
      <c r="X35" s="14">
        <f>+X34/X33</f>
        <v>0.13372150399684199</v>
      </c>
      <c r="Y35" s="14">
        <f t="shared" ref="Y35" si="113">+Y34/Y33</f>
        <v>9.9386355432559248E-2</v>
      </c>
      <c r="Z35" s="14">
        <f t="shared" ref="Z35" si="114">+Z34/Z33</f>
        <v>7.2014925373134336E-2</v>
      </c>
      <c r="AA35" s="14">
        <f t="shared" ref="AA35" si="115">+AA34/AA33</f>
        <v>3.9426523297491023E-2</v>
      </c>
      <c r="AB35" s="246">
        <f t="shared" ref="AB35" si="116">+AB34/AB33</f>
        <v>7.5451185040226118E-2</v>
      </c>
      <c r="AC35" s="14">
        <f>+AC34/AC33</f>
        <v>9.1886164093248568E-2</v>
      </c>
      <c r="AD35" s="14">
        <f t="shared" ref="AD35" si="117">+AD34/AD33</f>
        <v>0.11097533881359696</v>
      </c>
      <c r="AE35" s="14">
        <f t="shared" ref="AE35" si="118">+AE34/AE33</f>
        <v>6.0283457751812181E-2</v>
      </c>
      <c r="AF35" s="14">
        <f t="shared" ref="AF35" si="119">+AF34/AF33</f>
        <v>1.5800384265345333E-2</v>
      </c>
      <c r="AG35" s="246">
        <f t="shared" ref="AG35" si="120">+AG34/AG33</f>
        <v>6.2970409513203235E-2</v>
      </c>
      <c r="AH35" s="14">
        <f>+AH34/AH33</f>
        <v>1.2499999999999999E-2</v>
      </c>
      <c r="AI35" s="14">
        <f t="shared" ref="AI35" si="121">+AI34/AI33</f>
        <v>0.15256705910911519</v>
      </c>
      <c r="AJ35" s="14">
        <f t="shared" ref="AJ35" si="122">+AJ34/AJ33</f>
        <v>0.13169136040023086</v>
      </c>
      <c r="AK35" s="14">
        <f t="shared" ref="AK35" si="123">+AK34/AK33</f>
        <v>4.3243650370944214E-2</v>
      </c>
      <c r="AL35" s="246">
        <f t="shared" ref="AL35" si="124">+AL34/AL33</f>
        <v>7.5667735762606797E-2</v>
      </c>
      <c r="AM35" s="14">
        <f t="shared" ref="AM35" si="125">+AM34/AM33</f>
        <v>8.7499999999999994E-2</v>
      </c>
      <c r="AQ35" s="241"/>
    </row>
    <row r="36" spans="2:43">
      <c r="H36" s="247"/>
      <c r="M36" s="247"/>
      <c r="R36" s="247"/>
      <c r="W36" s="247"/>
      <c r="AB36" s="247"/>
      <c r="AG36" s="247"/>
      <c r="AL36" s="247"/>
      <c r="AQ36" s="247"/>
    </row>
    <row r="37" spans="2:43">
      <c r="H37" s="247"/>
      <c r="M37" s="247"/>
      <c r="R37" s="247"/>
      <c r="W37" s="247"/>
      <c r="AB37" s="247"/>
      <c r="AG37" s="247"/>
      <c r="AL37" s="247"/>
      <c r="AQ37" s="247"/>
    </row>
    <row r="38" spans="2:43">
      <c r="B38" t="s">
        <v>271</v>
      </c>
      <c r="D38" s="80"/>
      <c r="E38" s="80"/>
      <c r="F38" s="80"/>
      <c r="G38" s="75"/>
      <c r="H38" s="242">
        <f>INDEX(Model!271:271,1,MATCH('Quarterly Data'!H$4,Model!$3:$3,0))</f>
        <v>0</v>
      </c>
      <c r="I38" s="80"/>
      <c r="J38" s="80"/>
      <c r="K38" s="80"/>
      <c r="L38" s="75"/>
      <c r="M38" s="242">
        <f>INDEX(Model!271:271,1,MATCH('Quarterly Data'!M$4,Model!$3:$3,0))</f>
        <v>68.037999999999997</v>
      </c>
      <c r="N38" s="80"/>
      <c r="O38" s="80"/>
      <c r="P38" s="80"/>
      <c r="Q38" s="75">
        <f>+R38</f>
        <v>185.506</v>
      </c>
      <c r="R38" s="242">
        <f>INDEX(Model!271:271,1,MATCH('Quarterly Data'!R$4,Model!$3:$3,0))</f>
        <v>185.506</v>
      </c>
      <c r="S38" s="80">
        <v>199.88200000000001</v>
      </c>
      <c r="T38" s="80">
        <v>174.369</v>
      </c>
      <c r="U38" s="80">
        <v>192.24199999999999</v>
      </c>
      <c r="V38" s="75">
        <f>+W38</f>
        <v>227.446</v>
      </c>
      <c r="W38" s="242">
        <f>INDEX(Model!271:271,1,MATCH('Quarterly Data'!W$4,Model!$3:$3,0))</f>
        <v>227.446</v>
      </c>
      <c r="X38" s="80">
        <v>299.77999999999997</v>
      </c>
      <c r="Y38" s="80">
        <v>302.98899999999998</v>
      </c>
      <c r="Z38" s="80">
        <v>339.005</v>
      </c>
      <c r="AA38" s="75">
        <f>+AB38</f>
        <v>412.24299999999999</v>
      </c>
      <c r="AB38" s="242">
        <f>INDEX(Model!271:271,1,MATCH('Quarterly Data'!AB$4,Model!$3:$3,0))</f>
        <v>412.24299999999999</v>
      </c>
      <c r="AC38" s="80">
        <v>525.69399999999996</v>
      </c>
      <c r="AD38" s="80">
        <v>606.53399999999999</v>
      </c>
      <c r="AE38" s="80">
        <v>629.798</v>
      </c>
      <c r="AF38" s="75">
        <f>+AG38</f>
        <v>762.69600000000003</v>
      </c>
      <c r="AG38" s="242">
        <f>INDEX(Model!271:271,1,MATCH('Quarterly Data'!AG$4,Model!$3:$3,0))</f>
        <v>762.69600000000003</v>
      </c>
      <c r="AH38" s="80">
        <v>1036</v>
      </c>
      <c r="AI38" s="80">
        <v>629.40099999999995</v>
      </c>
      <c r="AJ38" s="80">
        <v>967.54700000000003</v>
      </c>
      <c r="AK38" s="75">
        <f>+AL38</f>
        <v>1036.2349999999999</v>
      </c>
      <c r="AL38" s="242">
        <f>INDEX(Model!271:271,1,MATCH('Quarterly Data'!AL$4,Model!$3:$3,0))</f>
        <v>1036.2349999999999</v>
      </c>
      <c r="AM38" s="80">
        <v>1439</v>
      </c>
      <c r="AQ38" s="242"/>
    </row>
    <row r="39" spans="2:43">
      <c r="B39" t="s">
        <v>272</v>
      </c>
      <c r="D39" s="7">
        <f t="shared" ref="D39:AF39" si="126">+D6+D7</f>
        <v>6.29</v>
      </c>
      <c r="E39" s="7">
        <f t="shared" si="126"/>
        <v>9.4390000000000001</v>
      </c>
      <c r="F39" s="7">
        <f t="shared" si="126"/>
        <v>11.792</v>
      </c>
      <c r="G39" s="7">
        <f t="shared" si="126"/>
        <v>14.123999999999997</v>
      </c>
      <c r="H39" s="241">
        <f t="shared" si="126"/>
        <v>41.644999999999996</v>
      </c>
      <c r="I39" s="7">
        <f t="shared" si="126"/>
        <v>23.280999999999999</v>
      </c>
      <c r="J39" s="7">
        <f t="shared" si="126"/>
        <v>28.358000000000001</v>
      </c>
      <c r="K39" s="7">
        <f t="shared" si="126"/>
        <v>35.228999999999999</v>
      </c>
      <c r="L39" s="7">
        <f t="shared" si="126"/>
        <v>41.847000000000008</v>
      </c>
      <c r="M39" s="241">
        <f t="shared" si="126"/>
        <v>128.715</v>
      </c>
      <c r="N39" s="7">
        <f t="shared" si="126"/>
        <v>70.054000000000002</v>
      </c>
      <c r="O39" s="7">
        <f t="shared" si="126"/>
        <v>82.962999999999994</v>
      </c>
      <c r="P39" s="7">
        <f t="shared" si="126"/>
        <v>94.984999999999999</v>
      </c>
      <c r="Q39" s="7">
        <f t="shared" si="126"/>
        <v>104.14999999999996</v>
      </c>
      <c r="R39" s="241">
        <f t="shared" si="126"/>
        <v>352.15199999999999</v>
      </c>
      <c r="S39" s="7">
        <f t="shared" si="126"/>
        <v>154.108</v>
      </c>
      <c r="T39" s="7">
        <f t="shared" si="126"/>
        <v>201.76500000000001</v>
      </c>
      <c r="U39" s="7">
        <f t="shared" si="126"/>
        <v>215.572</v>
      </c>
      <c r="V39" s="7">
        <f t="shared" si="126"/>
        <v>253.98399999999995</v>
      </c>
      <c r="W39" s="241">
        <f t="shared" si="126"/>
        <v>825.42899999999997</v>
      </c>
      <c r="X39" s="7">
        <f t="shared" si="126"/>
        <v>344.18899999999996</v>
      </c>
      <c r="Y39" s="7">
        <f t="shared" si="126"/>
        <v>454.54400000000004</v>
      </c>
      <c r="Z39" s="7">
        <f t="shared" si="126"/>
        <v>507.709</v>
      </c>
      <c r="AA39" s="7">
        <f t="shared" si="126"/>
        <v>552.18700000000001</v>
      </c>
      <c r="AB39" s="241">
        <f t="shared" si="126"/>
        <v>1858.6290000000001</v>
      </c>
      <c r="AC39" s="7">
        <f t="shared" si="126"/>
        <v>716.85899999999992</v>
      </c>
      <c r="AD39" s="7">
        <f t="shared" si="126"/>
        <v>918.79899999999998</v>
      </c>
      <c r="AE39" s="7">
        <f t="shared" si="126"/>
        <v>1023.4459999999999</v>
      </c>
      <c r="AF39" s="7">
        <f t="shared" si="126"/>
        <v>1029.0830000000001</v>
      </c>
      <c r="AG39" s="241">
        <f t="shared" ref="AG39" si="127">+AG6+AG7</f>
        <v>3688.1869999999999</v>
      </c>
      <c r="AH39" s="7">
        <f t="shared" ref="AH39:AM39" si="128">+AH6+AH7</f>
        <v>1044</v>
      </c>
      <c r="AI39" s="7">
        <f t="shared" si="128"/>
        <v>1041.2360000000001</v>
      </c>
      <c r="AJ39" s="7">
        <f t="shared" si="128"/>
        <v>1419.0529999999999</v>
      </c>
      <c r="AK39" s="7">
        <f t="shared" si="128"/>
        <v>1681.5419999999999</v>
      </c>
      <c r="AL39" s="241">
        <f t="shared" si="128"/>
        <v>5185.8310000000001</v>
      </c>
      <c r="AM39" s="7">
        <f t="shared" si="128"/>
        <v>2040</v>
      </c>
      <c r="AQ39" s="241"/>
    </row>
    <row r="40" spans="2:43">
      <c r="B40" t="s">
        <v>281</v>
      </c>
      <c r="D40" s="244" t="str">
        <f t="shared" ref="D40" si="129">IFERROR(AVERAGE(C38:D38)/D39*(365/4),"na")</f>
        <v>na</v>
      </c>
      <c r="E40" s="244" t="str">
        <f t="shared" ref="E40" si="130">IFERROR(AVERAGE(D38:E38)/E39*(365/4),"na")</f>
        <v>na</v>
      </c>
      <c r="F40" s="244" t="str">
        <f t="shared" ref="F40" si="131">IFERROR(AVERAGE(E38:F38)/F39*(365/4),"na")</f>
        <v>na</v>
      </c>
      <c r="G40" s="244" t="str">
        <f t="shared" ref="G40" si="132">IFERROR(AVERAGE(F38:G38)/G39*(365/4),"na")</f>
        <v>na</v>
      </c>
      <c r="H40" s="245">
        <f>IFERROR(AVERAGE(H38,C38)/H39*(365),"na")</f>
        <v>0</v>
      </c>
      <c r="I40" s="244">
        <f t="shared" ref="I40" si="133">IFERROR(AVERAGE(H38:I38)/I39*(365/4),"na")</f>
        <v>0</v>
      </c>
      <c r="J40" s="244" t="str">
        <f t="shared" ref="J40" si="134">IFERROR(AVERAGE(I38:J38)/J39*(365/4),"na")</f>
        <v>na</v>
      </c>
      <c r="K40" s="244" t="str">
        <f t="shared" ref="K40" si="135">IFERROR(AVERAGE(J38:K38)/K39*(365/4),"na")</f>
        <v>na</v>
      </c>
      <c r="L40" s="244" t="str">
        <f t="shared" ref="L40" si="136">IFERROR(AVERAGE(K38:L38)/L39*(365/4),"na")</f>
        <v>na</v>
      </c>
      <c r="M40" s="245">
        <f>IFERROR(AVERAGE(M38,H38)/M39*(365),"na")</f>
        <v>96.468438021986557</v>
      </c>
      <c r="N40" s="244">
        <f t="shared" ref="N40" si="137">IFERROR(AVERAGE(M38:N38)/N39*(365/4),"na")</f>
        <v>88.624025751563067</v>
      </c>
      <c r="O40" s="244" t="str">
        <f t="shared" ref="O40" si="138">IFERROR(AVERAGE(N38:O38)/O39*(365/4),"na")</f>
        <v>na</v>
      </c>
      <c r="P40" s="244" t="str">
        <f t="shared" ref="P40" si="139">IFERROR(AVERAGE(O38:P38)/P39*(365/4),"na")</f>
        <v>na</v>
      </c>
      <c r="Q40" s="244">
        <f t="shared" ref="Q40" si="140">IFERROR(AVERAGE(P38:Q38)/Q39*(365/4),"na")</f>
        <v>162.52926068170913</v>
      </c>
      <c r="R40" s="245">
        <f>IFERROR(AVERAGE(R38,M38)/R39*(365),"na")</f>
        <v>131.3971807628524</v>
      </c>
      <c r="S40" s="244">
        <f t="shared" ref="S40" si="141">IFERROR(AVERAGE(R38:S38)/S39*(365/4),"na")</f>
        <v>114.09743491577335</v>
      </c>
      <c r="T40" s="244">
        <f t="shared" ref="T40" si="142">IFERROR(AVERAGE(S38:T38)/T39*(365/4),"na")</f>
        <v>84.629157063910981</v>
      </c>
      <c r="U40" s="244">
        <f t="shared" ref="U40" si="143">IFERROR(AVERAGE(T38:U38)/U39*(365/4),"na")</f>
        <v>77.591834166774902</v>
      </c>
      <c r="V40" s="244">
        <f t="shared" ref="V40" si="144">IFERROR(AVERAGE(U38:V38)/V39*(365/4),"na")</f>
        <v>75.391619157112274</v>
      </c>
      <c r="W40" s="245">
        <f>IFERROR(AVERAGE(W38,R38)/W39*(365),"na")</f>
        <v>91.30251057328978</v>
      </c>
      <c r="X40" s="244">
        <f t="shared" ref="X40" si="145">IFERROR(AVERAGE(W38:X38)/X39*(365/4),"na")</f>
        <v>69.888015741351424</v>
      </c>
      <c r="Y40" s="244">
        <f t="shared" ref="Y40" si="146">IFERROR(AVERAGE(X38:Y38)/Y39*(365/4),"na")</f>
        <v>60.50313198502235</v>
      </c>
      <c r="Z40" s="244">
        <f t="shared" ref="Z40" si="147">IFERROR(AVERAGE(Y38:Z38)/Z39*(365/4),"na")</f>
        <v>57.692450301255242</v>
      </c>
      <c r="AA40" s="244">
        <f t="shared" ref="AA40" si="148">IFERROR(AVERAGE(Z38:AA38)/AA39*(365/4),"na")</f>
        <v>62.072613082162384</v>
      </c>
      <c r="AB40" s="245">
        <f>IFERROR(AVERAGE(AB38,W38)/AB39*(365),"na")</f>
        <v>62.811482280756394</v>
      </c>
      <c r="AC40" s="244">
        <f t="shared" ref="AC40" si="149">IFERROR(AVERAGE(AB38:AC38)/AC39*(365/4),"na")</f>
        <v>59.69566626770397</v>
      </c>
      <c r="AD40" s="244">
        <f t="shared" ref="AD40" si="150">IFERROR(AVERAGE(AC38:AD38)/AD39*(365/4),"na")</f>
        <v>56.223289859914956</v>
      </c>
      <c r="AE40" s="244">
        <f t="shared" ref="AE40" si="151">IFERROR(AVERAGE(AD38:AE38)/AE39*(365/4),"na")</f>
        <v>55.115411560551316</v>
      </c>
      <c r="AF40" s="244">
        <f t="shared" ref="AF40" si="152">IFERROR(AVERAGE(AE38:AF38)/AF39*(365/4),"na")</f>
        <v>61.737040403932433</v>
      </c>
      <c r="AG40" s="245">
        <f>IFERROR(AVERAGE(AG38,AB38)/AG39*(365),"na")</f>
        <v>58.138691855917287</v>
      </c>
      <c r="AH40" s="244">
        <f t="shared" ref="AH40:AM40" si="153">IFERROR(AVERAGE(AG38:AH38)/AH39*(365/4),"na")</f>
        <v>78.606805555555553</v>
      </c>
      <c r="AI40" s="244">
        <f t="shared" ref="AI40" si="154">IFERROR(AVERAGE(AH38:AI38)/AI39*(365/4),"na")</f>
        <v>72.974734474221009</v>
      </c>
      <c r="AJ40" s="244">
        <f t="shared" ref="AJ40" si="155">IFERROR(AVERAGE(AI38:AJ38)/AJ39*(365/4),"na")</f>
        <v>51.344630891164734</v>
      </c>
      <c r="AK40" s="244">
        <f t="shared" ref="AK40" si="156">IFERROR(AVERAGE(AJ38:AK38)/AK39*(365/4),"na")</f>
        <v>54.368284437736314</v>
      </c>
      <c r="AL40" s="245">
        <f>IFERROR(AVERAGE(AL38,AG38)/AL39*(365),"na")</f>
        <v>63.308061427377794</v>
      </c>
      <c r="AM40" s="244">
        <f t="shared" si="153"/>
        <v>55.359116115196073</v>
      </c>
      <c r="AQ40" s="245"/>
    </row>
    <row r="41" spans="2:43">
      <c r="B41" t="s">
        <v>283</v>
      </c>
      <c r="D41" s="244" t="str">
        <f>IFERROR(AVERAGE(C38:D38)/(D6)*(365/4),"na")</f>
        <v>na</v>
      </c>
      <c r="E41" s="244" t="str">
        <f>IFERROR(AVERAGE(D38:E38)/(E6)*(365/4),"na")</f>
        <v>na</v>
      </c>
      <c r="F41" s="244" t="str">
        <f>IFERROR(AVERAGE(E38:F38)/(F6)*(365/4),"na")</f>
        <v>na</v>
      </c>
      <c r="G41" s="244" t="str">
        <f>IFERROR(AVERAGE(F38:G38)/(G6)*(365/4),"na")</f>
        <v>na</v>
      </c>
      <c r="H41" s="245">
        <f>IFERROR(AVERAGE(H38,C38)/H6*(365),"na")</f>
        <v>0</v>
      </c>
      <c r="I41" s="244">
        <f>IFERROR(AVERAGE(H38:I38)/(I6)*(365/4),"na")</f>
        <v>0</v>
      </c>
      <c r="J41" s="244" t="str">
        <f>IFERROR(AVERAGE(I38:J38)/(J6)*(365/4),"na")</f>
        <v>na</v>
      </c>
      <c r="K41" s="244" t="str">
        <f>IFERROR(AVERAGE(J38:K38)/(K6)*(365/4),"na")</f>
        <v>na</v>
      </c>
      <c r="L41" s="244" t="str">
        <f>IFERROR(AVERAGE(K38:L38)/(L6)*(365/4),"na")</f>
        <v>na</v>
      </c>
      <c r="M41" s="245">
        <f>IFERROR(AVERAGE(M38,H38)/M6*(365),"na")</f>
        <v>99.357736132893777</v>
      </c>
      <c r="N41" s="244">
        <f>IFERROR(AVERAGE(M38:N38)/(N6)*(365/4),"na")</f>
        <v>90.641178188188903</v>
      </c>
      <c r="O41" s="244" t="str">
        <f>IFERROR(AVERAGE(N38:O38)/(O6)*(365/4),"na")</f>
        <v>na</v>
      </c>
      <c r="P41" s="244" t="str">
        <f>IFERROR(AVERAGE(O38:P38)/(P6)*(365/4),"na")</f>
        <v>na</v>
      </c>
      <c r="Q41" s="244">
        <f>IFERROR(AVERAGE(P38:Q38)/(Q6)*(365/4),"na")</f>
        <v>167.77931133599634</v>
      </c>
      <c r="R41" s="245">
        <f>IFERROR(AVERAGE(R38,M38)/R6*(365),"na")</f>
        <v>135.30195415642024</v>
      </c>
      <c r="S41" s="244">
        <f>IFERROR(AVERAGE(R38:S38)/(S6)*(365/4),"na")</f>
        <v>118.500407731396</v>
      </c>
      <c r="T41" s="244">
        <f>IFERROR(AVERAGE(S38:T38)/(T6)*(365/4),"na")</f>
        <v>88.040556827380669</v>
      </c>
      <c r="U41" s="244">
        <f>IFERROR(AVERAGE(T38:U38)/(U6)*(365/4),"na")</f>
        <v>80.372811285215249</v>
      </c>
      <c r="V41" s="244">
        <f>IFERROR(AVERAGE(U38:V38)/(V6)*(365/4),"na")</f>
        <v>77.689097791644528</v>
      </c>
      <c r="W41" s="245">
        <f>IFERROR(AVERAGE(W38,R38)/W6*(365),"na")</f>
        <v>94.569358087123462</v>
      </c>
      <c r="X41" s="244">
        <f>IFERROR(AVERAGE(W38:X38)/(X6)*(365/4),"na")</f>
        <v>72.007945524103746</v>
      </c>
      <c r="Y41" s="244">
        <f>IFERROR(AVERAGE(X38:Y38)/(Y6)*(365/4),"na")</f>
        <v>62.799620994149642</v>
      </c>
      <c r="Z41" s="244">
        <f>IFERROR(AVERAGE(Y38:Z38)/(Z6)*(365/4),"na")</f>
        <v>60.236157867353249</v>
      </c>
      <c r="AA41" s="244">
        <f>IFERROR(AVERAGE(Z38:AA38)/(AA6)*(365/4),"na")</f>
        <v>65.064199180710631</v>
      </c>
      <c r="AB41" s="245">
        <f>IFERROR(AVERAGE(AB38,W38)/AB6*(365),"na")</f>
        <v>65.400727992851714</v>
      </c>
      <c r="AC41" s="244">
        <f>IFERROR(AVERAGE(AB38:AC38)/(AC6)*(365/4),"na")</f>
        <v>62.579059421288072</v>
      </c>
      <c r="AD41" s="244">
        <f>IFERROR(AVERAGE(AC38:AD38)/(AD6)*(365/4),"na")</f>
        <v>60.363178251546834</v>
      </c>
      <c r="AE41" s="244">
        <f>IFERROR(AVERAGE(AD38:AE38)/(AE6)*(365/4),"na")</f>
        <v>60.587194527269133</v>
      </c>
      <c r="AF41" s="244">
        <f>IFERROR(AVERAGE(AE38:AF38)/(AF6)*(365/4),"na")</f>
        <v>66.878398130048183</v>
      </c>
      <c r="AG41" s="245">
        <f>IFERROR(AVERAGE(AG38,AB38)/AG6*(365),"na")</f>
        <v>62.686752269557317</v>
      </c>
      <c r="AH41" s="244">
        <f>IFERROR(AVERAGE(AG38:AH38)/(AH6)*(365/4),"na")</f>
        <v>85.130191908713684</v>
      </c>
      <c r="AI41" s="244">
        <f>IFERROR(AVERAGE(AH38:AI38)/(AI6)*(365/4),"na")</f>
        <v>76.61198568363443</v>
      </c>
      <c r="AJ41" s="244">
        <f>IFERROR(AVERAGE(AI38:AJ38)/(AJ6)*(365/4),"na")</f>
        <v>56.51940885621908</v>
      </c>
      <c r="AK41" s="244">
        <f>IFERROR(AVERAGE(AJ38:AK38)/(AK6)*(365/4),"na")</f>
        <v>61.12502047584185</v>
      </c>
      <c r="AL41" s="245">
        <f>IFERROR(AVERAGE(AL38,AG38)/AL6*(365),"na")</f>
        <v>69.253945443557186</v>
      </c>
      <c r="AM41" s="244">
        <f>IFERROR(AVERAGE(AL38:AM38)/(AM6)*(365/4),"na")</f>
        <v>62.740331597222209</v>
      </c>
      <c r="AQ41" s="245"/>
    </row>
    <row r="42" spans="2:43">
      <c r="B42" t="s">
        <v>284</v>
      </c>
      <c r="D42" s="244" t="str">
        <f>IFERROR(AVERAGE(A38:B38)/(D6)*(365/4),"na")</f>
        <v>na</v>
      </c>
      <c r="E42" s="244" t="str">
        <f>IFERROR(AVERAGE(C38:D38)/(E6)*(365/4),"na")</f>
        <v>na</v>
      </c>
      <c r="F42" s="244" t="str">
        <f>IFERROR(AVERAGE(D38:E38)/(F6)*(365/4),"na")</f>
        <v>na</v>
      </c>
      <c r="G42" s="244" t="str">
        <f>IFERROR(AVERAGE(E38:F38)/(G6)*(365/4),"na")</f>
        <v>na</v>
      </c>
      <c r="H42" s="245">
        <f>IFERROR(AVERAGE(H38,C38)/H6*(365),"na")</f>
        <v>0</v>
      </c>
      <c r="I42" s="244" t="str">
        <f>IFERROR(AVERAGE(F38:G38)/(I6)*(365/4),"na")</f>
        <v>na</v>
      </c>
      <c r="J42" s="244">
        <f>IFERROR(AVERAGE(H38:I38)/(J6)*(365/4),"na")</f>
        <v>0</v>
      </c>
      <c r="K42" s="244" t="str">
        <f>IFERROR(AVERAGE(I38:J38)/(K6)*(365/4),"na")</f>
        <v>na</v>
      </c>
      <c r="L42" s="244" t="str">
        <f>IFERROR(AVERAGE(J38:K38)/(L6)*(365/4),"na")</f>
        <v>na</v>
      </c>
      <c r="M42" s="245">
        <f>IFERROR(AVERAGE(M38,H38)/M6*(365),"na")</f>
        <v>99.357736132893777</v>
      </c>
      <c r="N42" s="244" t="str">
        <f>IFERROR(AVERAGE(K38:L38)/(N6)*(365/4),"na")</f>
        <v>na</v>
      </c>
      <c r="O42" s="244">
        <f>IFERROR(AVERAGE(M38:N38)/(O6)*(365/4),"na")</f>
        <v>77.135318308319256</v>
      </c>
      <c r="P42" s="244" t="str">
        <f>IFERROR(AVERAGE(N38:O38)/(P6)*(365/4),"na")</f>
        <v>na</v>
      </c>
      <c r="Q42" s="244" t="str">
        <f>IFERROR(AVERAGE(O38:P38)/(Q6)*(365/4),"na")</f>
        <v>na</v>
      </c>
      <c r="R42" s="245">
        <f>IFERROR(AVERAGE(R38,M38)/R6*(365),"na")</f>
        <v>135.30195415642024</v>
      </c>
      <c r="S42" s="244">
        <f>IFERROR(AVERAGE(P38:Q38)/(S6)*(365/4),"na")</f>
        <v>114.08002655308596</v>
      </c>
      <c r="T42" s="244">
        <f>IFERROR(AVERAGE(R38:S38)/(T6)*(365/4),"na")</f>
        <v>90.660476831299277</v>
      </c>
      <c r="U42" s="244">
        <f>IFERROR(AVERAGE(S38:T38)/(U6)*(365/4),"na")</f>
        <v>82.047742692671761</v>
      </c>
      <c r="V42" s="244">
        <f>IFERROR(AVERAGE(T38:U38)/(V6)*(365/4),"na")</f>
        <v>67.86393185054753</v>
      </c>
      <c r="W42" s="245">
        <f>IFERROR(AVERAGE(W38,R38)/W6*(365),"na")</f>
        <v>94.569358087123462</v>
      </c>
      <c r="X42" s="244">
        <f>IFERROR(AVERAGE(U38:V38)/(X6)*(365/4),"na")</f>
        <v>57.320524103743082</v>
      </c>
      <c r="Y42" s="244">
        <f>IFERROR(AVERAGE(W38:X38)/(Y6)*(365/4),"na")</f>
        <v>54.929156904654249</v>
      </c>
      <c r="Z42" s="244">
        <f>IFERROR(AVERAGE(X38:Y38)/(Z6)*(365/4),"na")</f>
        <v>56.555806816803049</v>
      </c>
      <c r="AA42" s="244">
        <f>IFERROR(AVERAGE(Y38:Z38)/(AA6)*(365/4),"na")</f>
        <v>55.601912402856492</v>
      </c>
      <c r="AB42" s="245">
        <f>IFERROR(AVERAGE(AB38,W38)/AB6*(365),"na")</f>
        <v>65.400727992851714</v>
      </c>
      <c r="AC42" s="244">
        <f>IFERROR(AVERAGE(Z38:AA38)/(AC6)*(365/4),"na")</f>
        <v>50.123188691909824</v>
      </c>
      <c r="AD42" s="244">
        <f>IFERROR(AVERAGE(AB38:AC38)/(AD6)*(365/4),"na")</f>
        <v>50.004820866222239</v>
      </c>
      <c r="AE42" s="244">
        <f>IFERROR(AVERAGE(AC38:AD38)/(AE6)*(365/4),"na")</f>
        <v>55.485515286525697</v>
      </c>
      <c r="AF42" s="244">
        <f>IFERROR(AVERAGE(AD38:AE38)/(AF6)*(365/4),"na")</f>
        <v>59.378283652869392</v>
      </c>
      <c r="AG42" s="245">
        <f>IFERROR(AVERAGE(AG38,AB38)/AG6*(365),"na")</f>
        <v>62.686752269557317</v>
      </c>
      <c r="AH42" s="244">
        <f>IFERROR(AVERAGE(AE38:AF38)/(AH6)*(365/4),"na")</f>
        <v>65.905123184647309</v>
      </c>
      <c r="AI42" s="244">
        <f>IFERROR(AVERAGE(AG38:AH38)/(AI6)*(365/4),"na")</f>
        <v>82.74383899205688</v>
      </c>
      <c r="AJ42" s="244">
        <f>IFERROR(AVERAGE(AH38:AI38)/(AJ6)*(365/4),"na")</f>
        <v>58.942107087116248</v>
      </c>
      <c r="AK42" s="244">
        <f>IFERROR(AVERAGE(AI38:AJ38)/(AK6)*(365/4),"na")</f>
        <v>48.714620252529812</v>
      </c>
      <c r="AL42" s="245">
        <f>IFERROR(AVERAGE(AL38,AG38)/AL6*(365),"na")</f>
        <v>69.253945443557186</v>
      </c>
      <c r="AM42" s="244">
        <f>IFERROR(AVERAGE(AJ38:AK38)/(AM6)*(365/4),"na")</f>
        <v>50.790307638888891</v>
      </c>
      <c r="AQ42" s="245"/>
    </row>
    <row r="43" spans="2:43">
      <c r="B43" t="s">
        <v>282</v>
      </c>
      <c r="D43" s="80">
        <v>168</v>
      </c>
      <c r="E43" s="80">
        <v>114</v>
      </c>
      <c r="F43" s="80">
        <v>109</v>
      </c>
      <c r="G43" s="80">
        <v>107</v>
      </c>
      <c r="H43" s="248"/>
      <c r="I43" s="80">
        <v>95</v>
      </c>
      <c r="J43" s="80">
        <v>97</v>
      </c>
      <c r="K43" s="80">
        <v>105</v>
      </c>
      <c r="L43" s="80">
        <v>85</v>
      </c>
      <c r="M43" s="248"/>
      <c r="N43" s="80">
        <v>83</v>
      </c>
      <c r="O43" s="80">
        <v>93</v>
      </c>
      <c r="P43" s="80">
        <v>92</v>
      </c>
      <c r="Q43" s="80">
        <v>89</v>
      </c>
      <c r="R43" s="248"/>
      <c r="S43" s="80">
        <v>93</v>
      </c>
      <c r="T43" s="80">
        <v>105</v>
      </c>
      <c r="U43" s="80">
        <v>97</v>
      </c>
      <c r="V43" s="75">
        <f>((W43*W25)-SUMPRODUCT(S43:U43,S25:U25))/V25</f>
        <v>73.501294665976189</v>
      </c>
      <c r="W43" s="248">
        <v>91</v>
      </c>
      <c r="X43" s="80">
        <v>70</v>
      </c>
      <c r="Y43" s="80">
        <v>66</v>
      </c>
      <c r="Z43" s="80">
        <v>63</v>
      </c>
      <c r="AA43" s="75">
        <f>((AB43*AB25)-SUMPRODUCT(X43:Z43,X25:Z25))/AA25</f>
        <v>59.293693693693683</v>
      </c>
      <c r="AB43" s="248">
        <v>64</v>
      </c>
      <c r="AC43" s="80">
        <v>63</v>
      </c>
      <c r="AD43" s="80">
        <v>61</v>
      </c>
      <c r="AE43" s="80">
        <v>63</v>
      </c>
      <c r="AF43" s="75">
        <f>((AG43*AG25)-SUMPRODUCT(AC43:AE43,AC25:AE25))/AF25</f>
        <v>61.222175898352177</v>
      </c>
      <c r="AG43" s="248">
        <v>62</v>
      </c>
      <c r="AH43" s="80">
        <v>68</v>
      </c>
      <c r="AI43" s="80">
        <v>89</v>
      </c>
      <c r="AJ43" s="80">
        <v>58</v>
      </c>
      <c r="AK43" s="75">
        <f>((AL43*AL25)-SUMPRODUCT(AH43:AJ43,AH25:AJ25))/AK25</f>
        <v>57.510765948013095</v>
      </c>
      <c r="AL43" s="248">
        <v>67</v>
      </c>
      <c r="AM43" s="80"/>
      <c r="AN43" s="80"/>
      <c r="AO43" s="80"/>
      <c r="AP43" s="80"/>
      <c r="AQ43" s="248"/>
    </row>
    <row r="44" spans="2:43">
      <c r="D44" s="80"/>
      <c r="E44" s="80"/>
      <c r="F44" s="80"/>
      <c r="G44" s="80"/>
      <c r="H44" s="248"/>
      <c r="I44" s="80"/>
      <c r="J44" s="80"/>
      <c r="K44" s="80"/>
      <c r="L44" s="80"/>
      <c r="M44" s="248"/>
      <c r="N44" s="80"/>
      <c r="O44" s="80"/>
      <c r="P44" s="80"/>
      <c r="Q44" s="80"/>
      <c r="R44" s="248"/>
      <c r="S44" s="80"/>
      <c r="T44" s="80"/>
      <c r="U44" s="80"/>
      <c r="V44" s="80"/>
      <c r="W44" s="248"/>
      <c r="X44" s="80"/>
      <c r="Y44" s="80"/>
      <c r="Z44" s="80"/>
      <c r="AA44" s="80"/>
      <c r="AB44" s="248"/>
      <c r="AC44" s="80"/>
      <c r="AD44" s="80"/>
      <c r="AE44" s="80"/>
      <c r="AF44" s="80"/>
      <c r="AG44" s="248"/>
      <c r="AH44" s="80"/>
      <c r="AI44" s="80"/>
      <c r="AJ44" s="80"/>
      <c r="AK44" s="80"/>
      <c r="AL44" s="248"/>
      <c r="AM44" s="80"/>
      <c r="AN44" s="80"/>
      <c r="AO44" s="80"/>
      <c r="AP44" s="80"/>
      <c r="AQ44" s="248"/>
    </row>
    <row r="45" spans="2:43">
      <c r="D45" s="80"/>
      <c r="E45" s="80"/>
      <c r="F45" s="80"/>
      <c r="G45" s="80"/>
      <c r="H45" s="248"/>
      <c r="I45" s="80"/>
      <c r="J45" s="80"/>
      <c r="K45" s="80"/>
      <c r="L45" s="80"/>
      <c r="M45" s="248"/>
      <c r="N45" s="80"/>
      <c r="O45" s="80"/>
      <c r="P45" s="80"/>
      <c r="Q45" s="80"/>
      <c r="R45" s="248"/>
      <c r="S45" s="80"/>
      <c r="T45" s="80"/>
      <c r="U45" s="80"/>
      <c r="V45" s="80"/>
      <c r="W45" s="248"/>
      <c r="X45" s="80"/>
      <c r="Y45" s="80"/>
      <c r="Z45" s="80"/>
      <c r="AA45" s="80"/>
      <c r="AB45" s="248"/>
      <c r="AC45" s="80"/>
      <c r="AD45" s="80"/>
      <c r="AE45" s="80"/>
      <c r="AF45" s="80"/>
      <c r="AG45" s="248"/>
      <c r="AH45" s="80"/>
      <c r="AI45" s="80"/>
      <c r="AJ45" s="80"/>
      <c r="AK45" s="80"/>
      <c r="AL45" s="248"/>
      <c r="AM45" s="60"/>
      <c r="AN45" s="80"/>
      <c r="AO45" s="80"/>
      <c r="AP45" s="80"/>
      <c r="AQ45" s="248"/>
    </row>
    <row r="46" spans="2:43">
      <c r="B46" t="s">
        <v>285</v>
      </c>
      <c r="D46" s="80"/>
      <c r="E46" s="80"/>
      <c r="F46" s="80"/>
      <c r="G46" s="80"/>
      <c r="H46" s="248"/>
      <c r="I46" s="80"/>
      <c r="J46" s="80"/>
      <c r="K46" s="80"/>
      <c r="L46" s="80"/>
      <c r="M46" s="248">
        <v>1</v>
      </c>
      <c r="N46" s="80"/>
      <c r="O46" s="80"/>
      <c r="P46" s="80"/>
      <c r="Q46" s="80"/>
      <c r="R46" s="248">
        <v>2</v>
      </c>
      <c r="S46" s="80"/>
      <c r="T46" s="80"/>
      <c r="U46" s="80"/>
      <c r="V46" s="80"/>
      <c r="W46" s="248">
        <v>7</v>
      </c>
      <c r="X46" s="80"/>
      <c r="Y46" s="80"/>
      <c r="Z46" s="80"/>
      <c r="AA46" s="80"/>
      <c r="AB46" s="248">
        <v>15</v>
      </c>
      <c r="AC46" s="80"/>
      <c r="AD46" s="80"/>
      <c r="AE46" s="80"/>
      <c r="AF46" s="80"/>
      <c r="AG46" s="248">
        <v>23</v>
      </c>
      <c r="AH46" s="80"/>
      <c r="AI46" s="80"/>
      <c r="AJ46" s="80"/>
      <c r="AK46" s="80"/>
      <c r="AL46" s="248">
        <v>27</v>
      </c>
      <c r="AM46" s="80">
        <v>28</v>
      </c>
      <c r="AN46" s="80"/>
      <c r="AO46" s="80"/>
      <c r="AP46" s="80"/>
      <c r="AQ46" s="248"/>
    </row>
    <row r="47" spans="2:43">
      <c r="B47" t="s">
        <v>270</v>
      </c>
      <c r="H47" s="242">
        <f>INDEX(Model!192:192,1,MATCH('Quarterly Data'!H$4,Model!$3:$3,0))</f>
        <v>2</v>
      </c>
      <c r="I47" s="179">
        <v>2</v>
      </c>
      <c r="J47" s="179">
        <v>2</v>
      </c>
      <c r="K47" s="179">
        <v>3</v>
      </c>
      <c r="L47" s="179">
        <v>3</v>
      </c>
      <c r="M47" s="242">
        <f>INDEX(Model!192:192,1,MATCH('Quarterly Data'!M$4,Model!$3:$3,0))</f>
        <v>3</v>
      </c>
      <c r="N47" s="179">
        <v>3</v>
      </c>
      <c r="O47" s="179">
        <v>3</v>
      </c>
      <c r="P47" s="179">
        <v>3</v>
      </c>
      <c r="Q47" s="7">
        <f>+R47</f>
        <v>3</v>
      </c>
      <c r="R47" s="242">
        <f>INDEX(Model!192:192,1,MATCH('Quarterly Data'!R$4,Model!$3:$3,0))</f>
        <v>3</v>
      </c>
      <c r="S47" s="80">
        <v>3</v>
      </c>
      <c r="T47" s="80">
        <v>3</v>
      </c>
      <c r="U47" s="80">
        <v>4</v>
      </c>
      <c r="V47" s="7">
        <f>+W47</f>
        <v>4</v>
      </c>
      <c r="W47" s="242">
        <f>INDEX(Model!192:192,1,MATCH('Quarterly Data'!W$4,Model!$3:$3,0))</f>
        <v>4</v>
      </c>
      <c r="X47" s="80">
        <v>4</v>
      </c>
      <c r="Y47" s="80">
        <v>4</v>
      </c>
      <c r="Z47" s="80">
        <v>4</v>
      </c>
      <c r="AA47" s="7">
        <f>+AB47</f>
        <v>5</v>
      </c>
      <c r="AB47" s="242">
        <f>INDEX(Model!192:192,1,MATCH('Quarterly Data'!AB$4,Model!$3:$3,0))</f>
        <v>5</v>
      </c>
      <c r="AC47" s="80">
        <v>6</v>
      </c>
      <c r="AD47" s="80">
        <v>7</v>
      </c>
      <c r="AE47" s="80">
        <v>7</v>
      </c>
      <c r="AF47" s="7">
        <f>+AG47</f>
        <v>7</v>
      </c>
      <c r="AG47" s="242">
        <f>INDEX(Model!192:192,1,MATCH('Quarterly Data'!AG$4,Model!$3:$3,0))</f>
        <v>7</v>
      </c>
      <c r="AH47" s="80">
        <v>8</v>
      </c>
      <c r="AI47" s="80">
        <v>9</v>
      </c>
      <c r="AJ47" s="80">
        <v>10</v>
      </c>
      <c r="AK47" s="7">
        <f>+AL47</f>
        <v>11</v>
      </c>
      <c r="AL47" s="242">
        <f>INDEX(Model!192:192,1,MATCH('Quarterly Data'!AL$4,Model!$3:$3,0))</f>
        <v>11</v>
      </c>
      <c r="AM47" s="80">
        <v>12</v>
      </c>
      <c r="AQ47" s="242"/>
    </row>
    <row r="48" spans="2:43">
      <c r="B48" t="s">
        <v>289</v>
      </c>
      <c r="H48" s="242">
        <f>INDEX(Model!193:193,1,MATCH('Quarterly Data'!H$4,Model!$3:$3,0))</f>
        <v>100</v>
      </c>
      <c r="I48" s="179">
        <v>100</v>
      </c>
      <c r="J48" s="179">
        <v>100</v>
      </c>
      <c r="K48" s="179">
        <v>150</v>
      </c>
      <c r="L48" s="179">
        <v>150</v>
      </c>
      <c r="M48" s="242">
        <f>INDEX(Model!193:193,1,MATCH('Quarterly Data'!M$4,Model!$3:$3,0))</f>
        <v>50</v>
      </c>
      <c r="N48" s="179">
        <v>150</v>
      </c>
      <c r="O48" s="179">
        <v>150</v>
      </c>
      <c r="P48" s="179">
        <v>150</v>
      </c>
      <c r="Q48" s="7">
        <f>+R48</f>
        <v>150</v>
      </c>
      <c r="R48" s="242">
        <f>INDEX(Model!193:193,1,MATCH('Quarterly Data'!R$4,Model!$3:$3,0))</f>
        <v>150</v>
      </c>
      <c r="S48" s="80">
        <v>150</v>
      </c>
      <c r="T48" s="80">
        <v>150</v>
      </c>
      <c r="U48" s="80">
        <v>200</v>
      </c>
      <c r="V48" s="7">
        <f>+W48</f>
        <v>200</v>
      </c>
      <c r="W48" s="242">
        <f>INDEX(Model!193:193,1,MATCH('Quarterly Data'!W$4,Model!$3:$3,0))</f>
        <v>200</v>
      </c>
      <c r="X48" s="80">
        <v>200</v>
      </c>
      <c r="Y48" s="80">
        <v>200</v>
      </c>
      <c r="Z48" s="80">
        <v>200</v>
      </c>
      <c r="AA48" s="7">
        <f>+AB48</f>
        <v>250</v>
      </c>
      <c r="AB48" s="242">
        <f>INDEX(Model!193:193,1,MATCH('Quarterly Data'!AB$4,Model!$3:$3,0))</f>
        <v>250</v>
      </c>
      <c r="AC48" s="80">
        <v>250</v>
      </c>
      <c r="AD48" s="80">
        <v>350</v>
      </c>
      <c r="AE48" s="80">
        <v>350</v>
      </c>
      <c r="AF48" s="7">
        <f>+AG48</f>
        <v>350</v>
      </c>
      <c r="AG48" s="242">
        <f>INDEX(Model!193:193,1,MATCH('Quarterly Data'!AG$4,Model!$3:$3,0))</f>
        <v>350</v>
      </c>
      <c r="AH48" s="80">
        <v>400</v>
      </c>
      <c r="AI48" s="80">
        <v>475</v>
      </c>
      <c r="AJ48" s="80">
        <v>550</v>
      </c>
      <c r="AK48" s="7">
        <f>+AL48</f>
        <v>600</v>
      </c>
      <c r="AL48" s="242">
        <f>INDEX(Model!193:193,1,MATCH('Quarterly Data'!AL$4,Model!$3:$3,0))</f>
        <v>600</v>
      </c>
      <c r="AM48" s="80">
        <v>680</v>
      </c>
      <c r="AQ48" s="242"/>
    </row>
    <row r="49" spans="1:43">
      <c r="B49" t="s">
        <v>287</v>
      </c>
      <c r="H49" s="243">
        <f>(H25)/AVERAGE(H48,C48)</f>
        <v>2.1049999999999999E-2</v>
      </c>
      <c r="I49" s="218">
        <f>(I25*4)/AVERAGE(I48,H48)</f>
        <v>4.8479999999999995E-2</v>
      </c>
      <c r="J49" s="218">
        <f>(J25*4)/AVERAGE(J48,I48)</f>
        <v>5.3719999999999997E-2</v>
      </c>
      <c r="K49" s="218">
        <f>(K25*4)/AVERAGE(K48,J48)</f>
        <v>5.6832000000000001E-2</v>
      </c>
      <c r="L49" s="218">
        <f>(L25*4)/AVERAGE(L48,K48)</f>
        <v>5.8453333333333336E-2</v>
      </c>
      <c r="M49" s="243">
        <f>(M25)/AVERAGE(M48,H48)</f>
        <v>8.6973333333333333E-2</v>
      </c>
      <c r="N49" s="218">
        <f>(N25*4)/AVERAGE(N48,M48)</f>
        <v>0.15132000000000001</v>
      </c>
      <c r="O49" s="218">
        <f>(O25*4)/AVERAGE(O48,N48)</f>
        <v>0.11613333333333334</v>
      </c>
      <c r="P49" s="218">
        <f>(P25*4)/AVERAGE(P48,O48)</f>
        <v>0.13394666666666666</v>
      </c>
      <c r="Q49" s="218">
        <f>(Q25*4)/AVERAGE(Q48,P48)</f>
        <v>0.14933333333333332</v>
      </c>
      <c r="R49" s="243">
        <f>(R25)/AVERAGE(R48,M48)</f>
        <v>0.18761</v>
      </c>
      <c r="S49" s="218">
        <f>(S25*4)/AVERAGE(S48,R48)</f>
        <v>0.22223999999999999</v>
      </c>
      <c r="T49" s="218">
        <f>(T25*4)/AVERAGE(T48,S48)</f>
        <v>0.28485333333333335</v>
      </c>
      <c r="U49" s="218">
        <f>(U25*4)/AVERAGE(U48,T48)</f>
        <v>0.26786285714285712</v>
      </c>
      <c r="V49" s="218">
        <f>(V25*4)/AVERAGE(V48,U48)</f>
        <v>0.27034000000000008</v>
      </c>
      <c r="W49" s="243">
        <f>(W25)/AVERAGE(W48,R48)</f>
        <v>0.25286857142857144</v>
      </c>
      <c r="X49" s="218">
        <f>(X25*4)/AVERAGE(X48,W48)</f>
        <v>0.36928</v>
      </c>
      <c r="Y49" s="218">
        <f>(Y25*4)/AVERAGE(Y48,X48)</f>
        <v>0.45140000000000002</v>
      </c>
      <c r="Z49" s="218">
        <f>(Z25*4)/AVERAGE(Z48,Y48)</f>
        <v>0.50648000000000004</v>
      </c>
      <c r="AA49" s="218">
        <f>(AA25*4)/AVERAGE(AA48,Z48)</f>
        <v>0.49333333333333335</v>
      </c>
      <c r="AB49" s="243">
        <f>(AB25)/AVERAGE(AB48,W48)</f>
        <v>0.41825777777777778</v>
      </c>
      <c r="AC49" s="218">
        <f>(AC25*4)/AVERAGE(AC48,AB48)</f>
        <v>0.588256</v>
      </c>
      <c r="AD49" s="218">
        <f>(AD25*4)/AVERAGE(AD48,AC48)</f>
        <v>0.58666666666666667</v>
      </c>
      <c r="AE49" s="218">
        <f>(AE25*4)/AVERAGE(AE48,AD48)</f>
        <v>0.53043428571428564</v>
      </c>
      <c r="AF49" s="218">
        <f>(AF25*4)/AVERAGE(AF48,AE48)</f>
        <v>0.57565714285714309</v>
      </c>
      <c r="AG49" s="243">
        <f>(AG25)/AVERAGE(AG48,AB48)</f>
        <v>0.59182999999999997</v>
      </c>
      <c r="AH49" s="218">
        <f>(AH25*4)/AVERAGE(AH48,AG48)</f>
        <v>0.55922133333333335</v>
      </c>
      <c r="AI49" s="218">
        <f t="shared" ref="AI49:AK49" si="157">(AI25*4)/AVERAGE(AI48,AH48)</f>
        <v>0.5037531428571429</v>
      </c>
      <c r="AJ49" s="218">
        <f t="shared" si="157"/>
        <v>0.5027434146341464</v>
      </c>
      <c r="AK49" s="218">
        <f t="shared" si="157"/>
        <v>0.50206608695652155</v>
      </c>
      <c r="AL49" s="243">
        <f>(AL25)/AVERAGE(AL48,AG48)</f>
        <v>0.51391789473684213</v>
      </c>
      <c r="AM49" s="218">
        <f>(AM25*4)/AVERAGE(AM48,AL48)</f>
        <v>0.57785624999999996</v>
      </c>
      <c r="AQ49" s="243"/>
    </row>
    <row r="50" spans="1:43">
      <c r="B50" t="s">
        <v>288</v>
      </c>
      <c r="H50" s="243">
        <f>((H25+H26))/AVERAGE(H48,C48)</f>
        <v>2.2419999999999999E-2</v>
      </c>
      <c r="I50" s="218">
        <f>((I25+I26)*4)/AVERAGE(I48,H48)</f>
        <v>4.8479999999999995E-2</v>
      </c>
      <c r="J50" s="218">
        <f>((J25+J26)*4)/AVERAGE(J48,I48)</f>
        <v>5.3719999999999997E-2</v>
      </c>
      <c r="K50" s="218">
        <f>((K25+K26)*4)/AVERAGE(K48,J48)</f>
        <v>5.6832000000000001E-2</v>
      </c>
      <c r="L50" s="218">
        <f>((L25+L26)*4)/AVERAGE(L48,K48)</f>
        <v>8.6986666666666684E-2</v>
      </c>
      <c r="M50" s="243">
        <f>((M25+M26))/AVERAGE(M48,H48)</f>
        <v>0.10124</v>
      </c>
      <c r="N50" s="218">
        <f>((N25+N26)*4)/AVERAGE(N48,M48)</f>
        <v>0.17147999999999999</v>
      </c>
      <c r="O50" s="218">
        <f>((O25+O26)*4)/AVERAGE(O48,N48)</f>
        <v>0.13290666666666667</v>
      </c>
      <c r="P50" s="218">
        <f>((P25+P26)*4)/AVERAGE(P48,O48)</f>
        <v>0.15493333333333331</v>
      </c>
      <c r="Q50" s="218">
        <f>((Q25+Q26)*4)/AVERAGE(Q48,P48)</f>
        <v>0.16882666666666665</v>
      </c>
      <c r="R50" s="243">
        <f>((R25+R26))/AVERAGE(R48,M48)</f>
        <v>0.21411999999999998</v>
      </c>
      <c r="S50" s="218">
        <f>((S25+S26)*4)/AVERAGE(S48,R48)</f>
        <v>0.25658666666666669</v>
      </c>
      <c r="T50" s="218">
        <f>((T25+T26)*4)/AVERAGE(T48,S48)</f>
        <v>0.3269866666666667</v>
      </c>
      <c r="U50" s="218">
        <f>((U25+U26)*4)/AVERAGE(U48,T48)</f>
        <v>0.30893714285714285</v>
      </c>
      <c r="V50" s="218">
        <f>((V25+V26)*4)/AVERAGE(V48,U48)</f>
        <v>0.3072200000000001</v>
      </c>
      <c r="W50" s="243">
        <f>((W25+W26))/AVERAGE(W48,R48)</f>
        <v>0.29006285714285718</v>
      </c>
      <c r="X50" s="218">
        <f>((X25+X26)*4)/AVERAGE(X48,W48)</f>
        <v>0.41611999999999993</v>
      </c>
      <c r="Y50" s="218">
        <f>((Y25+Y26)*4)/AVERAGE(Y48,X48)</f>
        <v>0.52456000000000003</v>
      </c>
      <c r="Z50" s="218">
        <f>((Z25+Z26)*4)/AVERAGE(Z48,Y48)</f>
        <v>0.59464000000000006</v>
      </c>
      <c r="AA50" s="218">
        <f>((AA25+AA26)*4)/AVERAGE(AA48,Z48)</f>
        <v>0.5771911111111111</v>
      </c>
      <c r="AB50" s="243">
        <f>((AB25+AB26))/AVERAGE(AB48,W48)</f>
        <v>0.48548000000000002</v>
      </c>
      <c r="AC50" s="218">
        <f>((AC25+AC26)*4)/AVERAGE(AC48,AB48)</f>
        <v>0.69547199999999998</v>
      </c>
      <c r="AD50" s="218">
        <f>((AD25+AD26)*4)/AVERAGE(AD48,AC48)</f>
        <v>0.73007999999999995</v>
      </c>
      <c r="AE50" s="218">
        <f>((AE25+AE26)*4)/AVERAGE(AE48,AD48)</f>
        <v>0.66412571428571421</v>
      </c>
      <c r="AF50" s="218">
        <f>((AF25+AF26)*4)/AVERAGE(AF48,AE48)</f>
        <v>0.69840000000000024</v>
      </c>
      <c r="AG50" s="243">
        <f>((AG25+AG26))/AVERAGE(AG48,AB48)</f>
        <v>0.72481333333333342</v>
      </c>
      <c r="AH50" s="218">
        <f>((AH25+AH26)*4)/AVERAGE(AH48,AG48)</f>
        <v>0.67393066666666668</v>
      </c>
      <c r="AI50" s="218">
        <f t="shared" ref="AI50:AK50" si="158">((AI25+AI26)*4)/AVERAGE(AI48,AH48)</f>
        <v>0.57028571428571428</v>
      </c>
      <c r="AJ50" s="218">
        <f t="shared" si="158"/>
        <v>0.6227434146341464</v>
      </c>
      <c r="AK50" s="218">
        <f t="shared" si="158"/>
        <v>0.65370434782608677</v>
      </c>
      <c r="AL50" s="243">
        <f>((AL25+AL26))/AVERAGE(AL48,AG48)</f>
        <v>0.63013684210526311</v>
      </c>
      <c r="AM50" s="218">
        <f>((AM25+AM26)*4)/AVERAGE(AM48,AL48)</f>
        <v>0.74060624999999991</v>
      </c>
      <c r="AQ50" s="243"/>
    </row>
    <row r="51" spans="1:43">
      <c r="H51" s="247"/>
      <c r="M51" s="247"/>
      <c r="R51" s="247"/>
      <c r="W51" s="247"/>
      <c r="AB51" s="247"/>
      <c r="AG51" s="247"/>
      <c r="AH51" s="80"/>
      <c r="AI51" s="80"/>
      <c r="AJ51" s="80"/>
      <c r="AL51" s="247"/>
      <c r="AM51" s="80"/>
      <c r="AQ51" s="247"/>
    </row>
    <row r="52" spans="1:43">
      <c r="B52" t="s">
        <v>269</v>
      </c>
      <c r="D52" s="6">
        <v>1</v>
      </c>
      <c r="E52" s="6">
        <v>2</v>
      </c>
      <c r="F52" s="6">
        <v>3</v>
      </c>
      <c r="G52" s="6">
        <v>3</v>
      </c>
      <c r="H52" s="247">
        <f>+G52</f>
        <v>3</v>
      </c>
      <c r="I52" s="6">
        <v>4</v>
      </c>
      <c r="J52" s="6">
        <v>5</v>
      </c>
      <c r="K52" s="6">
        <v>5</v>
      </c>
      <c r="L52" s="6">
        <v>9</v>
      </c>
      <c r="M52" s="247">
        <f>+L52</f>
        <v>9</v>
      </c>
      <c r="N52" s="6">
        <v>11</v>
      </c>
      <c r="O52" s="6">
        <v>14</v>
      </c>
      <c r="P52" s="6">
        <v>16</v>
      </c>
      <c r="Q52" s="6">
        <v>21</v>
      </c>
      <c r="R52" s="247">
        <f>+Q52</f>
        <v>21</v>
      </c>
      <c r="S52" s="6">
        <v>23</v>
      </c>
      <c r="T52" s="6">
        <v>30</v>
      </c>
      <c r="U52" s="6">
        <v>39</v>
      </c>
      <c r="V52" s="6">
        <v>44</v>
      </c>
      <c r="W52" s="247">
        <f>+V52</f>
        <v>44</v>
      </c>
      <c r="X52" s="80">
        <v>56</v>
      </c>
      <c r="Y52" s="80">
        <v>65</v>
      </c>
      <c r="Z52" s="80">
        <v>78</v>
      </c>
      <c r="AA52" s="80">
        <v>85</v>
      </c>
      <c r="AB52" s="247">
        <f>+AA52</f>
        <v>85</v>
      </c>
      <c r="AC52" s="80">
        <v>109</v>
      </c>
      <c r="AD52" s="80">
        <v>137</v>
      </c>
      <c r="AE52" s="80">
        <v>146</v>
      </c>
      <c r="AF52" s="80">
        <v>146</v>
      </c>
      <c r="AG52" s="247">
        <f>+AF52</f>
        <v>146</v>
      </c>
      <c r="AH52" s="80">
        <v>161</v>
      </c>
      <c r="AI52" s="80">
        <v>261</v>
      </c>
      <c r="AJ52" s="80">
        <v>261</v>
      </c>
      <c r="AK52" s="80">
        <v>266</v>
      </c>
      <c r="AL52" s="247">
        <f>+AK52</f>
        <v>266</v>
      </c>
      <c r="AM52" s="80">
        <v>272</v>
      </c>
      <c r="AQ52" s="247"/>
    </row>
    <row r="53" spans="1:43">
      <c r="B53" t="s">
        <v>313</v>
      </c>
      <c r="C53">
        <v>1</v>
      </c>
      <c r="H53" s="247"/>
      <c r="I53">
        <f t="shared" ref="I53:AM53" si="159">+I52-D52</f>
        <v>3</v>
      </c>
      <c r="J53">
        <f t="shared" si="159"/>
        <v>3</v>
      </c>
      <c r="K53">
        <f t="shared" si="159"/>
        <v>2</v>
      </c>
      <c r="L53">
        <f t="shared" si="159"/>
        <v>6</v>
      </c>
      <c r="M53" s="247">
        <f t="shared" si="159"/>
        <v>6</v>
      </c>
      <c r="N53">
        <f t="shared" si="159"/>
        <v>7</v>
      </c>
      <c r="O53">
        <f t="shared" si="159"/>
        <v>9</v>
      </c>
      <c r="P53">
        <f t="shared" si="159"/>
        <v>11</v>
      </c>
      <c r="Q53">
        <f t="shared" si="159"/>
        <v>12</v>
      </c>
      <c r="R53" s="247">
        <f t="shared" si="159"/>
        <v>12</v>
      </c>
      <c r="S53">
        <f t="shared" si="159"/>
        <v>12</v>
      </c>
      <c r="T53">
        <f t="shared" si="159"/>
        <v>16</v>
      </c>
      <c r="U53">
        <f t="shared" si="159"/>
        <v>23</v>
      </c>
      <c r="V53">
        <f t="shared" si="159"/>
        <v>23</v>
      </c>
      <c r="W53" s="247">
        <f t="shared" si="159"/>
        <v>23</v>
      </c>
      <c r="X53">
        <f t="shared" si="159"/>
        <v>33</v>
      </c>
      <c r="Y53">
        <f t="shared" si="159"/>
        <v>35</v>
      </c>
      <c r="Z53">
        <f t="shared" si="159"/>
        <v>39</v>
      </c>
      <c r="AA53">
        <f t="shared" si="159"/>
        <v>41</v>
      </c>
      <c r="AB53" s="247">
        <f t="shared" si="159"/>
        <v>41</v>
      </c>
      <c r="AC53">
        <f t="shared" si="159"/>
        <v>53</v>
      </c>
      <c r="AD53">
        <f t="shared" si="159"/>
        <v>72</v>
      </c>
      <c r="AE53">
        <f t="shared" si="159"/>
        <v>68</v>
      </c>
      <c r="AF53">
        <f t="shared" si="159"/>
        <v>61</v>
      </c>
      <c r="AG53" s="247">
        <f t="shared" si="159"/>
        <v>61</v>
      </c>
      <c r="AH53">
        <f t="shared" si="159"/>
        <v>52</v>
      </c>
      <c r="AI53">
        <f t="shared" si="159"/>
        <v>124</v>
      </c>
      <c r="AJ53">
        <f t="shared" si="159"/>
        <v>115</v>
      </c>
      <c r="AK53">
        <f t="shared" si="159"/>
        <v>120</v>
      </c>
      <c r="AL53" s="247">
        <f t="shared" si="159"/>
        <v>120</v>
      </c>
      <c r="AM53">
        <f t="shared" si="159"/>
        <v>111</v>
      </c>
      <c r="AQ53" s="247"/>
    </row>
    <row r="54" spans="1:43">
      <c r="B54" t="s">
        <v>314</v>
      </c>
      <c r="H54" s="247"/>
      <c r="I54" s="218">
        <f>+I53/I52</f>
        <v>0.75</v>
      </c>
      <c r="J54" s="218">
        <f>+J53/J52</f>
        <v>0.6</v>
      </c>
      <c r="K54" s="218">
        <f>+K53/K52</f>
        <v>0.4</v>
      </c>
      <c r="L54" s="218">
        <f>+L53/L52</f>
        <v>0.66666666666666663</v>
      </c>
      <c r="M54" s="247"/>
      <c r="N54" s="218">
        <f>+N53/N52</f>
        <v>0.63636363636363635</v>
      </c>
      <c r="O54" s="218">
        <f>+O53/O52</f>
        <v>0.6428571428571429</v>
      </c>
      <c r="P54" s="218">
        <f>+P53/P52</f>
        <v>0.6875</v>
      </c>
      <c r="Q54" s="218">
        <f>+Q53/Q52</f>
        <v>0.5714285714285714</v>
      </c>
      <c r="R54" s="247"/>
      <c r="S54" s="218">
        <f>+S53/S52</f>
        <v>0.52173913043478259</v>
      </c>
      <c r="T54" s="218">
        <f>+T53/T52</f>
        <v>0.53333333333333333</v>
      </c>
      <c r="U54" s="218">
        <f>+U53/U52</f>
        <v>0.58974358974358976</v>
      </c>
      <c r="V54" s="218">
        <f>+V53/V52</f>
        <v>0.52272727272727271</v>
      </c>
      <c r="W54" s="247"/>
      <c r="X54" s="218">
        <f>+X53/X52</f>
        <v>0.5892857142857143</v>
      </c>
      <c r="Y54" s="218">
        <f>+Y53/Y52</f>
        <v>0.53846153846153844</v>
      </c>
      <c r="Z54" s="218">
        <f>+Z53/Z52</f>
        <v>0.5</v>
      </c>
      <c r="AA54" s="218">
        <f>+AA53/AA52</f>
        <v>0.4823529411764706</v>
      </c>
      <c r="AB54" s="247"/>
      <c r="AC54" s="218">
        <f>+AC53/AC52</f>
        <v>0.48623853211009177</v>
      </c>
      <c r="AD54" s="218">
        <f>+AD53/AD52</f>
        <v>0.52554744525547448</v>
      </c>
      <c r="AE54" s="218">
        <f>+AE53/AE52</f>
        <v>0.46575342465753422</v>
      </c>
      <c r="AF54" s="218">
        <f>+AF53/AF52</f>
        <v>0.4178082191780822</v>
      </c>
      <c r="AG54" s="247"/>
      <c r="AH54" s="218">
        <f>+AH53/AH52</f>
        <v>0.32298136645962733</v>
      </c>
      <c r="AI54" s="218">
        <f t="shared" ref="AI54:AM54" si="160">+AI53/AI52</f>
        <v>0.47509578544061304</v>
      </c>
      <c r="AJ54" s="218">
        <f t="shared" si="160"/>
        <v>0.44061302681992337</v>
      </c>
      <c r="AK54" s="218">
        <f t="shared" si="160"/>
        <v>0.45112781954887216</v>
      </c>
      <c r="AL54" s="247"/>
      <c r="AM54" s="218">
        <f t="shared" si="160"/>
        <v>0.40808823529411764</v>
      </c>
      <c r="AQ54" s="247"/>
    </row>
    <row r="55" spans="1:43">
      <c r="H55" s="247"/>
      <c r="M55" s="247"/>
      <c r="R55" s="247"/>
      <c r="W55" s="247"/>
      <c r="AB55" s="247"/>
      <c r="AG55" s="247"/>
      <c r="AH55" s="80"/>
      <c r="AI55" s="80"/>
      <c r="AJ55" s="80"/>
      <c r="AL55" s="247"/>
      <c r="AM55" s="80"/>
      <c r="AQ55" s="247"/>
    </row>
    <row r="56" spans="1:43">
      <c r="H56" s="247"/>
      <c r="M56" s="247"/>
      <c r="R56" s="247"/>
      <c r="W56" s="247"/>
      <c r="AB56" s="247"/>
      <c r="AG56" s="247"/>
      <c r="AH56" s="80"/>
      <c r="AI56" s="80"/>
      <c r="AJ56" s="80"/>
      <c r="AL56" s="247"/>
      <c r="AM56" s="80"/>
      <c r="AQ56" s="247"/>
    </row>
    <row r="57" spans="1:43">
      <c r="H57" s="247"/>
      <c r="M57" s="247"/>
      <c r="R57" s="247"/>
      <c r="W57" s="247"/>
      <c r="AB57" s="247"/>
      <c r="AG57" s="247"/>
      <c r="AH57" s="80"/>
      <c r="AI57" s="80"/>
      <c r="AJ57" s="80"/>
      <c r="AL57" s="247"/>
      <c r="AM57" s="80"/>
      <c r="AQ57" s="247"/>
    </row>
    <row r="58" spans="1:43">
      <c r="A58" s="116"/>
      <c r="B58" s="52" t="s">
        <v>291</v>
      </c>
      <c r="C58" s="53"/>
      <c r="D58" s="238"/>
      <c r="E58" s="238"/>
      <c r="F58" s="238"/>
      <c r="G58" s="238"/>
      <c r="H58" s="231"/>
      <c r="I58" s="238"/>
      <c r="J58" s="238"/>
      <c r="K58" s="238"/>
      <c r="L58" s="238"/>
      <c r="M58" s="231"/>
      <c r="N58" s="238"/>
      <c r="O58" s="238"/>
      <c r="P58" s="238"/>
      <c r="Q58" s="238"/>
      <c r="R58" s="231"/>
      <c r="S58" s="238"/>
      <c r="T58" s="238"/>
      <c r="U58" s="238"/>
      <c r="V58" s="238"/>
      <c r="W58" s="231"/>
      <c r="X58" s="238"/>
      <c r="Y58" s="238"/>
      <c r="Z58" s="238"/>
      <c r="AA58" s="238"/>
      <c r="AB58" s="231"/>
      <c r="AC58" s="238"/>
      <c r="AD58" s="238"/>
      <c r="AE58" s="238"/>
      <c r="AF58" s="238"/>
      <c r="AG58" s="231"/>
      <c r="AH58" s="238"/>
      <c r="AI58" s="238"/>
      <c r="AJ58" s="238"/>
      <c r="AK58" s="238"/>
      <c r="AL58" s="231"/>
      <c r="AM58" s="238"/>
      <c r="AN58" s="238"/>
      <c r="AO58" s="238"/>
      <c r="AP58" s="238"/>
      <c r="AQ58" s="231"/>
    </row>
    <row r="59" spans="1:43">
      <c r="H59" s="247"/>
      <c r="M59" s="247"/>
      <c r="N59" s="7"/>
      <c r="O59" s="7"/>
      <c r="P59" s="7"/>
      <c r="Q59" s="7"/>
      <c r="R59" s="241"/>
      <c r="S59" s="7"/>
      <c r="T59" s="7"/>
      <c r="U59" s="7"/>
      <c r="V59" s="7"/>
      <c r="W59" s="241"/>
      <c r="X59" s="7"/>
      <c r="Y59" s="7"/>
      <c r="Z59" s="7"/>
      <c r="AA59" s="7"/>
      <c r="AB59" s="241"/>
      <c r="AC59" s="7"/>
      <c r="AD59" s="7"/>
      <c r="AE59" s="7"/>
      <c r="AF59" s="7"/>
      <c r="AG59" s="241"/>
      <c r="AH59" s="7"/>
      <c r="AI59" s="7"/>
      <c r="AJ59" s="7"/>
      <c r="AK59" s="7"/>
      <c r="AL59" s="241"/>
      <c r="AM59" s="7"/>
      <c r="AN59" s="7"/>
      <c r="AO59" s="7"/>
      <c r="AP59" s="7"/>
      <c r="AQ59" s="241"/>
    </row>
    <row r="60" spans="1:43">
      <c r="B60" t="s">
        <v>276</v>
      </c>
      <c r="H60" s="247"/>
      <c r="M60" s="247"/>
      <c r="N60" s="7">
        <f t="shared" ref="N60:AM60" si="161">+N29</f>
        <v>18106.000528680943</v>
      </c>
      <c r="O60" s="7">
        <f t="shared" si="161"/>
        <v>18481.745120551088</v>
      </c>
      <c r="P60" s="7">
        <f t="shared" si="161"/>
        <v>18338.642245669918</v>
      </c>
      <c r="Q60" s="7">
        <f t="shared" si="161"/>
        <v>18016.249999999996</v>
      </c>
      <c r="R60" s="241">
        <f t="shared" si="161"/>
        <v>18228.71915143116</v>
      </c>
      <c r="S60" s="7">
        <f t="shared" si="161"/>
        <v>17804.415646748261</v>
      </c>
      <c r="T60" s="7">
        <f t="shared" si="161"/>
        <v>18156.431379891405</v>
      </c>
      <c r="U60" s="7">
        <f t="shared" si="161"/>
        <v>17758.597149927467</v>
      </c>
      <c r="V60" s="7">
        <f t="shared" si="161"/>
        <v>18234.297551231775</v>
      </c>
      <c r="W60" s="241">
        <f t="shared" si="161"/>
        <v>18008.564584651536</v>
      </c>
      <c r="X60" s="7">
        <f t="shared" si="161"/>
        <v>18092.287694974006</v>
      </c>
      <c r="Y60" s="7">
        <f t="shared" si="161"/>
        <v>19402.835622507755</v>
      </c>
      <c r="Z60" s="7">
        <f t="shared" si="161"/>
        <v>19201.903332806822</v>
      </c>
      <c r="AA60" s="7">
        <f t="shared" si="161"/>
        <v>18983.711711711712</v>
      </c>
      <c r="AB60" s="241">
        <f t="shared" si="161"/>
        <v>18968.047349853361</v>
      </c>
      <c r="AC60" s="7">
        <f t="shared" si="161"/>
        <v>18599.494097807757</v>
      </c>
      <c r="AD60" s="7">
        <f t="shared" si="161"/>
        <v>19449.659090909092</v>
      </c>
      <c r="AE60" s="7">
        <f t="shared" si="161"/>
        <v>20059.379915109992</v>
      </c>
      <c r="AF60" s="7">
        <f t="shared" si="161"/>
        <v>18859.857057772475</v>
      </c>
      <c r="AG60" s="241">
        <f t="shared" si="161"/>
        <v>19265.673138119615</v>
      </c>
      <c r="AH60" s="7">
        <f t="shared" si="161"/>
        <v>18387.472104068514</v>
      </c>
      <c r="AI60" s="7">
        <f t="shared" si="161"/>
        <v>18000.689680206178</v>
      </c>
      <c r="AJ60" s="7">
        <f t="shared" si="161"/>
        <v>20013.164839941626</v>
      </c>
      <c r="AK60" s="7">
        <f t="shared" si="161"/>
        <v>20723.618577841829</v>
      </c>
      <c r="AL60" s="241">
        <f t="shared" si="161"/>
        <v>19419.833600288395</v>
      </c>
      <c r="AM60" s="7">
        <f t="shared" si="161"/>
        <v>19468.509685583569</v>
      </c>
      <c r="AN60" s="7"/>
      <c r="AO60" s="7"/>
      <c r="AP60" s="7"/>
      <c r="AQ60" s="241"/>
    </row>
    <row r="61" spans="1:43">
      <c r="B61" t="s">
        <v>274</v>
      </c>
      <c r="H61" s="247"/>
      <c r="M61" s="247"/>
      <c r="N61" s="7">
        <f t="shared" ref="N61:AM61" si="162">+N30</f>
        <v>298.70473169442243</v>
      </c>
      <c r="O61" s="7">
        <f t="shared" si="162"/>
        <v>530.65442020665898</v>
      </c>
      <c r="P61" s="7">
        <f t="shared" si="162"/>
        <v>567.19092175990454</v>
      </c>
      <c r="Q61" s="7">
        <f t="shared" si="162"/>
        <v>-61.785714285714306</v>
      </c>
      <c r="R61" s="241">
        <f t="shared" si="162"/>
        <v>316.82746122274938</v>
      </c>
      <c r="S61" s="7">
        <f t="shared" si="162"/>
        <v>555.07559395248381</v>
      </c>
      <c r="T61" s="7">
        <f t="shared" si="162"/>
        <v>765.02527616551208</v>
      </c>
      <c r="U61" s="7">
        <f t="shared" si="162"/>
        <v>841.28338595443302</v>
      </c>
      <c r="V61" s="7">
        <f t="shared" si="162"/>
        <v>750.83228527039955</v>
      </c>
      <c r="W61" s="241">
        <f t="shared" si="162"/>
        <v>741.34502395371953</v>
      </c>
      <c r="X61" s="7">
        <f t="shared" si="162"/>
        <v>901.53812824956685</v>
      </c>
      <c r="Y61" s="7">
        <f t="shared" si="162"/>
        <v>1180.3721754541425</v>
      </c>
      <c r="Z61" s="7">
        <f t="shared" si="162"/>
        <v>1127.389038066656</v>
      </c>
      <c r="AA61" s="7">
        <f t="shared" si="162"/>
        <v>810.16216216216219</v>
      </c>
      <c r="AB61" s="241">
        <f t="shared" si="162"/>
        <v>1002.2421048157435</v>
      </c>
      <c r="AC61" s="7">
        <f t="shared" si="162"/>
        <v>1281.6732851003644</v>
      </c>
      <c r="AD61" s="7">
        <f t="shared" si="162"/>
        <v>1440.409090909091</v>
      </c>
      <c r="AE61" s="7">
        <f t="shared" si="162"/>
        <v>1304.8714799732834</v>
      </c>
      <c r="AF61" s="7">
        <f t="shared" si="162"/>
        <v>1326.0273972602733</v>
      </c>
      <c r="AG61" s="241">
        <f t="shared" si="162"/>
        <v>1339.6583478363718</v>
      </c>
      <c r="AH61" s="7">
        <f t="shared" si="162"/>
        <v>1583.1537185038244</v>
      </c>
      <c r="AI61" s="7">
        <f t="shared" si="162"/>
        <v>1189.9887473229519</v>
      </c>
      <c r="AJ61" s="7">
        <f t="shared" si="162"/>
        <v>1856.8478902102029</v>
      </c>
      <c r="AK61" s="7">
        <f t="shared" si="162"/>
        <v>1263.204566868038</v>
      </c>
      <c r="AL61" s="241">
        <f t="shared" si="162"/>
        <v>1472.0393591439961</v>
      </c>
      <c r="AM61" s="7">
        <f t="shared" si="162"/>
        <v>1211.3739359918666</v>
      </c>
      <c r="AN61" s="7"/>
      <c r="AO61" s="7"/>
      <c r="AP61" s="7"/>
      <c r="AQ61" s="241"/>
    </row>
    <row r="62" spans="1:43">
      <c r="H62" s="247"/>
      <c r="M62" s="247"/>
      <c r="N62" s="7"/>
      <c r="O62" s="7"/>
      <c r="P62" s="7"/>
      <c r="Q62" s="7"/>
      <c r="R62" s="241"/>
      <c r="S62" s="7"/>
      <c r="T62" s="7"/>
      <c r="U62" s="7"/>
      <c r="V62" s="7"/>
      <c r="W62" s="241"/>
      <c r="X62" s="7"/>
      <c r="Y62" s="7"/>
      <c r="Z62" s="7"/>
      <c r="AA62" s="7"/>
      <c r="AB62" s="241"/>
      <c r="AC62" s="7"/>
      <c r="AD62" s="7"/>
      <c r="AE62" s="7"/>
      <c r="AF62" s="7"/>
      <c r="AG62" s="241"/>
      <c r="AH62" s="7"/>
      <c r="AI62" s="7"/>
      <c r="AJ62" s="7"/>
      <c r="AK62" s="7"/>
      <c r="AL62" s="241"/>
      <c r="AM62" s="7"/>
      <c r="AN62" s="7"/>
      <c r="AO62" s="7"/>
      <c r="AP62" s="7"/>
      <c r="AQ62" s="241"/>
    </row>
    <row r="63" spans="1:43">
      <c r="B63" s="70" t="s">
        <v>257</v>
      </c>
      <c r="H63" s="247"/>
      <c r="M63" s="247"/>
      <c r="N63" s="7">
        <f t="shared" ref="N63:AM63" si="163">+N16/(N$25/1000)</f>
        <v>1757.0711075865715</v>
      </c>
      <c r="O63" s="7">
        <f t="shared" si="163"/>
        <v>1808.2663605051664</v>
      </c>
      <c r="P63" s="7">
        <f t="shared" si="163"/>
        <v>1964.563010153295</v>
      </c>
      <c r="Q63" s="7">
        <f t="shared" si="163"/>
        <v>2291.0714285714284</v>
      </c>
      <c r="R63" s="241">
        <f t="shared" si="163"/>
        <v>1983.9027770374712</v>
      </c>
      <c r="S63" s="7">
        <f t="shared" si="163"/>
        <v>1956.2035037197027</v>
      </c>
      <c r="T63" s="7">
        <f t="shared" si="163"/>
        <v>1758.9402733570494</v>
      </c>
      <c r="U63" s="7">
        <f t="shared" si="163"/>
        <v>1655.7726768495604</v>
      </c>
      <c r="V63" s="7">
        <f t="shared" si="163"/>
        <v>1643.781904268699</v>
      </c>
      <c r="W63" s="241">
        <f t="shared" si="163"/>
        <v>1733.5939618548316</v>
      </c>
      <c r="X63" s="7">
        <f t="shared" si="163"/>
        <v>1353.2820623916812</v>
      </c>
      <c r="Y63" s="7">
        <f t="shared" si="163"/>
        <v>1296.0124058484714</v>
      </c>
      <c r="Z63" s="7">
        <f t="shared" si="163"/>
        <v>1358.8295687885009</v>
      </c>
      <c r="AA63" s="7">
        <f t="shared" si="163"/>
        <v>1551.8918918918919</v>
      </c>
      <c r="AB63" s="241">
        <f t="shared" si="163"/>
        <v>1399.604709482722</v>
      </c>
      <c r="AC63" s="7">
        <f t="shared" si="163"/>
        <v>1327.422074742969</v>
      </c>
      <c r="AD63" s="7">
        <f t="shared" si="163"/>
        <v>1231.4545454545455</v>
      </c>
      <c r="AE63" s="7">
        <f t="shared" si="163"/>
        <v>1306.8536832353007</v>
      </c>
      <c r="AF63" s="7">
        <f t="shared" si="163"/>
        <v>1448.0643240023817</v>
      </c>
      <c r="AG63" s="241">
        <f t="shared" si="163"/>
        <v>1332.4884961334617</v>
      </c>
      <c r="AH63" s="7">
        <f t="shared" si="163"/>
        <v>1602.2278596906174</v>
      </c>
      <c r="AI63" s="7">
        <f t="shared" si="163"/>
        <v>1346.727648916476</v>
      </c>
      <c r="AJ63" s="7">
        <f t="shared" si="163"/>
        <v>1245.8161269289285</v>
      </c>
      <c r="AK63" s="7">
        <f t="shared" si="163"/>
        <v>1383.7914980879023</v>
      </c>
      <c r="AL63" s="241">
        <f t="shared" si="163"/>
        <v>1385.9309904101005</v>
      </c>
      <c r="AM63" s="7">
        <f t="shared" si="163"/>
        <v>1362.7956779908498</v>
      </c>
      <c r="AN63" s="7"/>
      <c r="AO63" s="7"/>
      <c r="AP63" s="7"/>
      <c r="AQ63" s="241"/>
    </row>
    <row r="64" spans="1:43">
      <c r="B64" s="70" t="s">
        <v>258</v>
      </c>
      <c r="H64" s="247"/>
      <c r="M64" s="247"/>
      <c r="N64" s="7">
        <f t="shared" ref="N64:AM64" si="164">+N17/(N$25/1000)</f>
        <v>0</v>
      </c>
      <c r="O64" s="7">
        <f t="shared" si="164"/>
        <v>0</v>
      </c>
      <c r="P64" s="7">
        <f t="shared" si="164"/>
        <v>0</v>
      </c>
      <c r="Q64" s="7">
        <f t="shared" si="164"/>
        <v>0</v>
      </c>
      <c r="R64" s="241">
        <f t="shared" si="164"/>
        <v>0</v>
      </c>
      <c r="S64" s="7">
        <f t="shared" si="164"/>
        <v>0</v>
      </c>
      <c r="T64" s="7">
        <f t="shared" si="164"/>
        <v>0</v>
      </c>
      <c r="U64" s="7">
        <f t="shared" si="164"/>
        <v>0</v>
      </c>
      <c r="V64" s="7">
        <f t="shared" si="164"/>
        <v>0</v>
      </c>
      <c r="W64" s="241">
        <f t="shared" si="164"/>
        <v>0</v>
      </c>
      <c r="X64" s="7">
        <f t="shared" si="164"/>
        <v>0</v>
      </c>
      <c r="Y64" s="7">
        <f t="shared" si="164"/>
        <v>0</v>
      </c>
      <c r="Z64" s="7">
        <f t="shared" si="164"/>
        <v>266.94045174537985</v>
      </c>
      <c r="AA64" s="7">
        <f t="shared" si="164"/>
        <v>38.126126126126117</v>
      </c>
      <c r="AB64" s="241">
        <f t="shared" si="164"/>
        <v>83.074765163429248</v>
      </c>
      <c r="AC64" s="7">
        <f t="shared" si="164"/>
        <v>59.511505195017136</v>
      </c>
      <c r="AD64" s="7">
        <f t="shared" si="164"/>
        <v>32.159090909090914</v>
      </c>
      <c r="AE64" s="7">
        <f t="shared" si="164"/>
        <v>62.547131191691989</v>
      </c>
      <c r="AF64" s="7">
        <f t="shared" si="164"/>
        <v>25.074449076831435</v>
      </c>
      <c r="AG64" s="241">
        <f t="shared" si="164"/>
        <v>43.756934705348947</v>
      </c>
      <c r="AH64" s="7">
        <f t="shared" si="164"/>
        <v>0</v>
      </c>
      <c r="AI64" s="7">
        <f t="shared" si="164"/>
        <v>0</v>
      </c>
      <c r="AJ64" s="7">
        <f t="shared" si="164"/>
        <v>0</v>
      </c>
      <c r="AK64" s="7">
        <f t="shared" si="164"/>
        <v>0</v>
      </c>
      <c r="AL64" s="241">
        <f t="shared" si="164"/>
        <v>0</v>
      </c>
      <c r="AM64" s="7">
        <f t="shared" si="164"/>
        <v>0</v>
      </c>
      <c r="AN64" s="7"/>
      <c r="AO64" s="7"/>
      <c r="AP64" s="7"/>
      <c r="AQ64" s="241"/>
    </row>
    <row r="65" spans="2:43">
      <c r="B65" s="70" t="s">
        <v>259</v>
      </c>
      <c r="H65" s="247"/>
      <c r="M65" s="247"/>
      <c r="N65" s="7">
        <f t="shared" ref="N65:AM65" si="165">+N18/(N$25/1000)</f>
        <v>1496.1670631773725</v>
      </c>
      <c r="O65" s="7">
        <f t="shared" si="165"/>
        <v>1283.8117106773823</v>
      </c>
      <c r="P65" s="7">
        <f t="shared" si="165"/>
        <v>1329.2852876766872</v>
      </c>
      <c r="Q65" s="7">
        <f t="shared" si="165"/>
        <v>1617.8571428571427</v>
      </c>
      <c r="R65" s="241">
        <f t="shared" si="165"/>
        <v>1438.5160705719311</v>
      </c>
      <c r="S65" s="7">
        <f t="shared" si="165"/>
        <v>1372.5701943844495</v>
      </c>
      <c r="T65" s="7">
        <f t="shared" si="165"/>
        <v>1159.4270735817263</v>
      </c>
      <c r="U65" s="7">
        <f t="shared" si="165"/>
        <v>1320.505162556532</v>
      </c>
      <c r="V65" s="7">
        <f t="shared" si="165"/>
        <v>1213.139010135385</v>
      </c>
      <c r="W65" s="241">
        <f t="shared" si="165"/>
        <v>1258.6323781975957</v>
      </c>
      <c r="X65" s="7">
        <f t="shared" si="165"/>
        <v>1354.4735701906413</v>
      </c>
      <c r="Y65" s="7">
        <f t="shared" si="165"/>
        <v>1186.6194062915374</v>
      </c>
      <c r="Z65" s="7">
        <f t="shared" si="165"/>
        <v>1084.6232822618858</v>
      </c>
      <c r="AA65" s="7">
        <f t="shared" si="165"/>
        <v>1152.1081081081081</v>
      </c>
      <c r="AB65" s="241">
        <f t="shared" si="165"/>
        <v>1181.9292727504569</v>
      </c>
      <c r="AC65" s="7">
        <f t="shared" si="165"/>
        <v>1074.9605613882391</v>
      </c>
      <c r="AD65" s="7">
        <f t="shared" si="165"/>
        <v>1144.7045454545455</v>
      </c>
      <c r="AE65" s="7">
        <f t="shared" si="165"/>
        <v>1190.7008812186243</v>
      </c>
      <c r="AF65" s="7">
        <f t="shared" si="165"/>
        <v>1168.6916815564819</v>
      </c>
      <c r="AG65" s="241">
        <f t="shared" si="165"/>
        <v>1149.0912367853382</v>
      </c>
      <c r="AH65" s="7">
        <f t="shared" si="165"/>
        <v>1430.5605890094798</v>
      </c>
      <c r="AI65" s="7">
        <f t="shared" si="165"/>
        <v>1131.2570329231551</v>
      </c>
      <c r="AJ65" s="7">
        <f t="shared" si="165"/>
        <v>1011.3950383457012</v>
      </c>
      <c r="AK65" s="7">
        <f t="shared" si="165"/>
        <v>1163.2627611816224</v>
      </c>
      <c r="AL65" s="241">
        <f t="shared" si="165"/>
        <v>1173.3719496458577</v>
      </c>
      <c r="AM65" s="7">
        <f t="shared" si="165"/>
        <v>1081.5838714213094</v>
      </c>
      <c r="AN65" s="7"/>
      <c r="AO65" s="7"/>
      <c r="AP65" s="7"/>
      <c r="AQ65" s="241"/>
    </row>
    <row r="66" spans="2:43">
      <c r="B66" s="70" t="s">
        <v>260</v>
      </c>
      <c r="H66" s="247"/>
      <c r="M66" s="247"/>
      <c r="N66" s="7">
        <f t="shared" ref="N66:AM66" si="166">+N19/(N$25/1000)</f>
        <v>119.746233148295</v>
      </c>
      <c r="O66" s="7">
        <f t="shared" si="166"/>
        <v>91.848450057405273</v>
      </c>
      <c r="P66" s="7">
        <f t="shared" si="166"/>
        <v>68.883137567190914</v>
      </c>
      <c r="Q66" s="7">
        <f t="shared" si="166"/>
        <v>101.60714285714289</v>
      </c>
      <c r="R66" s="241">
        <f t="shared" si="166"/>
        <v>94.238047012419386</v>
      </c>
      <c r="S66" s="7">
        <f t="shared" si="166"/>
        <v>117.95056395488362</v>
      </c>
      <c r="T66" s="7">
        <f t="shared" si="166"/>
        <v>133.30836921924731</v>
      </c>
      <c r="U66" s="7">
        <f t="shared" si="166"/>
        <v>147.96484341667377</v>
      </c>
      <c r="V66" s="7">
        <f t="shared" si="166"/>
        <v>153.95427979581268</v>
      </c>
      <c r="W66" s="241">
        <f t="shared" si="166"/>
        <v>140.60381451685799</v>
      </c>
      <c r="X66" s="7">
        <f t="shared" si="166"/>
        <v>135.94020797227037</v>
      </c>
      <c r="Y66" s="7">
        <f t="shared" si="166"/>
        <v>115.99468320779796</v>
      </c>
      <c r="Z66" s="7">
        <f t="shared" si="166"/>
        <v>122.80840309587741</v>
      </c>
      <c r="AA66" s="7">
        <f t="shared" si="166"/>
        <v>139.06306306306305</v>
      </c>
      <c r="AB66" s="241">
        <f t="shared" si="166"/>
        <v>128.5438007395758</v>
      </c>
      <c r="AC66" s="7">
        <f t="shared" si="166"/>
        <v>118.85981613447207</v>
      </c>
      <c r="AD66" s="7">
        <f t="shared" si="166"/>
        <v>107.27272727272727</v>
      </c>
      <c r="AE66" s="7">
        <f t="shared" si="166"/>
        <v>118.8675586581346</v>
      </c>
      <c r="AF66" s="7">
        <f t="shared" si="166"/>
        <v>131.90391105816954</v>
      </c>
      <c r="AG66" s="241">
        <f t="shared" si="166"/>
        <v>119.69090222980698</v>
      </c>
      <c r="AH66" s="7">
        <f t="shared" si="166"/>
        <v>152.59312949434451</v>
      </c>
      <c r="AI66" s="7">
        <f t="shared" si="166"/>
        <v>145.54067298268541</v>
      </c>
      <c r="AJ66" s="7">
        <f t="shared" si="166"/>
        <v>151.10069239606298</v>
      </c>
      <c r="AK66" s="7">
        <f t="shared" si="166"/>
        <v>148.20151859446884</v>
      </c>
      <c r="AL66" s="241">
        <f t="shared" si="166"/>
        <v>149.30912576655703</v>
      </c>
      <c r="AM66" s="7">
        <f t="shared" si="166"/>
        <v>140.60590328477022</v>
      </c>
      <c r="AN66" s="7"/>
      <c r="AO66" s="7"/>
      <c r="AP66" s="7"/>
      <c r="AQ66" s="241"/>
    </row>
    <row r="67" spans="2:43">
      <c r="B67" s="70" t="s">
        <v>261</v>
      </c>
      <c r="H67" s="247"/>
      <c r="M67" s="247"/>
      <c r="N67" s="7">
        <f t="shared" ref="N67:AM67" si="167">+N20/(N$25/1000)</f>
        <v>378.27121332275976</v>
      </c>
      <c r="O67" s="7">
        <f t="shared" si="167"/>
        <v>420.66590126291618</v>
      </c>
      <c r="P67" s="7">
        <f t="shared" si="167"/>
        <v>448.33764682460679</v>
      </c>
      <c r="Q67" s="7">
        <f t="shared" si="167"/>
        <v>506.25</v>
      </c>
      <c r="R67" s="241">
        <f t="shared" si="167"/>
        <v>445.07222429508022</v>
      </c>
      <c r="S67" s="7">
        <f t="shared" si="167"/>
        <v>336.93304535637151</v>
      </c>
      <c r="T67" s="7">
        <f t="shared" si="167"/>
        <v>291.70567309492606</v>
      </c>
      <c r="U67" s="7">
        <f t="shared" si="167"/>
        <v>333.21955798276304</v>
      </c>
      <c r="V67" s="7">
        <f t="shared" si="167"/>
        <v>336.98305837094034</v>
      </c>
      <c r="W67" s="241">
        <f t="shared" si="167"/>
        <v>325.04745548223809</v>
      </c>
      <c r="X67" s="7">
        <f t="shared" si="167"/>
        <v>342.17937608318891</v>
      </c>
      <c r="Y67" s="7">
        <f t="shared" si="167"/>
        <v>346.74346477625164</v>
      </c>
      <c r="Z67" s="7">
        <f t="shared" si="167"/>
        <v>391.44684883904591</v>
      </c>
      <c r="AA67" s="7">
        <f t="shared" si="167"/>
        <v>401.44144144144161</v>
      </c>
      <c r="AB67" s="241">
        <f t="shared" si="167"/>
        <v>374.00646066221793</v>
      </c>
      <c r="AC67" s="7">
        <f t="shared" si="167"/>
        <v>333.16107273023994</v>
      </c>
      <c r="AD67" s="7">
        <f t="shared" si="167"/>
        <v>310.06818181818187</v>
      </c>
      <c r="AE67" s="7">
        <f t="shared" si="167"/>
        <v>303.10473358757247</v>
      </c>
      <c r="AF67" s="7">
        <f t="shared" si="167"/>
        <v>359.14234663490151</v>
      </c>
      <c r="AG67" s="241">
        <f t="shared" si="167"/>
        <v>326.95199635030326</v>
      </c>
      <c r="AH67" s="7">
        <f t="shared" si="167"/>
        <v>362.4086825490682</v>
      </c>
      <c r="AI67" s="7">
        <f t="shared" si="167"/>
        <v>303.07815165704744</v>
      </c>
      <c r="AJ67" s="7">
        <f t="shared" si="167"/>
        <v>280.57565125593817</v>
      </c>
      <c r="AK67" s="7">
        <f t="shared" si="167"/>
        <v>319.37593526575421</v>
      </c>
      <c r="AL67" s="241">
        <f t="shared" si="167"/>
        <v>314.70109909016804</v>
      </c>
      <c r="AM67" s="7">
        <f t="shared" si="167"/>
        <v>324.47516142639284</v>
      </c>
      <c r="AN67" s="7"/>
      <c r="AO67" s="7"/>
      <c r="AP67" s="7"/>
      <c r="AQ67" s="241"/>
    </row>
    <row r="68" spans="2:43">
      <c r="B68" s="70" t="s">
        <v>128</v>
      </c>
      <c r="H68" s="247"/>
      <c r="M68" s="247"/>
      <c r="N68" s="7">
        <f>+N21/(N$25/1000)</f>
        <v>1702.6169706582077</v>
      </c>
      <c r="O68" s="7">
        <f t="shared" ref="O68" si="168">+O21/(O$25/1000)</f>
        <v>1755.6831228473018</v>
      </c>
      <c r="P68" s="7">
        <f t="shared" ref="P68:R68" si="169">+P21/(P$25/1000)</f>
        <v>1762.2934501294048</v>
      </c>
      <c r="Q68" s="7">
        <f t="shared" si="169"/>
        <v>2037.6785714285718</v>
      </c>
      <c r="R68" s="241">
        <f t="shared" si="169"/>
        <v>1830.9258568306595</v>
      </c>
      <c r="S68" s="7">
        <f t="shared" ref="S68:W68" si="170">+S21/(S$25/1000)</f>
        <v>1724.8620110391171</v>
      </c>
      <c r="T68" s="7">
        <f t="shared" si="170"/>
        <v>1525.6506272233664</v>
      </c>
      <c r="U68" s="7">
        <f t="shared" si="170"/>
        <v>1549.4496117416163</v>
      </c>
      <c r="V68" s="7">
        <f t="shared" si="170"/>
        <v>1594.4366353480802</v>
      </c>
      <c r="W68" s="241">
        <f t="shared" si="170"/>
        <v>1590.4817861339602</v>
      </c>
      <c r="X68" s="7">
        <f t="shared" ref="X68:AL68" si="171">+X21/(X$25/1000)</f>
        <v>1319.4324090121318</v>
      </c>
      <c r="Y68" s="7">
        <f t="shared" si="171"/>
        <v>1292.6451041205139</v>
      </c>
      <c r="Z68" s="7">
        <f t="shared" si="171"/>
        <v>1346.8251461064601</v>
      </c>
      <c r="AA68" s="7">
        <f t="shared" si="171"/>
        <v>1425.5495495495495</v>
      </c>
      <c r="AB68" s="241">
        <f t="shared" si="171"/>
        <v>1351.6704212181749</v>
      </c>
      <c r="AC68" s="7">
        <f t="shared" si="171"/>
        <v>1308.4915410977533</v>
      </c>
      <c r="AD68" s="7">
        <f t="shared" si="171"/>
        <v>1307.1363636363637</v>
      </c>
      <c r="AE68" s="7">
        <f t="shared" si="171"/>
        <v>1498.7826686488702</v>
      </c>
      <c r="AF68" s="7">
        <f t="shared" si="171"/>
        <v>1664.8798888227116</v>
      </c>
      <c r="AG68" s="241">
        <f t="shared" si="171"/>
        <v>1459.0056829382311</v>
      </c>
      <c r="AH68" s="7">
        <f t="shared" si="171"/>
        <v>1716.6727068113757</v>
      </c>
      <c r="AI68" s="7">
        <f t="shared" si="171"/>
        <v>1428.0736142872699</v>
      </c>
      <c r="AJ68" s="7">
        <f t="shared" si="171"/>
        <v>1469.245816126929</v>
      </c>
      <c r="AK68" s="7">
        <f t="shared" si="171"/>
        <v>1729.3825860444499</v>
      </c>
      <c r="AL68" s="241">
        <f t="shared" si="171"/>
        <v>1590.0020892135135</v>
      </c>
      <c r="AM68" s="7">
        <f>+AM21/(AM$25/1000)</f>
        <v>1384.427355419276</v>
      </c>
      <c r="AN68" s="7"/>
      <c r="AO68" s="7"/>
      <c r="AP68" s="7"/>
      <c r="AQ68" s="241"/>
    </row>
    <row r="69" spans="2:43">
      <c r="B69" s="2" t="s">
        <v>292</v>
      </c>
      <c r="C69" s="2"/>
      <c r="D69" s="2"/>
      <c r="E69" s="2"/>
      <c r="F69" s="2"/>
      <c r="G69" s="2"/>
      <c r="H69" s="250"/>
      <c r="I69" s="2"/>
      <c r="J69" s="2"/>
      <c r="K69" s="2"/>
      <c r="L69" s="2"/>
      <c r="M69" s="250"/>
      <c r="N69" s="8">
        <f>SUM(N63:N68)</f>
        <v>5453.8725878932064</v>
      </c>
      <c r="O69" s="8">
        <f t="shared" ref="O69:W69" si="172">SUM(O63:O68)</f>
        <v>5360.2755453501723</v>
      </c>
      <c r="P69" s="8">
        <f t="shared" si="172"/>
        <v>5573.3625323511842</v>
      </c>
      <c r="Q69" s="8">
        <f t="shared" si="172"/>
        <v>6554.4642857142853</v>
      </c>
      <c r="R69" s="239">
        <f t="shared" si="172"/>
        <v>5792.6549757475614</v>
      </c>
      <c r="S69" s="8">
        <f t="shared" si="172"/>
        <v>5508.5193184545242</v>
      </c>
      <c r="T69" s="8">
        <f t="shared" si="172"/>
        <v>4869.0320164763161</v>
      </c>
      <c r="U69" s="8">
        <f t="shared" si="172"/>
        <v>5006.9118525471458</v>
      </c>
      <c r="V69" s="8">
        <f t="shared" si="172"/>
        <v>4942.294887918918</v>
      </c>
      <c r="W69" s="239">
        <f t="shared" si="172"/>
        <v>5048.359396185484</v>
      </c>
      <c r="X69" s="8">
        <f t="shared" ref="X69" si="173">SUM(X63:X68)</f>
        <v>4505.3076256499135</v>
      </c>
      <c r="Y69" s="8">
        <f t="shared" ref="Y69" si="174">SUM(Y63:Y68)</f>
        <v>4238.0150642445724</v>
      </c>
      <c r="Z69" s="8">
        <f t="shared" ref="Z69" si="175">SUM(Z63:Z68)</f>
        <v>4571.4737008371503</v>
      </c>
      <c r="AA69" s="8">
        <f t="shared" ref="AA69" si="176">SUM(AA63:AA68)</f>
        <v>4708.1801801801803</v>
      </c>
      <c r="AB69" s="239">
        <f t="shared" ref="AB69" si="177">SUM(AB63:AB68)</f>
        <v>4518.8294300165771</v>
      </c>
      <c r="AC69" s="8">
        <f t="shared" ref="AC69" si="178">SUM(AC63:AC68)</f>
        <v>4222.4065712886913</v>
      </c>
      <c r="AD69" s="8">
        <f t="shared" ref="AD69" si="179">SUM(AD63:AD68)</f>
        <v>4132.795454545455</v>
      </c>
      <c r="AE69" s="8">
        <f t="shared" ref="AE69" si="180">SUM(AE63:AE68)</f>
        <v>4480.8566565401943</v>
      </c>
      <c r="AF69" s="8">
        <f t="shared" ref="AF69" si="181">SUM(AF63:AF68)</f>
        <v>4797.7566011514773</v>
      </c>
      <c r="AG69" s="239">
        <f t="shared" ref="AG69" si="182">SUM(AG63:AG68)</f>
        <v>4430.9852491424899</v>
      </c>
      <c r="AH69" s="8">
        <f t="shared" ref="AH69" si="183">SUM(AH63:AH68)</f>
        <v>5264.4629675548858</v>
      </c>
      <c r="AI69" s="8">
        <f t="shared" ref="AI69" si="184">SUM(AI63:AI68)</f>
        <v>4354.6771207666334</v>
      </c>
      <c r="AJ69" s="8">
        <f t="shared" ref="AJ69" si="185">SUM(AJ63:AJ68)</f>
        <v>4158.1333250535599</v>
      </c>
      <c r="AK69" s="8">
        <f t="shared" ref="AK69" si="186">SUM(AK63:AK68)</f>
        <v>4744.0142991741977</v>
      </c>
      <c r="AL69" s="239">
        <f t="shared" ref="AL69" si="187">SUM(AL63:AL68)</f>
        <v>4613.315254126197</v>
      </c>
      <c r="AM69" s="8">
        <f>SUM(AM63:AM68)</f>
        <v>4293.8879695425985</v>
      </c>
      <c r="AN69" s="8"/>
      <c r="AO69" s="8"/>
      <c r="AP69" s="8"/>
      <c r="AQ69" s="239"/>
    </row>
    <row r="70" spans="2:43">
      <c r="B70" s="70"/>
      <c r="H70" s="247"/>
      <c r="M70" s="247"/>
      <c r="N70" s="7"/>
      <c r="O70" s="7"/>
      <c r="P70" s="7"/>
      <c r="Q70" s="7"/>
      <c r="R70" s="241"/>
      <c r="S70" s="7"/>
      <c r="T70" s="7"/>
      <c r="U70" s="7"/>
      <c r="V70" s="7"/>
      <c r="W70" s="241"/>
      <c r="X70" s="7"/>
      <c r="Y70" s="7"/>
      <c r="Z70" s="7"/>
      <c r="AA70" s="7"/>
      <c r="AB70" s="241"/>
      <c r="AC70" s="7"/>
      <c r="AD70" s="7"/>
      <c r="AE70" s="7"/>
      <c r="AF70" s="7"/>
      <c r="AG70" s="241"/>
      <c r="AH70" s="7"/>
      <c r="AI70" s="7"/>
      <c r="AJ70" s="7"/>
      <c r="AK70" s="7"/>
      <c r="AL70" s="241"/>
      <c r="AM70" s="7"/>
      <c r="AN70" s="7"/>
      <c r="AO70" s="7"/>
      <c r="AP70" s="7"/>
      <c r="AQ70" s="241"/>
    </row>
    <row r="71" spans="2:43">
      <c r="B71" s="70" t="s">
        <v>293</v>
      </c>
      <c r="H71" s="247"/>
      <c r="M71" s="247"/>
      <c r="N71" s="7">
        <f>+N61-N69</f>
        <v>-5155.1678561987837</v>
      </c>
      <c r="O71" s="7">
        <f t="shared" ref="O71:AL71" si="188">+O61-O69</f>
        <v>-4829.6211251435134</v>
      </c>
      <c r="P71" s="7">
        <f t="shared" si="188"/>
        <v>-5006.1716105912801</v>
      </c>
      <c r="Q71" s="7">
        <f t="shared" si="188"/>
        <v>-6616.25</v>
      </c>
      <c r="R71" s="241">
        <f t="shared" si="188"/>
        <v>-5475.8275145248117</v>
      </c>
      <c r="S71" s="7">
        <f t="shared" si="188"/>
        <v>-4953.4437245020399</v>
      </c>
      <c r="T71" s="7">
        <f t="shared" si="188"/>
        <v>-4104.0067403108042</v>
      </c>
      <c r="U71" s="7">
        <f t="shared" si="188"/>
        <v>-4165.6284665927124</v>
      </c>
      <c r="V71" s="7">
        <f t="shared" si="188"/>
        <v>-4191.4626026485184</v>
      </c>
      <c r="W71" s="241">
        <f t="shared" si="188"/>
        <v>-4307.0143722317644</v>
      </c>
      <c r="X71" s="7">
        <f t="shared" si="188"/>
        <v>-3603.7694974003466</v>
      </c>
      <c r="Y71" s="7">
        <f t="shared" si="188"/>
        <v>-3057.6428887904299</v>
      </c>
      <c r="Z71" s="7">
        <f t="shared" si="188"/>
        <v>-3444.0846627704941</v>
      </c>
      <c r="AA71" s="7">
        <f t="shared" si="188"/>
        <v>-3898.0180180180182</v>
      </c>
      <c r="AB71" s="241">
        <f t="shared" si="188"/>
        <v>-3516.5873252008337</v>
      </c>
      <c r="AC71" s="7">
        <f t="shared" si="188"/>
        <v>-2940.7332861883269</v>
      </c>
      <c r="AD71" s="7">
        <f t="shared" si="188"/>
        <v>-2692.386363636364</v>
      </c>
      <c r="AE71" s="7">
        <f t="shared" si="188"/>
        <v>-3175.9851765669109</v>
      </c>
      <c r="AF71" s="7">
        <f t="shared" si="188"/>
        <v>-3471.7292038912037</v>
      </c>
      <c r="AG71" s="241">
        <f t="shared" si="188"/>
        <v>-3091.3269013061181</v>
      </c>
      <c r="AH71" s="7">
        <f t="shared" si="188"/>
        <v>-3681.3092490510617</v>
      </c>
      <c r="AI71" s="7">
        <f t="shared" si="188"/>
        <v>-3164.6883734436815</v>
      </c>
      <c r="AJ71" s="7">
        <f t="shared" si="188"/>
        <v>-2301.2854348433571</v>
      </c>
      <c r="AK71" s="7">
        <f t="shared" si="188"/>
        <v>-3480.8097323061597</v>
      </c>
      <c r="AL71" s="241">
        <f t="shared" si="188"/>
        <v>-3141.275894982201</v>
      </c>
      <c r="AM71" s="7">
        <f>+AM61-AM69</f>
        <v>-3082.5140335507322</v>
      </c>
      <c r="AN71" s="7"/>
      <c r="AO71" s="7"/>
      <c r="AP71" s="7"/>
      <c r="AQ71" s="241"/>
    </row>
    <row r="72" spans="2:43">
      <c r="B72" s="70" t="s">
        <v>294</v>
      </c>
      <c r="H72" s="247"/>
      <c r="M72" s="247"/>
      <c r="N72" s="7">
        <f>+'Quarterly Data'!N13/('Quarterly Data'!N25/1000)</f>
        <v>765.79434311393072</v>
      </c>
      <c r="O72" s="7">
        <f>+'Quarterly Data'!O13/('Quarterly Data'!O25/1000)</f>
        <v>818.14006888633753</v>
      </c>
      <c r="P72" s="7">
        <f>+'Quarterly Data'!P13/('Quarterly Data'!P25/1000)</f>
        <v>768.26597650806298</v>
      </c>
      <c r="Q72" s="7">
        <f>+'Quarterly Data'!Q13/('Quarterly Data'!Q25/1000)</f>
        <v>478.03571428571456</v>
      </c>
      <c r="R72" s="241">
        <f>+'Quarterly Data'!R13/('Quarterly Data'!R25/1000)</f>
        <v>692.71360801663025</v>
      </c>
      <c r="S72" s="7">
        <f>+'Quarterly Data'!S13/('Quarterly Data'!S25/1000)</f>
        <v>595.75233981281497</v>
      </c>
      <c r="T72" s="7">
        <f>+'Quarterly Data'!T13/('Quarterly Data'!T25/1000)</f>
        <v>711.47725145103902</v>
      </c>
      <c r="U72" s="7">
        <f>+'Quarterly Data'!U13/('Quarterly Data'!U25/1000)</f>
        <v>836.76081576926344</v>
      </c>
      <c r="V72" s="7">
        <f>+'Quarterly Data'!V13/('Quarterly Data'!V25/1000)</f>
        <v>818.89472516090825</v>
      </c>
      <c r="W72" s="241">
        <f>+'Quarterly Data'!W13/('Quarterly Data'!W25/1000)</f>
        <v>755.67206001988609</v>
      </c>
      <c r="X72" s="7">
        <f>+'Quarterly Data'!X13/('Quarterly Data'!X25/1000)</f>
        <v>879.17027729636061</v>
      </c>
      <c r="Y72" s="7">
        <f>+'Quarterly Data'!Y13/('Quarterly Data'!Y25/1000)</f>
        <v>919.00753212228631</v>
      </c>
      <c r="Z72" s="7">
        <f>+'Quarterly Data'!Z13/('Quarterly Data'!Z25/1000)</f>
        <v>1074.5537829726741</v>
      </c>
      <c r="AA72" s="7">
        <f>+'Quarterly Data'!AA13/('Quarterly Data'!AA25/1000)</f>
        <v>1176.6126126126126</v>
      </c>
      <c r="AB72" s="241">
        <f>+'Quarterly Data'!AB13/('Quarterly Data'!AB25/1000)</f>
        <v>1029.0092234454032</v>
      </c>
      <c r="AC72" s="7">
        <f>+'Quarterly Data'!AC13/('Quarterly Data'!AC25/1000)</f>
        <v>1043.7632595332643</v>
      </c>
      <c r="AD72" s="7">
        <f>+'Quarterly Data'!AD13/('Quarterly Data'!AD25/1000)</f>
        <v>1532.3181818181818</v>
      </c>
      <c r="AE72" s="7">
        <f>+'Quarterly Data'!AE13/('Quarterly Data'!AE25/1000)</f>
        <v>1538.5344623273654</v>
      </c>
      <c r="AF72" s="7">
        <f>+'Quarterly Data'!AF13/('Quarterly Data'!AF25/1000)</f>
        <v>1479.1344054000394</v>
      </c>
      <c r="AG72" s="241">
        <f>+'Quarterly Data'!AG13/('Quarterly Data'!AG25/1000)</f>
        <v>1417.6875116165115</v>
      </c>
      <c r="AH72" s="7">
        <f>+'Quarterly Data'!AH13/('Quarterly Data'!AH25/1000)</f>
        <v>1030.0036240868255</v>
      </c>
      <c r="AI72" s="7">
        <f>+'Quarterly Data'!AI13/('Quarterly Data'!AI25/1000)</f>
        <v>1399.2885404188899</v>
      </c>
      <c r="AJ72" s="7">
        <f>+'Quarterly Data'!AJ13/('Quarterly Data'!AJ25/1000)</f>
        <v>1933.6790138789704</v>
      </c>
      <c r="AK72" s="7">
        <f>+'Quarterly Data'!AK13/('Quarterly Data'!AK25/1000)</f>
        <v>2010.1978606661869</v>
      </c>
      <c r="AL72" s="241">
        <f>+'Quarterly Data'!AL13/('Quarterly Data'!AL25/1000)</f>
        <v>1641.6056629975708</v>
      </c>
      <c r="AM72" s="7">
        <f>+'Quarterly Data'!AM13/('Quarterly Data'!AM25/1000)</f>
        <v>2217.2469364136841</v>
      </c>
      <c r="AN72" s="7"/>
      <c r="AO72" s="7"/>
      <c r="AP72" s="7"/>
      <c r="AQ72" s="241"/>
    </row>
    <row r="73" spans="2:43">
      <c r="B73" s="2" t="s">
        <v>295</v>
      </c>
      <c r="C73" s="2"/>
      <c r="D73" s="2"/>
      <c r="E73" s="2"/>
      <c r="F73" s="2"/>
      <c r="G73" s="2"/>
      <c r="H73" s="250"/>
      <c r="I73" s="2"/>
      <c r="J73" s="2"/>
      <c r="K73" s="2"/>
      <c r="L73" s="2"/>
      <c r="M73" s="250"/>
      <c r="N73" s="8">
        <f>SUM(N71:N72)</f>
        <v>-4389.3735130848527</v>
      </c>
      <c r="O73" s="8">
        <f t="shared" ref="O73:AL73" si="189">SUM(O71:O72)</f>
        <v>-4011.4810562571756</v>
      </c>
      <c r="P73" s="8">
        <f t="shared" si="189"/>
        <v>-4237.9056340832176</v>
      </c>
      <c r="Q73" s="8">
        <f t="shared" si="189"/>
        <v>-6138.2142857142853</v>
      </c>
      <c r="R73" s="239">
        <f t="shared" si="189"/>
        <v>-4783.1139065081816</v>
      </c>
      <c r="S73" s="8">
        <f t="shared" si="189"/>
        <v>-4357.6913846892248</v>
      </c>
      <c r="T73" s="8">
        <f t="shared" si="189"/>
        <v>-3392.529488859765</v>
      </c>
      <c r="U73" s="8">
        <f t="shared" si="189"/>
        <v>-3328.8676508234489</v>
      </c>
      <c r="V73" s="8">
        <f t="shared" si="189"/>
        <v>-3372.5678774876101</v>
      </c>
      <c r="W73" s="239">
        <f t="shared" si="189"/>
        <v>-3551.3423122118784</v>
      </c>
      <c r="X73" s="8">
        <f t="shared" si="189"/>
        <v>-2724.5992201039862</v>
      </c>
      <c r="Y73" s="8">
        <f t="shared" si="189"/>
        <v>-2138.6353566681437</v>
      </c>
      <c r="Z73" s="8">
        <f t="shared" si="189"/>
        <v>-2369.53087979782</v>
      </c>
      <c r="AA73" s="8">
        <f t="shared" si="189"/>
        <v>-2721.4054054054059</v>
      </c>
      <c r="AB73" s="239">
        <f t="shared" si="189"/>
        <v>-2487.5781017554305</v>
      </c>
      <c r="AC73" s="8">
        <f t="shared" si="189"/>
        <v>-1896.9700266550626</v>
      </c>
      <c r="AD73" s="8">
        <f t="shared" si="189"/>
        <v>-1160.0681818181822</v>
      </c>
      <c r="AE73" s="8">
        <f t="shared" si="189"/>
        <v>-1637.4507142395455</v>
      </c>
      <c r="AF73" s="8">
        <f t="shared" si="189"/>
        <v>-1992.5947984911643</v>
      </c>
      <c r="AG73" s="239">
        <f t="shared" si="189"/>
        <v>-1673.6393896896066</v>
      </c>
      <c r="AH73" s="8">
        <f t="shared" si="189"/>
        <v>-2651.3056249642359</v>
      </c>
      <c r="AI73" s="8">
        <f t="shared" si="189"/>
        <v>-1765.3998330247916</v>
      </c>
      <c r="AJ73" s="8">
        <f t="shared" si="189"/>
        <v>-367.60642096438664</v>
      </c>
      <c r="AK73" s="8">
        <f t="shared" si="189"/>
        <v>-1470.6118716399728</v>
      </c>
      <c r="AL73" s="239">
        <f t="shared" si="189"/>
        <v>-1499.6702319846302</v>
      </c>
      <c r="AM73" s="8">
        <f>SUM(AM71:AM72)</f>
        <v>-865.26709713704804</v>
      </c>
      <c r="AN73" s="8"/>
      <c r="AO73" s="8"/>
      <c r="AP73" s="8"/>
      <c r="AQ73" s="239"/>
    </row>
    <row r="74" spans="2:43">
      <c r="H74" s="247"/>
      <c r="M74" s="247"/>
      <c r="N74" s="7"/>
      <c r="O74" s="7"/>
      <c r="P74" s="7"/>
      <c r="Q74" s="7"/>
      <c r="R74" s="241"/>
      <c r="S74" s="7"/>
      <c r="T74" s="7"/>
      <c r="U74" s="7"/>
      <c r="V74" s="7"/>
      <c r="W74" s="241"/>
      <c r="X74" s="7"/>
      <c r="Y74" s="7"/>
      <c r="Z74" s="7"/>
      <c r="AA74" s="7"/>
      <c r="AB74" s="241"/>
      <c r="AC74" s="7"/>
      <c r="AD74" s="7"/>
      <c r="AE74" s="7"/>
      <c r="AF74" s="7"/>
      <c r="AG74" s="241"/>
      <c r="AH74" s="7"/>
      <c r="AI74" s="7"/>
      <c r="AJ74" s="7"/>
      <c r="AK74" s="7"/>
      <c r="AL74" s="241"/>
      <c r="AM74" s="7"/>
      <c r="AN74" s="7"/>
      <c r="AO74" s="7"/>
      <c r="AP74" s="7"/>
      <c r="AQ74" s="241"/>
    </row>
    <row r="75" spans="2:43">
      <c r="H75" s="247"/>
      <c r="M75" s="247"/>
      <c r="N75" s="7"/>
      <c r="O75" s="7"/>
      <c r="P75" s="7"/>
      <c r="Q75" s="7"/>
      <c r="R75" s="241"/>
      <c r="S75" s="7"/>
      <c r="T75" s="7"/>
      <c r="U75" s="7"/>
      <c r="V75" s="7"/>
      <c r="W75" s="241"/>
      <c r="X75" s="7"/>
      <c r="Y75" s="7"/>
      <c r="Z75" s="7"/>
      <c r="AA75" s="7"/>
      <c r="AB75" s="241"/>
      <c r="AC75" s="7"/>
      <c r="AD75" s="7"/>
      <c r="AE75" s="7"/>
      <c r="AF75" s="7"/>
      <c r="AG75" s="241"/>
      <c r="AH75" s="7"/>
      <c r="AI75" s="7"/>
      <c r="AJ75" s="7"/>
      <c r="AK75" s="7"/>
      <c r="AL75" s="241"/>
      <c r="AM75" s="7"/>
      <c r="AN75" s="7"/>
      <c r="AO75" s="7"/>
      <c r="AP75" s="7"/>
      <c r="AQ75" s="241"/>
    </row>
    <row r="76" spans="2:43">
      <c r="H76" s="247"/>
      <c r="M76" s="247"/>
      <c r="N76" s="7"/>
      <c r="O76" s="7"/>
      <c r="P76" s="7"/>
      <c r="Q76" s="7"/>
      <c r="R76" s="241"/>
      <c r="S76" s="7"/>
      <c r="T76" s="7"/>
      <c r="U76" s="7"/>
      <c r="V76" s="7"/>
      <c r="W76" s="241"/>
      <c r="X76" s="7"/>
      <c r="Y76" s="7"/>
      <c r="Z76" s="7"/>
      <c r="AA76" s="7"/>
      <c r="AB76" s="241"/>
      <c r="AC76" s="7"/>
      <c r="AD76" s="7"/>
      <c r="AE76" s="7"/>
      <c r="AF76" s="7"/>
      <c r="AG76" s="241"/>
      <c r="AH76" s="7"/>
      <c r="AI76" s="7"/>
      <c r="AJ76" s="7"/>
      <c r="AK76" s="7"/>
      <c r="AL76" s="241"/>
      <c r="AM76" s="7"/>
      <c r="AN76" s="7"/>
      <c r="AO76" s="7"/>
      <c r="AP76" s="7"/>
      <c r="AQ76" s="241"/>
    </row>
    <row r="77" spans="2:43">
      <c r="H77" s="247"/>
      <c r="M77" s="247"/>
      <c r="N77" s="7"/>
      <c r="O77" s="7"/>
      <c r="P77" s="7"/>
      <c r="Q77" s="7"/>
      <c r="R77" s="241"/>
      <c r="S77" s="7"/>
      <c r="T77" s="7"/>
      <c r="U77" s="7"/>
      <c r="V77" s="7"/>
      <c r="W77" s="241"/>
      <c r="X77" s="7"/>
      <c r="Y77" s="7"/>
      <c r="Z77" s="7"/>
      <c r="AA77" s="7"/>
      <c r="AB77" s="241"/>
      <c r="AC77" s="7"/>
      <c r="AD77" s="7"/>
      <c r="AE77" s="7"/>
      <c r="AF77" s="7"/>
      <c r="AG77" s="241"/>
      <c r="AH77" s="7"/>
      <c r="AI77" s="7"/>
      <c r="AJ77" s="7"/>
      <c r="AK77" s="7"/>
      <c r="AL77" s="241"/>
      <c r="AM77" s="7"/>
      <c r="AN77" s="7"/>
      <c r="AO77" s="7"/>
      <c r="AP77" s="7"/>
      <c r="AQ77" s="241"/>
    </row>
    <row r="78" spans="2:43">
      <c r="H78" s="247"/>
      <c r="M78" s="247"/>
      <c r="N78" s="7"/>
      <c r="O78" s="7"/>
      <c r="P78" s="7"/>
      <c r="Q78" s="7"/>
      <c r="R78" s="241"/>
      <c r="S78" s="7"/>
      <c r="T78" s="7"/>
      <c r="U78" s="7"/>
      <c r="V78" s="7"/>
      <c r="W78" s="241"/>
      <c r="X78" s="7"/>
      <c r="Y78" s="7"/>
      <c r="Z78" s="7"/>
      <c r="AA78" s="7"/>
      <c r="AB78" s="241"/>
      <c r="AC78" s="7"/>
      <c r="AD78" s="7"/>
      <c r="AE78" s="7"/>
      <c r="AF78" s="7"/>
      <c r="AG78" s="241"/>
      <c r="AH78" s="7"/>
      <c r="AI78" s="7"/>
      <c r="AJ78" s="7"/>
      <c r="AK78" s="7"/>
      <c r="AL78" s="241"/>
      <c r="AM78" s="7"/>
      <c r="AN78" s="7"/>
      <c r="AO78" s="7"/>
      <c r="AP78" s="7"/>
      <c r="AQ78" s="241"/>
    </row>
    <row r="79" spans="2:43">
      <c r="H79" s="247"/>
      <c r="M79" s="247"/>
      <c r="N79" s="7"/>
      <c r="O79" s="7"/>
      <c r="P79" s="7"/>
      <c r="Q79" s="7"/>
      <c r="R79" s="241"/>
      <c r="S79" s="7"/>
      <c r="T79" s="7"/>
      <c r="U79" s="7"/>
      <c r="V79" s="7"/>
      <c r="W79" s="241"/>
      <c r="X79" s="7"/>
      <c r="Y79" s="7"/>
      <c r="Z79" s="7"/>
      <c r="AA79" s="7"/>
      <c r="AB79" s="241"/>
      <c r="AC79" s="7"/>
      <c r="AD79" s="7"/>
      <c r="AE79" s="7"/>
      <c r="AF79" s="7"/>
      <c r="AG79" s="241"/>
      <c r="AH79" s="7"/>
      <c r="AI79" s="7"/>
      <c r="AJ79" s="7"/>
      <c r="AK79" s="7"/>
      <c r="AL79" s="241"/>
      <c r="AM79" s="7"/>
      <c r="AN79" s="7"/>
      <c r="AO79" s="7"/>
      <c r="AP79" s="7"/>
      <c r="AQ79" s="241"/>
    </row>
    <row r="80" spans="2:43">
      <c r="H80" s="247"/>
      <c r="M80" s="247"/>
      <c r="N80" s="7"/>
      <c r="O80" s="7"/>
      <c r="P80" s="7"/>
      <c r="Q80" s="7"/>
      <c r="R80" s="241"/>
      <c r="S80" s="7"/>
      <c r="T80" s="7"/>
      <c r="U80" s="7"/>
      <c r="V80" s="7"/>
      <c r="W80" s="241"/>
      <c r="X80" s="7"/>
      <c r="Y80" s="7"/>
      <c r="Z80" s="7"/>
      <c r="AA80" s="7"/>
      <c r="AB80" s="241"/>
      <c r="AC80" s="7"/>
      <c r="AD80" s="7"/>
      <c r="AE80" s="7"/>
      <c r="AF80" s="7"/>
      <c r="AG80" s="241"/>
      <c r="AH80" s="7"/>
      <c r="AI80" s="7"/>
      <c r="AJ80" s="7"/>
      <c r="AK80" s="7"/>
      <c r="AL80" s="241"/>
      <c r="AM80" s="7"/>
      <c r="AN80" s="7"/>
      <c r="AO80" s="7"/>
      <c r="AP80" s="7"/>
      <c r="AQ80" s="241"/>
    </row>
    <row r="81" spans="8:43">
      <c r="H81" s="247"/>
      <c r="M81" s="247"/>
      <c r="N81" s="7"/>
      <c r="O81" s="7"/>
      <c r="P81" s="7"/>
      <c r="Q81" s="7"/>
      <c r="R81" s="241"/>
      <c r="S81" s="7"/>
      <c r="T81" s="7"/>
      <c r="U81" s="7"/>
      <c r="V81" s="7"/>
      <c r="W81" s="241"/>
      <c r="X81" s="7"/>
      <c r="Y81" s="7"/>
      <c r="Z81" s="7"/>
      <c r="AA81" s="7"/>
      <c r="AB81" s="241"/>
      <c r="AC81" s="7"/>
      <c r="AD81" s="7"/>
      <c r="AE81" s="7"/>
      <c r="AF81" s="7"/>
      <c r="AG81" s="241"/>
      <c r="AH81" s="7"/>
      <c r="AI81" s="7"/>
      <c r="AJ81" s="7"/>
      <c r="AK81" s="7"/>
      <c r="AL81" s="241"/>
      <c r="AM81" s="7"/>
      <c r="AN81" s="7"/>
      <c r="AO81" s="7"/>
      <c r="AP81" s="7"/>
      <c r="AQ81" s="241"/>
    </row>
    <row r="82" spans="8:43">
      <c r="H82" s="247"/>
      <c r="M82" s="247"/>
      <c r="N82" s="7"/>
      <c r="O82" s="7"/>
      <c r="P82" s="7"/>
      <c r="Q82" s="7"/>
      <c r="R82" s="241"/>
      <c r="S82" s="7"/>
      <c r="T82" s="7"/>
      <c r="U82" s="7"/>
      <c r="V82" s="7"/>
      <c r="W82" s="241"/>
      <c r="X82" s="7"/>
      <c r="Y82" s="7"/>
      <c r="Z82" s="7"/>
      <c r="AA82" s="7"/>
      <c r="AB82" s="241"/>
      <c r="AC82" s="7"/>
      <c r="AD82" s="7"/>
      <c r="AE82" s="7"/>
      <c r="AF82" s="7"/>
      <c r="AG82" s="241"/>
      <c r="AH82" s="7"/>
      <c r="AI82" s="7"/>
      <c r="AJ82" s="7"/>
      <c r="AK82" s="7"/>
      <c r="AL82" s="241"/>
      <c r="AM82" s="7"/>
      <c r="AN82" s="7"/>
      <c r="AO82" s="7"/>
      <c r="AP82" s="7"/>
      <c r="AQ82" s="241"/>
    </row>
    <row r="83" spans="8:43">
      <c r="H83" s="247"/>
      <c r="M83" s="247"/>
      <c r="N83" s="7"/>
      <c r="O83" s="7"/>
      <c r="P83" s="7"/>
      <c r="Q83" s="7"/>
      <c r="R83" s="241"/>
      <c r="S83" s="7"/>
      <c r="T83" s="7"/>
      <c r="U83" s="7"/>
      <c r="V83" s="7"/>
      <c r="W83" s="241"/>
      <c r="X83" s="7"/>
      <c r="Y83" s="7"/>
      <c r="Z83" s="7"/>
      <c r="AA83" s="7"/>
      <c r="AB83" s="241"/>
      <c r="AC83" s="7"/>
      <c r="AD83" s="7"/>
      <c r="AE83" s="7"/>
      <c r="AF83" s="7"/>
      <c r="AG83" s="241"/>
      <c r="AH83" s="7"/>
      <c r="AI83" s="7"/>
      <c r="AJ83" s="7"/>
      <c r="AK83" s="7"/>
      <c r="AL83" s="241"/>
      <c r="AM83" s="7"/>
      <c r="AN83" s="7"/>
      <c r="AO83" s="7"/>
      <c r="AP83" s="7"/>
      <c r="AQ83" s="241"/>
    </row>
    <row r="84" spans="8:43">
      <c r="H84" s="247"/>
      <c r="M84" s="247"/>
      <c r="N84" s="7"/>
      <c r="O84" s="7"/>
      <c r="P84" s="7"/>
      <c r="Q84" s="7"/>
      <c r="R84" s="241"/>
      <c r="S84" s="7"/>
      <c r="T84" s="7"/>
      <c r="U84" s="7"/>
      <c r="V84" s="7"/>
      <c r="W84" s="241"/>
      <c r="X84" s="7"/>
      <c r="Y84" s="7"/>
      <c r="Z84" s="7"/>
      <c r="AA84" s="7"/>
      <c r="AB84" s="241"/>
      <c r="AC84" s="7"/>
      <c r="AD84" s="7"/>
      <c r="AE84" s="7"/>
      <c r="AF84" s="7"/>
      <c r="AG84" s="241"/>
      <c r="AH84" s="7"/>
      <c r="AI84" s="7"/>
      <c r="AJ84" s="7"/>
      <c r="AK84" s="7"/>
      <c r="AL84" s="241"/>
      <c r="AM84" s="7"/>
      <c r="AN84" s="7"/>
      <c r="AO84" s="7"/>
      <c r="AP84" s="7"/>
      <c r="AQ84" s="241"/>
    </row>
    <row r="85" spans="8:43">
      <c r="H85" s="247"/>
      <c r="M85" s="247"/>
      <c r="N85" s="7"/>
      <c r="O85" s="7"/>
      <c r="P85" s="7"/>
      <c r="Q85" s="7"/>
      <c r="R85" s="241"/>
      <c r="S85" s="7"/>
      <c r="T85" s="7"/>
      <c r="U85" s="7"/>
      <c r="V85" s="7"/>
      <c r="W85" s="241"/>
      <c r="X85" s="7"/>
      <c r="Y85" s="7"/>
      <c r="Z85" s="7"/>
      <c r="AA85" s="7"/>
      <c r="AB85" s="241"/>
      <c r="AC85" s="7"/>
      <c r="AD85" s="7"/>
      <c r="AE85" s="7"/>
      <c r="AF85" s="7"/>
      <c r="AG85" s="241"/>
      <c r="AH85" s="7"/>
      <c r="AI85" s="7"/>
      <c r="AJ85" s="7"/>
      <c r="AK85" s="7"/>
      <c r="AL85" s="241"/>
      <c r="AM85" s="7"/>
      <c r="AN85" s="7"/>
      <c r="AO85" s="7"/>
      <c r="AP85" s="7"/>
      <c r="AQ85" s="241"/>
    </row>
    <row r="86" spans="8:43">
      <c r="H86" s="247"/>
      <c r="M86" s="247"/>
      <c r="N86" s="7"/>
      <c r="O86" s="7"/>
      <c r="P86" s="7"/>
      <c r="Q86" s="7"/>
      <c r="R86" s="241"/>
      <c r="S86" s="7"/>
      <c r="T86" s="7"/>
      <c r="U86" s="7"/>
      <c r="V86" s="7"/>
      <c r="W86" s="241"/>
      <c r="X86" s="7"/>
      <c r="Y86" s="7"/>
      <c r="Z86" s="7"/>
      <c r="AA86" s="7"/>
      <c r="AB86" s="241"/>
      <c r="AC86" s="7"/>
      <c r="AD86" s="7"/>
      <c r="AE86" s="7"/>
      <c r="AF86" s="7"/>
      <c r="AG86" s="241"/>
      <c r="AH86" s="7"/>
      <c r="AI86" s="7"/>
      <c r="AJ86" s="7"/>
      <c r="AK86" s="7"/>
      <c r="AL86" s="241"/>
      <c r="AM86" s="7"/>
      <c r="AN86" s="7"/>
      <c r="AO86" s="7"/>
      <c r="AP86" s="7"/>
      <c r="AQ86" s="241"/>
    </row>
    <row r="87" spans="8:43">
      <c r="H87" s="247"/>
      <c r="M87" s="247"/>
      <c r="N87" s="7"/>
      <c r="O87" s="7"/>
      <c r="P87" s="7"/>
      <c r="Q87" s="7"/>
      <c r="R87" s="241"/>
      <c r="S87" s="7"/>
      <c r="T87" s="7"/>
      <c r="U87" s="7"/>
      <c r="V87" s="7"/>
      <c r="W87" s="241"/>
      <c r="X87" s="7"/>
      <c r="Y87" s="7"/>
      <c r="Z87" s="7"/>
      <c r="AA87" s="7"/>
      <c r="AB87" s="241"/>
      <c r="AC87" s="7"/>
      <c r="AD87" s="7"/>
      <c r="AE87" s="7"/>
      <c r="AF87" s="7"/>
      <c r="AG87" s="241"/>
      <c r="AH87" s="7"/>
      <c r="AI87" s="7"/>
      <c r="AJ87" s="7"/>
      <c r="AK87" s="7"/>
      <c r="AL87" s="241"/>
      <c r="AM87" s="7"/>
      <c r="AN87" s="7"/>
      <c r="AO87" s="7"/>
      <c r="AP87" s="7"/>
      <c r="AQ87" s="241"/>
    </row>
    <row r="88" spans="8:43">
      <c r="H88" s="247"/>
      <c r="M88" s="247"/>
      <c r="N88" s="7"/>
      <c r="O88" s="7"/>
      <c r="P88" s="7"/>
      <c r="Q88" s="7"/>
      <c r="R88" s="241"/>
      <c r="S88" s="7"/>
      <c r="T88" s="7"/>
      <c r="U88" s="7"/>
      <c r="V88" s="7"/>
      <c r="W88" s="241"/>
      <c r="X88" s="7"/>
      <c r="Y88" s="7"/>
      <c r="Z88" s="7"/>
      <c r="AA88" s="7"/>
      <c r="AB88" s="241"/>
      <c r="AC88" s="7"/>
      <c r="AD88" s="7"/>
      <c r="AE88" s="7"/>
      <c r="AF88" s="7"/>
      <c r="AG88" s="241"/>
      <c r="AH88" s="7"/>
      <c r="AI88" s="7"/>
      <c r="AJ88" s="7"/>
      <c r="AK88" s="7"/>
      <c r="AL88" s="241"/>
      <c r="AM88" s="7"/>
      <c r="AN88" s="7"/>
      <c r="AO88" s="7"/>
      <c r="AP88" s="7"/>
      <c r="AQ88" s="241"/>
    </row>
    <row r="89" spans="8:43">
      <c r="H89" s="247"/>
      <c r="M89" s="247"/>
      <c r="N89" s="7"/>
      <c r="O89" s="7"/>
      <c r="P89" s="7"/>
      <c r="Q89" s="7"/>
      <c r="R89" s="241"/>
      <c r="S89" s="7"/>
      <c r="T89" s="7"/>
      <c r="U89" s="7"/>
      <c r="V89" s="7"/>
      <c r="W89" s="241"/>
      <c r="X89" s="7"/>
      <c r="Y89" s="7"/>
      <c r="Z89" s="7"/>
      <c r="AA89" s="7"/>
      <c r="AB89" s="241"/>
      <c r="AC89" s="7"/>
      <c r="AD89" s="7"/>
      <c r="AE89" s="7"/>
      <c r="AF89" s="7"/>
      <c r="AG89" s="241"/>
      <c r="AH89" s="7"/>
      <c r="AI89" s="7"/>
      <c r="AJ89" s="7"/>
      <c r="AK89" s="7"/>
      <c r="AL89" s="241"/>
      <c r="AM89" s="7"/>
      <c r="AN89" s="7"/>
      <c r="AO89" s="7"/>
      <c r="AP89" s="7"/>
      <c r="AQ89" s="241"/>
    </row>
    <row r="90" spans="8:43">
      <c r="H90" s="247"/>
      <c r="M90" s="247"/>
      <c r="N90" s="7"/>
      <c r="O90" s="7"/>
      <c r="P90" s="7"/>
      <c r="Q90" s="7"/>
      <c r="R90" s="241"/>
      <c r="S90" s="7"/>
      <c r="T90" s="7"/>
      <c r="U90" s="7"/>
      <c r="V90" s="7"/>
      <c r="W90" s="241"/>
      <c r="X90" s="7"/>
      <c r="Y90" s="7"/>
      <c r="Z90" s="7"/>
      <c r="AA90" s="7"/>
      <c r="AB90" s="241"/>
      <c r="AC90" s="7"/>
      <c r="AD90" s="7"/>
      <c r="AE90" s="7"/>
      <c r="AF90" s="7"/>
      <c r="AG90" s="241"/>
      <c r="AH90" s="7"/>
      <c r="AI90" s="7"/>
      <c r="AJ90" s="7"/>
      <c r="AK90" s="7"/>
      <c r="AL90" s="241"/>
      <c r="AM90" s="7"/>
      <c r="AN90" s="7"/>
      <c r="AO90" s="7"/>
      <c r="AP90" s="7"/>
      <c r="AQ90" s="241"/>
    </row>
    <row r="91" spans="8:43">
      <c r="H91" s="247"/>
      <c r="M91" s="247"/>
      <c r="N91" s="7"/>
      <c r="O91" s="7"/>
      <c r="P91" s="7"/>
      <c r="Q91" s="7"/>
      <c r="R91" s="241"/>
      <c r="S91" s="7"/>
      <c r="T91" s="7"/>
      <c r="U91" s="7"/>
      <c r="V91" s="7"/>
      <c r="W91" s="241"/>
      <c r="X91" s="7"/>
      <c r="Y91" s="7"/>
      <c r="Z91" s="7"/>
      <c r="AA91" s="7"/>
      <c r="AB91" s="241"/>
      <c r="AC91" s="7"/>
      <c r="AD91" s="7"/>
      <c r="AE91" s="7"/>
      <c r="AF91" s="7"/>
      <c r="AG91" s="241"/>
      <c r="AH91" s="7"/>
      <c r="AI91" s="7"/>
      <c r="AJ91" s="7"/>
      <c r="AK91" s="7"/>
      <c r="AL91" s="241"/>
      <c r="AM91" s="7"/>
      <c r="AN91" s="7"/>
      <c r="AO91" s="7"/>
      <c r="AP91" s="7"/>
      <c r="AQ91" s="241"/>
    </row>
    <row r="92" spans="8:43">
      <c r="H92" s="247"/>
      <c r="M92" s="247"/>
      <c r="N92" s="7"/>
      <c r="O92" s="7"/>
      <c r="P92" s="7"/>
      <c r="Q92" s="7"/>
      <c r="R92" s="241"/>
      <c r="S92" s="7"/>
      <c r="T92" s="7"/>
      <c r="U92" s="7"/>
      <c r="V92" s="7"/>
      <c r="W92" s="241"/>
      <c r="X92" s="7"/>
      <c r="Y92" s="7"/>
      <c r="Z92" s="7"/>
      <c r="AA92" s="7"/>
      <c r="AB92" s="241"/>
      <c r="AC92" s="7"/>
      <c r="AD92" s="7"/>
      <c r="AE92" s="7"/>
      <c r="AF92" s="7"/>
      <c r="AG92" s="241"/>
      <c r="AH92" s="7"/>
      <c r="AI92" s="7"/>
      <c r="AJ92" s="7"/>
      <c r="AK92" s="7"/>
      <c r="AL92" s="241"/>
      <c r="AM92" s="7"/>
      <c r="AN92" s="7"/>
      <c r="AO92" s="7"/>
      <c r="AP92" s="7"/>
      <c r="AQ92" s="241"/>
    </row>
    <row r="93" spans="8:43">
      <c r="H93" s="247"/>
      <c r="M93" s="247"/>
      <c r="N93" s="7"/>
      <c r="O93" s="7"/>
      <c r="P93" s="7"/>
      <c r="Q93" s="7"/>
      <c r="R93" s="241"/>
      <c r="S93" s="7"/>
      <c r="T93" s="7"/>
      <c r="U93" s="7"/>
      <c r="V93" s="7"/>
      <c r="W93" s="241"/>
      <c r="X93" s="7"/>
      <c r="Y93" s="7"/>
      <c r="Z93" s="7"/>
      <c r="AA93" s="7"/>
      <c r="AB93" s="241"/>
      <c r="AC93" s="7"/>
      <c r="AD93" s="7"/>
      <c r="AE93" s="7"/>
      <c r="AF93" s="7"/>
      <c r="AG93" s="241"/>
      <c r="AH93" s="7"/>
      <c r="AI93" s="7"/>
      <c r="AJ93" s="7"/>
      <c r="AK93" s="7"/>
      <c r="AL93" s="241"/>
      <c r="AM93" s="7"/>
      <c r="AN93" s="7"/>
      <c r="AO93" s="7"/>
      <c r="AP93" s="7"/>
      <c r="AQ93" s="241"/>
    </row>
    <row r="94" spans="8:43">
      <c r="H94" s="247"/>
      <c r="M94" s="247"/>
      <c r="N94" s="7"/>
      <c r="O94" s="7"/>
      <c r="P94" s="7"/>
      <c r="Q94" s="7"/>
      <c r="R94" s="241"/>
      <c r="S94" s="7"/>
      <c r="T94" s="7"/>
      <c r="U94" s="7"/>
      <c r="V94" s="7"/>
      <c r="W94" s="241"/>
      <c r="X94" s="7"/>
      <c r="Y94" s="7"/>
      <c r="Z94" s="7"/>
      <c r="AA94" s="7"/>
      <c r="AB94" s="241"/>
      <c r="AC94" s="7"/>
      <c r="AD94" s="7"/>
      <c r="AE94" s="7"/>
      <c r="AF94" s="7"/>
      <c r="AG94" s="241"/>
      <c r="AH94" s="7"/>
      <c r="AI94" s="7"/>
      <c r="AJ94" s="7"/>
      <c r="AK94" s="7"/>
      <c r="AL94" s="241"/>
      <c r="AM94" s="7"/>
      <c r="AN94" s="7"/>
      <c r="AO94" s="7"/>
      <c r="AP94" s="7"/>
      <c r="AQ94" s="241"/>
    </row>
    <row r="95" spans="8:43">
      <c r="H95" s="247"/>
      <c r="M95" s="247"/>
      <c r="N95" s="7"/>
      <c r="O95" s="7"/>
      <c r="P95" s="7"/>
      <c r="Q95" s="7"/>
      <c r="R95" s="241"/>
      <c r="S95" s="7"/>
      <c r="T95" s="7"/>
      <c r="U95" s="7"/>
      <c r="V95" s="7"/>
      <c r="W95" s="241"/>
      <c r="X95" s="7"/>
      <c r="Y95" s="7"/>
      <c r="Z95" s="7"/>
      <c r="AA95" s="7"/>
      <c r="AB95" s="241"/>
      <c r="AC95" s="7"/>
      <c r="AD95" s="7"/>
      <c r="AE95" s="7"/>
      <c r="AF95" s="7"/>
      <c r="AG95" s="241"/>
      <c r="AH95" s="7"/>
      <c r="AI95" s="7"/>
      <c r="AJ95" s="7"/>
      <c r="AK95" s="7"/>
      <c r="AL95" s="241"/>
      <c r="AM95" s="7"/>
      <c r="AN95" s="7"/>
      <c r="AO95" s="7"/>
      <c r="AP95" s="7"/>
      <c r="AQ95" s="241"/>
    </row>
    <row r="96" spans="8:43">
      <c r="H96" s="247"/>
      <c r="M96" s="247"/>
      <c r="N96" s="7"/>
      <c r="O96" s="7"/>
      <c r="P96" s="7"/>
      <c r="Q96" s="7"/>
      <c r="R96" s="241"/>
      <c r="S96" s="7"/>
      <c r="T96" s="7"/>
      <c r="U96" s="7"/>
      <c r="V96" s="7"/>
      <c r="W96" s="241"/>
      <c r="X96" s="7"/>
      <c r="Y96" s="7"/>
      <c r="Z96" s="7"/>
      <c r="AA96" s="7"/>
      <c r="AB96" s="241"/>
      <c r="AC96" s="7"/>
      <c r="AD96" s="7"/>
      <c r="AE96" s="7"/>
      <c r="AF96" s="7"/>
      <c r="AG96" s="241"/>
      <c r="AH96" s="7"/>
      <c r="AI96" s="7"/>
      <c r="AJ96" s="7"/>
      <c r="AK96" s="7"/>
      <c r="AL96" s="241"/>
      <c r="AM96" s="7"/>
      <c r="AN96" s="7"/>
      <c r="AO96" s="7"/>
      <c r="AP96" s="7"/>
      <c r="AQ96" s="241"/>
    </row>
    <row r="97" spans="8:43">
      <c r="H97" s="247"/>
      <c r="M97" s="247"/>
      <c r="N97" s="7"/>
      <c r="O97" s="7"/>
      <c r="P97" s="7"/>
      <c r="Q97" s="7"/>
      <c r="R97" s="241"/>
      <c r="S97" s="7"/>
      <c r="T97" s="7"/>
      <c r="U97" s="7"/>
      <c r="V97" s="7"/>
      <c r="W97" s="241"/>
      <c r="X97" s="7"/>
      <c r="Y97" s="7"/>
      <c r="Z97" s="7"/>
      <c r="AA97" s="7"/>
      <c r="AB97" s="241"/>
      <c r="AC97" s="7"/>
      <c r="AD97" s="7"/>
      <c r="AE97" s="7"/>
      <c r="AF97" s="7"/>
      <c r="AG97" s="241"/>
      <c r="AH97" s="7"/>
      <c r="AI97" s="7"/>
      <c r="AJ97" s="7"/>
      <c r="AK97" s="7"/>
      <c r="AL97" s="241"/>
      <c r="AM97" s="7"/>
      <c r="AN97" s="7"/>
      <c r="AO97" s="7"/>
      <c r="AP97" s="7"/>
      <c r="AQ97" s="241"/>
    </row>
    <row r="98" spans="8:43">
      <c r="H98" s="247"/>
      <c r="M98" s="247"/>
      <c r="N98" s="7"/>
      <c r="O98" s="7"/>
      <c r="P98" s="7"/>
      <c r="Q98" s="7"/>
      <c r="R98" s="241"/>
      <c r="S98" s="7"/>
      <c r="T98" s="7"/>
      <c r="U98" s="7"/>
      <c r="V98" s="7"/>
      <c r="W98" s="241"/>
      <c r="X98" s="7"/>
      <c r="Y98" s="7"/>
      <c r="Z98" s="7"/>
      <c r="AA98" s="7"/>
      <c r="AB98" s="241"/>
      <c r="AC98" s="7"/>
      <c r="AD98" s="7"/>
      <c r="AE98" s="7"/>
      <c r="AF98" s="7"/>
      <c r="AG98" s="241"/>
      <c r="AH98" s="7"/>
      <c r="AI98" s="7"/>
      <c r="AJ98" s="7"/>
      <c r="AK98" s="7"/>
      <c r="AL98" s="241"/>
      <c r="AM98" s="7"/>
      <c r="AN98" s="7"/>
      <c r="AO98" s="7"/>
      <c r="AP98" s="7"/>
      <c r="AQ98" s="241"/>
    </row>
    <row r="99" spans="8:43">
      <c r="H99" s="247"/>
      <c r="M99" s="247"/>
      <c r="N99" s="7"/>
      <c r="O99" s="7"/>
      <c r="P99" s="7"/>
      <c r="Q99" s="7"/>
      <c r="R99" s="241"/>
      <c r="S99" s="7"/>
      <c r="T99" s="7"/>
      <c r="U99" s="7"/>
      <c r="V99" s="7"/>
      <c r="W99" s="241"/>
      <c r="X99" s="7"/>
      <c r="Y99" s="7"/>
      <c r="Z99" s="7"/>
      <c r="AA99" s="7"/>
      <c r="AB99" s="241"/>
      <c r="AC99" s="7"/>
      <c r="AD99" s="7"/>
      <c r="AE99" s="7"/>
      <c r="AF99" s="7"/>
      <c r="AG99" s="241"/>
      <c r="AH99" s="7"/>
      <c r="AI99" s="7"/>
      <c r="AJ99" s="7"/>
      <c r="AK99" s="7"/>
      <c r="AL99" s="241"/>
      <c r="AM99" s="7"/>
      <c r="AN99" s="7"/>
      <c r="AO99" s="7"/>
      <c r="AP99" s="7"/>
      <c r="AQ99" s="241"/>
    </row>
    <row r="100" spans="8:43">
      <c r="H100" s="247"/>
      <c r="M100" s="247"/>
      <c r="N100" s="7"/>
      <c r="O100" s="7"/>
      <c r="P100" s="7"/>
      <c r="Q100" s="7"/>
      <c r="R100" s="241"/>
      <c r="S100" s="7"/>
      <c r="T100" s="7"/>
      <c r="U100" s="7"/>
      <c r="V100" s="7"/>
      <c r="W100" s="241"/>
      <c r="X100" s="7"/>
      <c r="Y100" s="7"/>
      <c r="Z100" s="7"/>
      <c r="AA100" s="7"/>
      <c r="AB100" s="241"/>
      <c r="AC100" s="7"/>
      <c r="AD100" s="7"/>
      <c r="AE100" s="7"/>
      <c r="AF100" s="7"/>
      <c r="AG100" s="241"/>
      <c r="AH100" s="7"/>
      <c r="AI100" s="7"/>
      <c r="AJ100" s="7"/>
      <c r="AK100" s="7"/>
      <c r="AL100" s="241"/>
      <c r="AM100" s="7"/>
      <c r="AN100" s="7"/>
      <c r="AO100" s="7"/>
      <c r="AP100" s="7"/>
      <c r="AQ100" s="241"/>
    </row>
    <row r="101" spans="8:43">
      <c r="H101" s="247"/>
      <c r="M101" s="247"/>
      <c r="N101" s="7"/>
      <c r="O101" s="7"/>
      <c r="P101" s="7"/>
      <c r="Q101" s="7"/>
      <c r="R101" s="241"/>
      <c r="S101" s="7"/>
      <c r="T101" s="7"/>
      <c r="U101" s="7"/>
      <c r="V101" s="7"/>
      <c r="W101" s="241"/>
      <c r="X101" s="7"/>
      <c r="Y101" s="7"/>
      <c r="Z101" s="7"/>
      <c r="AA101" s="7"/>
      <c r="AB101" s="241"/>
      <c r="AC101" s="7"/>
      <c r="AD101" s="7"/>
      <c r="AE101" s="7"/>
      <c r="AF101" s="7"/>
      <c r="AG101" s="241"/>
      <c r="AH101" s="7"/>
      <c r="AI101" s="7"/>
      <c r="AJ101" s="7"/>
      <c r="AK101" s="7"/>
      <c r="AL101" s="241"/>
      <c r="AM101" s="7"/>
      <c r="AN101" s="7"/>
      <c r="AO101" s="7"/>
      <c r="AP101" s="7"/>
      <c r="AQ101" s="24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DCF</vt:lpstr>
      <vt:lpstr>Model</vt:lpstr>
      <vt:lpstr>Quarterly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cp:lastPrinted>2021-01-11T19:33:22Z</cp:lastPrinted>
  <dcterms:created xsi:type="dcterms:W3CDTF">2019-08-26T13:22:05Z</dcterms:created>
  <dcterms:modified xsi:type="dcterms:W3CDTF">2021-06-01T22:54:04Z</dcterms:modified>
</cp:coreProperties>
</file>